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60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<sst xmlns="http://schemas.openxmlformats.org/spreadsheetml/2006/main" count="1587" uniqueCount="820">
  <si>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</si>
  <si>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</si>
  <si>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</si>
  <si>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</si>
  <si>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</si>
  <si>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</si>
  <si>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</si>
  <si>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</si>
  <si>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</si>
  <si>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</si>
  <si>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</si>
  <si>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</si>
  <si>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</si>
  <si>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</si>
  <si>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</si>
  <si>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</si>
  <si>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</si>
  <si>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</si>
  <si>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</si>
  <si>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</si>
  <si>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</si>
  <si>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</si>
  <si>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</si>
  <si>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</si>
  <si>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</si>
  <si>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</si>
  <si>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</si>
  <si>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</si>
  <si>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</si>
  <si>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</si>
  <si>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</si>
  <si>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</si>
  <si>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</si>
  <si>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</si>
  <si>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</si>
  <si>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</si>
  <si>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</si>
  <si>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</si>
  <si>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</si>
  <si>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</si>
  <si>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</si>
  <si>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</si>
  <si>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</si>
  <si>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</si>
  <si>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</si>
  <si>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</si>
  <si>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</si>
  <si>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</si>
  <si>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</si>
  <si>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</si>
  <si>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</si>
  <si>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</si>
  <si>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</si>
  <si>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</si>
  <si>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</si>
  <si>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</si>
  <si>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</si>
  <si>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</si>
  <si>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</si>
  <si>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</si>
  <si>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</si>
  <si>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</si>
  <si>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</si>
  <si>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</si>
  <si>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</si>
  <si>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</si>
  <si>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</si>
  <si>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</si>
  <si>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</si>
  <si>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</si>
  <si>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</si>
  <si>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</si>
  <si>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</si>
  <si>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</si>
  <si>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</si>
  <si>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</si>
  <si>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</si>
  <si>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</si>
  <si>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</si>
  <si>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</si>
  <si>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</si>
  <si>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</si>
  <si>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</si>
  <si>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</si>
  <si>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</si>
  <si>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</si>
  <si>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</si>
  <si>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</si>
  <si>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</si>
  <si>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</si>
  <si>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</si>
  <si>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</si>
  <si>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</si>
  <si>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</si>
  <si>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</si>
  <si>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</si>
  <si>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</si>
  <si>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</si>
  <si>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</si>
  <si>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</si>
  <si>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</si>
  <si>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</si>
  <si>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</si>
  <si>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</si>
  <si>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</si>
  <si>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</si>
  <si>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</si>
  <si>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</si>
  <si>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</si>
  <si>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</si>
  <si>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</si>
  <si>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</si>
  <si>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</si>
  <si>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</si>
  <si>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</si>
  <si>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</si>
  <si>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</si>
  <si>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</si>
  <si>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</si>
  <si>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</si>
  <si>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</si>
  <si>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</si>
  <si>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</si>
  <si>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</si>
  <si>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</si>
  <si>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</si>
  <si>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</si>
  <si>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</si>
  <si>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</si>
  <si>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</si>
  <si>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</si>
  <si>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</si>
  <si>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</si>
  <si>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</si>
  <si>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</si>
  <si>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</si>
  <si>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</si>
  <si>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</si>
  <si>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</si>
  <si>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</si>
  <si>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</si>
  <si>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</si>
  <si>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</si>
  <si>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</si>
  <si>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</si>
  <si>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</si>
  <si>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</si>
  <si>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</si>
  <si>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</si>
  <si>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</si>
  <si>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</si>
  <si>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</si>
  <si>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</si>
  <si>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</si>
  <si>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</si>
  <si>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</si>
  <si>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</si>
  <si>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</si>
  <si>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</si>
  <si>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</si>
  <si>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</si>
  <si>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</si>
  <si>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</si>
  <si>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</si>
  <si>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</si>
  <si>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</si>
  <si>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</si>
  <si>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</si>
  <si>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</si>
  <si>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</si>
  <si>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</si>
  <si>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</si>
  <si>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</si>
  <si>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</si>
  <si>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</si>
  <si>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</si>
  <si>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</si>
  <si>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</si>
  <si>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</si>
  <si>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</si>
  <si>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</si>
  <si>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</si>
  <si>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</si>
  <si>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</si>
  <si>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</si>
  <si>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</si>
  <si>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</si>
  <si>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</si>
  <si>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</si>
  <si>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</si>
  <si>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</si>
  <si>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</si>
  <si>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</si>
  <si>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</si>
  <si>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</si>
  <si>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</si>
  <si>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</si>
  <si>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</si>
  <si>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</si>
  <si>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</si>
  <si>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</si>
  <si>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</si>
  <si>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</si>
  <si>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</si>
  <si>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</si>
  <si>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</si>
  <si>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</si>
  <si>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</si>
  <si>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</si>
  <si>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</si>
  <si>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</si>
  <si>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</si>
  <si>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</si>
  <si>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</si>
  <si>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</si>
  <si>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</si>
  <si>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</si>
  <si>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</si>
  <si>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</si>
  <si>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</si>
  <si>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</si>
  <si>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</si>
  <si>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</si>
  <si>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</si>
  <si>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</si>
  <si>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</si>
  <si>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</si>
  <si>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</si>
  <si>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</si>
  <si>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</si>
  <si>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</si>
  <si>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</si>
  <si>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</si>
  <si>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</si>
  <si>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</si>
  <si>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</si>
  <si>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</si>
  <si>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</si>
  <si>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</si>
  <si>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</si>
  <si>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</si>
  <si>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</si>
  <si>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</si>
  <si>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</si>
  <si>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</si>
  <si>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</si>
  <si>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</si>
  <si>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</si>
  <si>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</si>
  <si>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</si>
  <si>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</si>
  <si>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</si>
  <si>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</si>
  <si>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</si>
  <si>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</si>
  <si>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</si>
  <si>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</si>
  <si>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</si>
  <si>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</si>
  <si>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</si>
  <si>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</si>
  <si>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</si>
  <si>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</si>
  <si>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</si>
  <si>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</si>
  <si>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</si>
  <si>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</si>
  <si>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</si>
  <si>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</si>
  <si>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</si>
  <si>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</si>
  <si>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</si>
  <si>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</si>
  <si>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</si>
  <si>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</si>
  <si>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</si>
  <si>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</si>
  <si>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</si>
  <si>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</si>
  <si>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</si>
  <si>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</si>
  <si>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</si>
  <si>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</si>
  <si>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</si>
  <si>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</si>
  <si>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</si>
  <si>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</si>
  <si>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</si>
  <si>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</si>
  <si>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</si>
  <si>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</si>
  <si>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</si>
  <si>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</si>
  <si>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</si>
  <si>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</si>
  <si>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</si>
  <si>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</si>
  <si>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</si>
  <si>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</si>
  <si>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</si>
  <si>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</si>
  <si>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</si>
  <si>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</si>
  <si>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</si>
  <si>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</si>
  <si>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</si>
  <si>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</si>
  <si>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</si>
  <si>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</si>
  <si>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</si>
  <si>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</si>
  <si>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</si>
  <si>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</si>
  <si>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</si>
  <si>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</si>
  <si>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</si>
  <si>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</si>
  <si>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</si>
  <si>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</si>
  <si>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</si>
  <si>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</si>
  <si>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</si>
  <si>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</si>
  <si>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</si>
  <si>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</si>
  <si>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</si>
  <si>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</si>
  <si>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</si>
  <si>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</si>
  <si>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</si>
  <si>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</si>
  <si>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</si>
  <si>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</si>
  <si>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</si>
  <si>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</si>
  <si>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</si>
  <si>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</si>
  <si>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</si>
  <si>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</si>
  <si>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</si>
  <si>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</si>
  <si>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</si>
  <si>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</si>
  <si>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</si>
  <si>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</si>
  <si>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</si>
  <si>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</si>
  <si>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</si>
  <si>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</si>
  <si>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</si>
  <si>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</si>
  <si>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</si>
  <si>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</si>
  <si>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</si>
  <si>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</si>
  <si>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</si>
  <si>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</si>
  <si>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</si>
  <si>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</si>
  <si>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</si>
  <si>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</si>
  <si>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</si>
  <si>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</si>
  <si>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</si>
  <si>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</si>
  <si>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</si>
  <si>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</si>
  <si>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</si>
  <si>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</si>
  <si>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</si>
  <si>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</si>
  <si>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</si>
  <si>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</si>
  <si>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</si>
  <si>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</si>
  <si>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</si>
  <si>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</si>
  <si>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</si>
  <si>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</si>
  <si>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</si>
  <si>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</si>
  <si>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</si>
  <si>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</si>
  <si>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</si>
  <si>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</si>
  <si>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</si>
  <si>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</si>
  <si>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</si>
  <si>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</si>
  <si>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</si>
  <si>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</si>
  <si>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</si>
  <si>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</si>
  <si>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</si>
  <si>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</si>
  <si>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</si>
  <si>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</si>
  <si>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</si>
  <si>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</si>
  <si>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</si>
  <si>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</si>
  <si>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</si>
  <si>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</si>
  <si>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</si>
  <si>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</si>
  <si>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</si>
  <si>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</si>
  <si>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</si>
  <si>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</si>
  <si>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</si>
  <si>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</si>
  <si>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</si>
  <si>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</si>
  <si>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</si>
  <si>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</si>
  <si>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</si>
  <si>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</si>
  <si>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</si>
  <si>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</si>
  <si>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</si>
  <si>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</si>
  <si>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</si>
  <si>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</si>
  <si>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</si>
  <si>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</si>
  <si>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</si>
  <si>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</si>
  <si>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</si>
  <si>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</si>
  <si>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</si>
  <si>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</si>
  <si>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</si>
  <si>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</si>
  <si>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</si>
  <si>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</si>
  <si>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</si>
  <si>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</si>
  <si>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</si>
  <si>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</si>
  <si>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</si>
  <si>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</si>
  <si>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</si>
  <si>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</si>
  <si>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</si>
  <si>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</si>
  <si>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</si>
  <si>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</si>
  <si>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</si>
  <si>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</si>
  <si>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</si>
  <si>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</si>
  <si>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</si>
  <si>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</si>
  <si>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</si>
  <si>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</si>
  <si>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</si>
  <si>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</si>
  <si>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</si>
  <si>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</si>
  <si>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</si>
  <si>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</si>
  <si>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</si>
  <si>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</si>
  <si>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</si>
  <si>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</si>
  <si>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</si>
  <si>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</si>
  <si>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</si>
  <si>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</si>
  <si>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</si>
  <si>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</si>
  <si>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</si>
  <si>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</si>
  <si>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</si>
  <si>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</si>
  <si>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</si>
  <si>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</si>
  <si>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</si>
  <si>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</si>
  <si>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</si>
  <si>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</si>
  <si>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</si>
  <si>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</si>
  <si>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</si>
  <si>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</si>
  <si>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</si>
  <si>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</si>
  <si>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</si>
  <si>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</si>
  <si>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</si>
  <si>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</si>
  <si>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</si>
  <si>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</si>
  <si>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</si>
  <si>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</si>
  <si>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</si>
  <si>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</si>
  <si>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</si>
  <si>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</si>
  <si>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</si>
  <si>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</si>
  <si>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</si>
  <si>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</si>
  <si>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</si>
  <si>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</si>
  <si>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</si>
  <si>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</si>
  <si>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</si>
  <si>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</si>
  <si>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</si>
  <si>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</si>
  <si>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</si>
  <si>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</si>
  <si>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</si>
  <si>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</si>
  <si>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</si>
  <si>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</si>
  <si>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</si>
  <si>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</si>
  <si>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</si>
  <si>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</si>
  <si>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</si>
  <si>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</si>
  <si>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</si>
  <si>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</si>
  <si>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</si>
  <si>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</si>
  <si>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</si>
  <si>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</si>
  <si>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</si>
  <si>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</si>
  <si>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</si>
  <si>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</si>
  <si>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</si>
  <si>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</si>
  <si>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</si>
  <si>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</si>
  <si>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</si>
  <si>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</si>
  <si>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</si>
  <si>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</si>
  <si>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</si>
  <si>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</si>
  <si>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</si>
  <si>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</si>
  <si>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</si>
  <si>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</si>
  <si>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</si>
  <si>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</si>
  <si>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</si>
  <si>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</si>
  <si>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</si>
  <si>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</si>
  <si>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</si>
  <si>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</si>
  <si>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</si>
  <si>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</si>
  <si>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</si>
  <si>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</si>
  <si>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</si>
  <si>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</si>
  <si>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</si>
  <si>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</si>
  <si>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</si>
  <si>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</si>
  <si>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</si>
  <si>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</si>
  <si>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</si>
  <si>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</si>
  <si>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</si>
  <si>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</si>
  <si>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</si>
  <si>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</si>
  <si>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</si>
  <si>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</si>
  <si>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</si>
  <si>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</si>
  <si>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</si>
  <si>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</si>
  <si>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</si>
  <si>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</si>
  <si>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</si>
  <si>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</si>
  <si>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</si>
  <si>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</si>
  <si>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</si>
  <si>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</si>
  <si>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</si>
  <si>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</si>
  <si>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</si>
  <si>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</si>
  <si>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</si>
  <si>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</si>
  <si>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</si>
  <si>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</si>
  <si>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</si>
  <si>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</si>
  <si>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</si>
  <si>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</si>
  <si>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</si>
  <si>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</si>
  <si>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</si>
  <si>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</si>
  <si>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</si>
  <si>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</si>
  <si>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</si>
  <si>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</si>
  <si>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</si>
  <si>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</si>
  <si>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</si>
  <si>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</si>
  <si>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</si>
  <si>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</si>
  <si>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</si>
  <si>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</si>
  <si>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</si>
  <si>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</si>
  <si>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</si>
  <si>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</si>
  <si>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</si>
  <si>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</si>
  <si>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</si>
  <si>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</si>
  <si>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</si>
  <si>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</si>
  <si>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</si>
  <si>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</si>
  <si>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</si>
  <si>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</si>
  <si>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</si>
  <si>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</si>
  <si>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</si>
  <si>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</si>
  <si>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</si>
  <si>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</si>
  <si>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</si>
  <si>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</si>
  <si>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</si>
  <si>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</si>
  <si>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</si>
  <si>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</si>
  <si>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</si>
  <si>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</si>
  <si>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</si>
  <si>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</si>
  <si>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</si>
  <si>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</si>
  <si>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</si>
  <si>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</si>
  <si>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</si>
  <si>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</si>
  <si>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</si>
  <si>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</si>
  <si>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</si>
  <si>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</si>
  <si>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</si>
  <si>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</si>
  <si>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</si>
  <si>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</si>
  <si>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</si>
  <si>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</si>
  <si>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</si>
  <si>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</si>
  <si>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</si>
  <si>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</si>
  <si>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</si>
  <si>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</si>
  <si>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</si>
  <si>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</si>
  <si>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</si>
  <si>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</si>
  <si>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</si>
  <si>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</si>
  <si>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</si>
  <si>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</si>
  <si>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</si>
  <si>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</si>
  <si>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</si>
  <si>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</si>
  <si>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</si>
  <si>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</si>
  <si>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</si>
  <si>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</si>
  <si>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</si>
  <si>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</si>
  <si>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</si>
  <si>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</si>
  <si>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</si>
  <si>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</si>
  <si>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</si>
  <si>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</si>
  <si>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</si>
  <si>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</si>
  <si>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</si>
  <si>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</si>
  <si>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</si>
  <si>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</si>
  <si>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</si>
  <si>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</si>
  <si>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</si>
  <si>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</si>
  <si>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</si>
  <si>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</si>
  <si>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</si>
  <si>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</si>
  <si>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</si>
  <si>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</si>
  <si>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</si>
  <si>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</si>
  <si>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</si>
  <si>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</si>
  <si>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</si>
  <si>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</si>
  <si>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</si>
  <si>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</si>
  <si>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</si>
  <si>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</si>
  <si>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</si>
  <si>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</si>
  <si>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</si>
  <si>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</si>
  <si>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</si>
  <si>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</si>
  <si>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</si>
  <si>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</si>
  <si>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</si>
  <si>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</si>
  <si>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</si>
  <si>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</si>
  <si>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</si>
  <si>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</si>
  <si>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</si>
  <si>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</si>
  <si>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</si>
  <si>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</si>
  <si>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</si>
  <si>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</si>
  <si>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</si>
  <si>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</si>
  <si>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</si>
  <si>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</si>
  <si>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</si>
  <si>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</si>
  <si>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</si>
  <si>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</si>
  <si>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</si>
  <si>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</si>
  <si>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</si>
  <si>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</si>
  <si>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</si>
  <si>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</si>
  <si>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</si>
  <si>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</si>
  <si>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</si>
  <si>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</si>
  <si>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</si>
  <si>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</si>
  <si>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</si>
  <si>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</si>
  <si>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</si>
  <si>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</si>
  <si>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</si>
  <si>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</si>
  <si>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</si>
  <si>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</si>
  <si>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</si>
  <si>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</si>
  <si>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</si>
  <si>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</si>
  <si>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</si>
  <si>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</si>
  <si>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</si>
  <si>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</si>
  <si>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</si>
  <si>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</si>
  <si>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</si>
  <si>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</si>
  <si>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</si>
  <si>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</si>
  <si>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</si>
  <si>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</si>
  <si>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</si>
  <si>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</si>
  <si>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</si>
  <si>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</si>
  <si>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</si>
  <si>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</si>
  <si>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</si>
  <si>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</si>
  <si>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</si>
  <si>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</si>
  <si>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</si>
  <si>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</si>
  <si>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</si>
  <si>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</si>
  <si>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</si>
  <si>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</si>
  <si>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</si>
  <si>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</si>
  <si>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</si>
  <si>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</si>
  <si>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</si>
  <si>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</si>
  <si>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</si>
  <si>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</si>
  <si>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</si>
  <si>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</si>
  <si>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</si>
  <si>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</si>
  <si>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</si>
  <si>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</si>
  <si>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</si>
  <si>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</si>
  <si>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</si>
  <si>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</si>
  <si>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</si>
  <si>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</si>
  <si>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"1983/2023 - 40 AÑOS DE DEMOCRACIA”</t>
  </si>
  <si>
    <t>ÁMBITO OFICIAL</t>
  </si>
  <si>
    <t>ÁMBITO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</si>
</sst>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</numFmts>
  <fonts count="37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38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  <xf numFmtId="177" fontId="15" fillId="0" borderId="10" xfId="21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26</xdr:col>
      <xdr:colOff>66675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workbookViewId="0" topLeftCell="A1">
      <pane ySplit="1" topLeftCell="A86" activePane="bottomLeft" state="frozen"/>
      <selection pane="bottomLeft" activeCell="C99" sqref="C99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1">
        <v>35.2576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3">
        <v>0.2</v>
      </c>
    </row>
    <row r="4" spans="1:14" s="81" customFormat="1" ht="12.75">
      <c r="A4" s="80" t="s">
        <v>4</v>
      </c>
      <c r="B4" s="80" t="s">
        <v>662</v>
      </c>
      <c r="C4" s="6">
        <v>0.15</v>
      </c>
      <c r="H4" s="84"/>
      <c r="I4" s="81">
        <v>2</v>
      </c>
      <c r="J4" s="83">
        <v>0.15</v>
      </c>
      <c r="L4" s="137">
        <v>3</v>
      </c>
      <c r="N4" s="213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ROUND((('Escala Docente'!F142*C5)+0.01),2)</f>
        <v>18023.69</v>
      </c>
      <c r="E5" s="95">
        <f>ROUND(D5/15,2)</f>
        <v>1201.58</v>
      </c>
      <c r="F5" s="84"/>
      <c r="G5" s="84"/>
      <c r="I5" s="81">
        <v>3</v>
      </c>
      <c r="J5" s="83">
        <v>0.15</v>
      </c>
      <c r="L5" s="137">
        <v>4</v>
      </c>
      <c r="N5" s="213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3">
        <v>0.8</v>
      </c>
    </row>
    <row r="7" spans="1:14" s="81" customFormat="1" ht="12.75">
      <c r="A7" s="162" t="s">
        <v>4</v>
      </c>
      <c r="B7" s="163" t="s">
        <v>9</v>
      </c>
      <c r="C7" s="175">
        <v>1195.69</v>
      </c>
      <c r="D7" s="95"/>
      <c r="E7" s="83"/>
      <c r="G7" s="175">
        <v>1103.71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>
      <c r="A8" s="162" t="s">
        <v>4</v>
      </c>
      <c r="B8" s="164" t="s">
        <v>10</v>
      </c>
      <c r="C8" s="175">
        <v>44191.25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>
      <c r="A9" s="162" t="s">
        <v>4</v>
      </c>
      <c r="B9" s="164" t="s">
        <v>11</v>
      </c>
      <c r="C9" s="101">
        <v>44305.44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4</v>
      </c>
      <c r="B10" s="164" t="s">
        <v>622</v>
      </c>
      <c r="C10" s="101">
        <v>36080.5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>
      <c r="A11" s="162" t="s">
        <v>4</v>
      </c>
      <c r="B11" s="164" t="s">
        <v>808</v>
      </c>
      <c r="C11" s="101">
        <v>31438.19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>
      <c r="A12" s="162" t="s">
        <v>4</v>
      </c>
      <c r="B12" s="163" t="s">
        <v>12</v>
      </c>
      <c r="C12" s="101">
        <v>79989.38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>
      <c r="A13" s="162" t="s">
        <v>4</v>
      </c>
      <c r="B13" s="164" t="s">
        <v>13</v>
      </c>
      <c r="C13" s="101">
        <v>32295.04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17" t="str">
        <f ca="1">MID(CELL("FILENAME",N30),FIND("[",CELL("FILENAME",N30))+1,FIND("]",CELL("FILENAME",N30))-FIND("[",CELL("FILENAME",N30))-6)</f>
        <v>Esc Doc 2023 04 Cba V 1 1</v>
      </c>
      <c r="N13" s="217"/>
    </row>
    <row r="14" spans="1:13" s="81" customFormat="1" ht="12.75">
      <c r="A14" s="162" t="s">
        <v>4</v>
      </c>
      <c r="B14" s="164" t="s">
        <v>14</v>
      </c>
      <c r="C14" s="175">
        <v>35109.44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04</v>
      </c>
    </row>
    <row r="15" spans="1:13" s="81" customFormat="1" ht="12.75">
      <c r="A15" s="162" t="s">
        <v>4</v>
      </c>
      <c r="B15" s="164" t="s">
        <v>609</v>
      </c>
      <c r="C15" s="101">
        <v>50944.6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>
      <c r="A16" s="162" t="s">
        <v>4</v>
      </c>
      <c r="B16" s="164" t="s">
        <v>814</v>
      </c>
      <c r="C16" s="101">
        <v>30467.13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ABRIL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637</v>
      </c>
    </row>
    <row r="18" spans="1:13" s="81" customFormat="1" ht="12.75">
      <c r="A18" s="162" t="s">
        <v>4</v>
      </c>
      <c r="B18" s="163" t="s">
        <v>15</v>
      </c>
      <c r="C18" s="101">
        <v>376.06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638</v>
      </c>
    </row>
    <row r="19" spans="1:13" s="81" customFormat="1" ht="12.75">
      <c r="A19" s="162" t="s">
        <v>4</v>
      </c>
      <c r="B19" s="163" t="s">
        <v>631</v>
      </c>
      <c r="C19" s="101">
        <v>16771.31</v>
      </c>
      <c r="D19" s="95"/>
      <c r="E19" s="216" t="s">
        <v>574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639</v>
      </c>
    </row>
    <row r="20" spans="1:13" s="81" customFormat="1" ht="12.75">
      <c r="A20" s="162" t="s">
        <v>4</v>
      </c>
      <c r="B20" s="163" t="s">
        <v>632</v>
      </c>
      <c r="C20" s="101">
        <v>16599.84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640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641</v>
      </c>
    </row>
    <row r="22" spans="1:13" s="81" customFormat="1" ht="12.75">
      <c r="A22" s="80" t="s">
        <v>4</v>
      </c>
      <c r="B22" s="86" t="s">
        <v>633</v>
      </c>
      <c r="C22" s="175">
        <v>16079.99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642</v>
      </c>
    </row>
    <row r="23" spans="1:13" s="81" customFormat="1" ht="12.75">
      <c r="A23" s="80" t="s">
        <v>4</v>
      </c>
      <c r="B23" s="86" t="s">
        <v>630</v>
      </c>
      <c r="C23" s="175">
        <v>14966.19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643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644</v>
      </c>
    </row>
    <row r="25" spans="1:13" s="81" customFormat="1" ht="12.75">
      <c r="A25" s="80" t="s">
        <v>4</v>
      </c>
      <c r="B25" s="86" t="s">
        <v>16</v>
      </c>
      <c r="C25" s="101">
        <v>737.18</v>
      </c>
      <c r="D25" s="95"/>
      <c r="F25" s="87">
        <f>+C25*1.5</f>
        <v>1105.77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645</v>
      </c>
    </row>
    <row r="26" spans="1:13" s="81" customFormat="1" ht="12.75">
      <c r="A26" s="80" t="s">
        <v>4</v>
      </c>
      <c r="B26" s="86" t="s">
        <v>17</v>
      </c>
      <c r="C26" s="101">
        <v>737.18</v>
      </c>
      <c r="D26" s="95"/>
      <c r="F26" s="87">
        <f>C26</f>
        <v>737.18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646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647</v>
      </c>
    </row>
    <row r="28" spans="1:13" s="81" customFormat="1" ht="12.75">
      <c r="A28" s="80" t="s">
        <v>4</v>
      </c>
      <c r="B28" s="81" t="s">
        <v>18</v>
      </c>
      <c r="C28" s="101">
        <v>29.54</v>
      </c>
      <c r="F28" s="87">
        <f>F25</f>
        <v>1105.77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648</v>
      </c>
    </row>
    <row r="29" spans="1:10" s="81" customFormat="1" ht="13.5" thickBot="1">
      <c r="A29" s="91" t="s">
        <v>4</v>
      </c>
      <c r="B29" s="92" t="s">
        <v>19</v>
      </c>
      <c r="C29" s="101">
        <v>24.6</v>
      </c>
      <c r="D29" s="92"/>
      <c r="E29" s="92"/>
      <c r="F29" s="93">
        <f>F26</f>
        <v>737.18</v>
      </c>
      <c r="G29" s="175">
        <v>22.7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>
      <c r="A33" s="96" t="s">
        <v>8</v>
      </c>
      <c r="B33" s="96" t="s">
        <v>809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 t="s">
        <v>8</v>
      </c>
      <c r="B34" s="96" t="s">
        <v>810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 t="s">
        <v>8</v>
      </c>
      <c r="B35" s="96" t="s">
        <v>649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650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 t="s">
        <v>8</v>
      </c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>
      <c r="A39" s="74" t="s">
        <v>8</v>
      </c>
      <c r="B39" s="74" t="s">
        <v>659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>
      <c r="A40" s="74" t="s">
        <v>8</v>
      </c>
      <c r="B40" s="74" t="s">
        <v>816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636</v>
      </c>
      <c r="C42" s="100">
        <v>11110.09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635</v>
      </c>
      <c r="C43" s="101">
        <v>11815.4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634</v>
      </c>
      <c r="C44" s="101">
        <v>12520.87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812</v>
      </c>
      <c r="C45" s="101">
        <v>13220.87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811</v>
      </c>
      <c r="C46" s="101">
        <v>15342.02</v>
      </c>
      <c r="D46" s="6"/>
      <c r="E46" s="165"/>
      <c r="F46" s="8">
        <v>21888.296021478523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813</v>
      </c>
      <c r="C47" s="101">
        <v>18842.02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815</v>
      </c>
      <c r="C48" s="101">
        <v>16042.01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629.82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936.39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653</v>
      </c>
      <c r="C51" s="101">
        <v>468.2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>
      <c r="A55" s="74" t="s">
        <v>8</v>
      </c>
      <c r="B55" s="2" t="s">
        <v>27</v>
      </c>
      <c r="C55" s="100">
        <v>327.6</v>
      </c>
    </row>
    <row r="56" spans="1:3" ht="12.75">
      <c r="A56" s="74" t="s">
        <v>8</v>
      </c>
      <c r="B56" s="2" t="s">
        <v>28</v>
      </c>
      <c r="C56" s="100">
        <v>170.34</v>
      </c>
    </row>
    <row r="57" spans="1:3" ht="12.75">
      <c r="A57" s="74" t="s">
        <v>8</v>
      </c>
      <c r="B57" s="2" t="s">
        <v>29</v>
      </c>
      <c r="C57" s="101">
        <v>327.6</v>
      </c>
    </row>
    <row r="58" spans="1:9" ht="12.75">
      <c r="A58" s="74" t="s">
        <v>8</v>
      </c>
      <c r="B58" s="2" t="s">
        <v>30</v>
      </c>
      <c r="C58" s="101">
        <v>155.18</v>
      </c>
      <c r="I58" s="174">
        <f>+C63/15</f>
        <v>561.8580000000001</v>
      </c>
    </row>
    <row r="59" spans="1:9" ht="12.75">
      <c r="A59" s="74" t="s">
        <v>8</v>
      </c>
      <c r="B59" s="2" t="s">
        <v>31</v>
      </c>
      <c r="C59" s="101">
        <v>149.55200000000002</v>
      </c>
      <c r="I59" s="3"/>
    </row>
    <row r="60" spans="1:9" ht="12.75">
      <c r="A60" s="74" t="s">
        <v>8</v>
      </c>
      <c r="B60" s="2" t="s">
        <v>32</v>
      </c>
      <c r="C60" s="101">
        <v>252.668</v>
      </c>
      <c r="I60" s="3"/>
    </row>
    <row r="61" spans="1:9" ht="12.75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623</v>
      </c>
      <c r="C63" s="100">
        <v>8427.87</v>
      </c>
      <c r="D63" s="3">
        <f>ROUND(C63/15,2)</f>
        <v>561.86</v>
      </c>
      <c r="E63" s="79">
        <v>38.47</v>
      </c>
      <c r="F63" s="3">
        <f>(+C63*2)+0.01</f>
        <v>16855.75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848.55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654</v>
      </c>
      <c r="C65" s="100">
        <v>424.28</v>
      </c>
      <c r="D65" s="172"/>
      <c r="F65" s="3"/>
      <c r="G65" s="175">
        <v>15165.02</v>
      </c>
    </row>
    <row r="66" spans="1:7" ht="12.75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>
      <c r="A69" s="74"/>
      <c r="B69" s="2" t="s">
        <v>36</v>
      </c>
      <c r="C69" s="9">
        <v>0</v>
      </c>
      <c r="D69" s="10"/>
      <c r="G69" s="212"/>
    </row>
    <row r="70" spans="1:7" ht="12.75">
      <c r="A70" s="75" t="s">
        <v>607</v>
      </c>
      <c r="B70" s="75"/>
      <c r="C70" s="76"/>
      <c r="D70" s="75"/>
      <c r="E70" s="75"/>
      <c r="F70" s="75"/>
      <c r="G70" s="75"/>
    </row>
    <row r="71" spans="1:3" ht="12.75">
      <c r="A71" s="74"/>
      <c r="B71" t="s">
        <v>37</v>
      </c>
      <c r="C71" s="11">
        <v>-0.11</v>
      </c>
    </row>
    <row r="72" spans="1:3" ht="12.75">
      <c r="A72" s="74"/>
      <c r="B72" t="s">
        <v>38</v>
      </c>
      <c r="C72" s="11">
        <v>0</v>
      </c>
    </row>
    <row r="73" spans="1:3" ht="12.75">
      <c r="A73" s="74"/>
      <c r="B73" t="s">
        <v>39</v>
      </c>
      <c r="C73" s="11">
        <v>-0.045</v>
      </c>
    </row>
    <row r="74" spans="1:3" ht="12.75">
      <c r="A74" s="74"/>
      <c r="B74" t="s">
        <v>40</v>
      </c>
      <c r="C74" s="11">
        <v>-0.027</v>
      </c>
    </row>
    <row r="75" spans="1:7" ht="12.75">
      <c r="A75" s="74"/>
      <c r="B75" t="s">
        <v>41</v>
      </c>
      <c r="C75" s="11">
        <v>-0.003</v>
      </c>
      <c r="G75" s="212"/>
    </row>
    <row r="76" spans="1:7" ht="12.75">
      <c r="A76" s="75" t="s">
        <v>607</v>
      </c>
      <c r="B76" s="75"/>
      <c r="C76" s="76"/>
      <c r="D76" s="75"/>
      <c r="E76" s="75"/>
      <c r="F76" s="75"/>
      <c r="G76" s="75"/>
    </row>
    <row r="77" spans="1:3" ht="12.75">
      <c r="A77" s="74"/>
      <c r="B77" t="s">
        <v>42</v>
      </c>
      <c r="C77" s="11">
        <v>0.16</v>
      </c>
    </row>
    <row r="78" spans="1:3" ht="12.75">
      <c r="A78" s="74"/>
      <c r="B78" t="s">
        <v>43</v>
      </c>
      <c r="C78" s="11">
        <v>0.07</v>
      </c>
    </row>
    <row r="79" spans="1:7" ht="12.75">
      <c r="A79" s="74"/>
      <c r="B79" t="s">
        <v>44</v>
      </c>
      <c r="C79" s="11">
        <v>0.01</v>
      </c>
      <c r="G79" s="212"/>
    </row>
    <row r="80" spans="1:7" ht="12.75">
      <c r="A80" s="75" t="s">
        <v>607</v>
      </c>
      <c r="B80" s="75"/>
      <c r="C80" s="76"/>
      <c r="D80" s="75"/>
      <c r="E80" s="75"/>
      <c r="F80" s="75"/>
      <c r="G80" s="75"/>
    </row>
    <row r="81" spans="1:3" ht="12.75">
      <c r="A81" s="74"/>
      <c r="B81" t="s">
        <v>45</v>
      </c>
      <c r="C81" s="11">
        <v>0.035</v>
      </c>
    </row>
    <row r="82" spans="1:3" ht="12.75">
      <c r="A82" s="74"/>
      <c r="B82" t="s">
        <v>46</v>
      </c>
      <c r="C82" s="11">
        <v>0.006</v>
      </c>
    </row>
    <row r="83" spans="1:7" ht="12.75">
      <c r="A83" s="74"/>
      <c r="B83" t="s">
        <v>47</v>
      </c>
      <c r="C83" s="11">
        <v>0.054</v>
      </c>
      <c r="G83" s="212"/>
    </row>
    <row r="84" spans="1:7" ht="12.75">
      <c r="A84" s="75" t="s">
        <v>607</v>
      </c>
      <c r="B84" s="75"/>
      <c r="C84" s="76"/>
      <c r="D84" s="75"/>
      <c r="E84" s="75"/>
      <c r="F84" s="75"/>
      <c r="G84" s="75"/>
    </row>
    <row r="85" spans="1:7" ht="12.75">
      <c r="A85" s="74"/>
      <c r="B85" t="s">
        <v>48</v>
      </c>
      <c r="C85" s="4">
        <v>0.5</v>
      </c>
      <c r="G85" s="212"/>
    </row>
    <row r="86" spans="1:7" ht="12.75">
      <c r="A86" s="75" t="s">
        <v>607</v>
      </c>
      <c r="B86" s="75"/>
      <c r="C86" s="76"/>
      <c r="D86" s="75"/>
      <c r="E86" s="75"/>
      <c r="F86" s="75"/>
      <c r="G86" s="75"/>
    </row>
    <row r="87" spans="1:5" ht="12.75">
      <c r="A87" s="74" t="s">
        <v>4</v>
      </c>
      <c r="B87" s="74" t="s">
        <v>624</v>
      </c>
      <c r="C87" s="8">
        <v>0</v>
      </c>
      <c r="E87" s="8"/>
    </row>
    <row r="88" spans="1:5" ht="12.75">
      <c r="A88" s="74" t="s">
        <v>4</v>
      </c>
      <c r="B88" s="74" t="s">
        <v>625</v>
      </c>
      <c r="C88" s="8">
        <v>0</v>
      </c>
      <c r="E88" s="8"/>
    </row>
    <row r="89" spans="1:6" ht="12.75">
      <c r="A89" s="74" t="s">
        <v>4</v>
      </c>
      <c r="B89" s="74" t="s">
        <v>626</v>
      </c>
      <c r="C89" s="100">
        <v>0</v>
      </c>
      <c r="E89" s="8"/>
      <c r="F89" s="8">
        <f>+C89</f>
        <v>0</v>
      </c>
    </row>
    <row r="90" spans="1:5" ht="12.75">
      <c r="A90" s="74" t="s">
        <v>4</v>
      </c>
      <c r="B90" s="74" t="s">
        <v>627</v>
      </c>
      <c r="C90" s="8">
        <v>0</v>
      </c>
      <c r="E90" s="8"/>
    </row>
    <row r="91" spans="1:5" ht="12.75">
      <c r="A91" s="74" t="s">
        <v>4</v>
      </c>
      <c r="B91" s="74" t="s">
        <v>655</v>
      </c>
      <c r="C91" s="8">
        <v>0</v>
      </c>
      <c r="E91" s="8"/>
    </row>
    <row r="92" spans="1:5" ht="12.75">
      <c r="A92" s="74" t="s">
        <v>4</v>
      </c>
      <c r="B92" s="74" t="s">
        <v>657</v>
      </c>
      <c r="C92" s="8">
        <f>C91/2</f>
        <v>0</v>
      </c>
      <c r="E92" s="8"/>
    </row>
    <row r="93" spans="1:5" ht="12.75">
      <c r="A93" s="74"/>
      <c r="B93" s="74"/>
      <c r="C93" s="8"/>
      <c r="E93" s="8"/>
    </row>
    <row r="94" spans="1:9" ht="12.75">
      <c r="A94" s="74" t="s">
        <v>4</v>
      </c>
      <c r="B94" s="74" t="s">
        <v>611</v>
      </c>
      <c r="C94" s="8">
        <v>26214.39</v>
      </c>
      <c r="F94" s="8">
        <f aca="true" t="shared" si="0" ref="F94:F95">C94</f>
        <v>26214.39</v>
      </c>
      <c r="G94" s="175">
        <v>7582.51</v>
      </c>
      <c r="I94" s="175"/>
    </row>
    <row r="95" spans="1:9" ht="12.75">
      <c r="A95" s="74" t="s">
        <v>4</v>
      </c>
      <c r="B95" s="74" t="s">
        <v>612</v>
      </c>
      <c r="C95" s="8">
        <v>31457.27</v>
      </c>
      <c r="F95" s="8">
        <f t="shared" si="0"/>
        <v>31457.27</v>
      </c>
      <c r="G95" s="175">
        <v>9099.01</v>
      </c>
      <c r="I95" s="175"/>
    </row>
    <row r="96" spans="1:9" ht="12.75">
      <c r="A96" s="74" t="s">
        <v>4</v>
      </c>
      <c r="B96" s="74" t="s">
        <v>613</v>
      </c>
      <c r="C96" s="8">
        <v>52428.78</v>
      </c>
      <c r="F96" s="8">
        <f>C96</f>
        <v>52428.78</v>
      </c>
      <c r="G96" s="175">
        <v>15165.02</v>
      </c>
      <c r="I96" s="175"/>
    </row>
    <row r="97" spans="1:9" ht="12.75">
      <c r="A97" s="74" t="s">
        <v>4</v>
      </c>
      <c r="B97" s="74" t="s">
        <v>614</v>
      </c>
      <c r="C97" s="8">
        <v>1221.06</v>
      </c>
      <c r="F97" s="8">
        <f aca="true" t="shared" si="1" ref="F97:F99">C97</f>
        <v>1221.06</v>
      </c>
      <c r="G97" s="175">
        <v>335.93</v>
      </c>
      <c r="I97" s="175"/>
    </row>
    <row r="98" spans="1:9" ht="12.75">
      <c r="A98" s="74" t="s">
        <v>4</v>
      </c>
      <c r="B98" s="74" t="s">
        <v>656</v>
      </c>
      <c r="C98" s="8">
        <v>2621.44</v>
      </c>
      <c r="F98" s="8">
        <f t="shared" si="1"/>
        <v>2621.44</v>
      </c>
      <c r="G98" s="175">
        <v>758.26</v>
      </c>
      <c r="I98" s="175"/>
    </row>
    <row r="99" spans="1:9" ht="12.75">
      <c r="A99" s="74" t="s">
        <v>4</v>
      </c>
      <c r="B99" s="74" t="s">
        <v>658</v>
      </c>
      <c r="C99" s="8">
        <v>1310.72</v>
      </c>
      <c r="F99" s="8">
        <f t="shared" si="1"/>
        <v>1310.72</v>
      </c>
      <c r="G99" s="175">
        <v>379.13</v>
      </c>
      <c r="I99" s="175"/>
    </row>
    <row r="100" spans="2:3" ht="12.75">
      <c r="B100" s="74" t="s">
        <v>628</v>
      </c>
      <c r="C100" s="8">
        <v>-554.86</v>
      </c>
    </row>
    <row r="101" spans="2:3" ht="12.75">
      <c r="B101" t="s">
        <v>618</v>
      </c>
      <c r="C101" s="8">
        <v>-550</v>
      </c>
    </row>
  </sheetData>
  <autoFilter ref="A1:J95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4" ySplit="7" topLeftCell="F8" activePane="bottomRight" state="frozen"/>
      <selection pane="topRight" activeCell="U1" sqref="U1"/>
      <selection pane="bottomLeft" activeCell="A69" sqref="A69"/>
      <selection pane="bottomRight" activeCell="F8" sqref="F8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6.8515625" style="107" customWidth="1"/>
    <col min="16" max="16" width="7.00390625" style="107" customWidth="1"/>
    <col min="17" max="17" width="7.140625" style="107" customWidth="1"/>
    <col min="18" max="18" width="8.574218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8" t="str">
        <f ca="1">CONCATENATE(Valores!M16,"  ",Valores!M15)</f>
        <v>ABRIL  2023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0"/>
      <c r="AZ2" s="116">
        <f>(((F139+S139)*1.15)+O139+P139+Q139+AA139+AD139)*0.05</f>
        <v>6043.654375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8</v>
      </c>
      <c r="G3" s="221" t="s">
        <v>50</v>
      </c>
      <c r="H3" s="221"/>
      <c r="I3" s="222">
        <f>Valores!C2</f>
        <v>35.2576</v>
      </c>
      <c r="J3" s="222"/>
      <c r="K3" s="199"/>
      <c r="L3" s="177" t="e">
        <f>VLOOKUP(K3,Valores!L17:M28,2,)</f>
        <v>#N/A</v>
      </c>
      <c r="M3" s="176"/>
      <c r="N3" s="177"/>
      <c r="O3" s="227" t="s">
        <v>817</v>
      </c>
      <c r="P3" s="227"/>
      <c r="Q3" s="227"/>
      <c r="R3" s="227"/>
      <c r="S3" s="227"/>
      <c r="T3" s="227"/>
      <c r="U3" s="227"/>
      <c r="V3" s="227"/>
      <c r="AJ3" s="117" t="s">
        <v>4</v>
      </c>
      <c r="AK3" s="118"/>
      <c r="AL3" s="220"/>
      <c r="AM3" s="117" t="s">
        <v>4</v>
      </c>
      <c r="AN3" s="118"/>
      <c r="AO3" s="119">
        <f>Valores!C2</f>
        <v>35.2576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4" t="s">
        <v>621</v>
      </c>
      <c r="B4" s="225"/>
      <c r="C4" s="225"/>
      <c r="D4" s="226"/>
      <c r="E4" s="191"/>
      <c r="F4" s="133" t="s">
        <v>8</v>
      </c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4" t="s">
        <v>616</v>
      </c>
      <c r="B5" s="225"/>
      <c r="C5" s="225"/>
      <c r="D5" s="226"/>
      <c r="E5" s="191"/>
      <c r="F5" s="161">
        <v>0</v>
      </c>
      <c r="AL5" s="122"/>
      <c r="AM5" s="117"/>
      <c r="AN5" s="237" t="s">
        <v>818</v>
      </c>
      <c r="AO5" s="237"/>
      <c r="AP5" s="237"/>
      <c r="AQ5" s="237"/>
      <c r="AR5" s="237"/>
      <c r="AS5" s="237"/>
      <c r="AT5" s="237" t="s">
        <v>819</v>
      </c>
      <c r="AU5" s="237"/>
      <c r="AV5" s="237"/>
      <c r="AW5" s="237"/>
    </row>
    <row r="6" spans="1:1020" s="147" customFormat="1" ht="37.5" customHeight="1">
      <c r="A6" s="183"/>
      <c r="B6" s="184"/>
      <c r="C6" s="184"/>
      <c r="D6" s="183"/>
      <c r="E6" s="228" t="s">
        <v>52</v>
      </c>
      <c r="F6" s="229"/>
      <c r="G6" s="230" t="s">
        <v>53</v>
      </c>
      <c r="H6" s="230"/>
      <c r="I6" s="231" t="s">
        <v>54</v>
      </c>
      <c r="J6" s="231"/>
      <c r="K6" s="223" t="s">
        <v>55</v>
      </c>
      <c r="L6" s="223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$18.023,69)</v>
      </c>
      <c r="Q6" s="150" t="s">
        <v>59</v>
      </c>
      <c r="R6" s="169" t="str">
        <f>CONCATENATE("Gtos. Inh. Lab. Doc. (tope ",TEXT(Valores!F46,"$0.000,00"),")")</f>
        <v>Gtos. Inh. Lab. Doc. (tope $21.888,30)</v>
      </c>
      <c r="S6" s="151" t="s">
        <v>60</v>
      </c>
      <c r="T6" s="150" t="s">
        <v>60</v>
      </c>
      <c r="U6" s="150" t="s">
        <v>61</v>
      </c>
      <c r="V6" s="150" t="s">
        <v>62</v>
      </c>
      <c r="W6" s="232" t="s">
        <v>63</v>
      </c>
      <c r="X6" s="232"/>
      <c r="Y6" s="150" t="s">
        <v>64</v>
      </c>
      <c r="Z6" s="159" t="str">
        <f>CONCATENATE("Bonif. Compensatoria Rem. (tope ",TEXT(Valores!F96,"$0.000,00"),")")</f>
        <v>Bonif. Compensatoria Rem. (tope $52.428,78)</v>
      </c>
      <c r="AA6" s="159" t="str">
        <f>CONCATENATE("Ad R Doc (tope ",TEXT(Valores!F25,"$0,00"),")")</f>
        <v>Ad R Doc (tope $1105,77)</v>
      </c>
      <c r="AB6" s="159" t="s">
        <v>696</v>
      </c>
      <c r="AC6" s="150" t="s">
        <v>65</v>
      </c>
      <c r="AD6" s="158" t="str">
        <f>CONCATENATE("Nuevo  A.R.D. (tope ",TEXT(Valores!F26,"$0,00"),")")</f>
        <v>Nuevo  A.R.D. (tope $737,18)</v>
      </c>
      <c r="AE6" s="223" t="s">
        <v>66</v>
      </c>
      <c r="AF6" s="223"/>
      <c r="AG6" s="158" t="str">
        <f>CONCATENATE("Ap Mat Did Rem. (tope ",TEXT(Valores!F63,"$0.000,00"),")")</f>
        <v>Ap Mat Did Rem. (tope $16.855,75)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617</v>
      </c>
      <c r="AR6" s="152" t="s">
        <v>618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629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661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615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688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619</v>
      </c>
      <c r="AR7" s="160" t="s">
        <v>620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3772.56</v>
      </c>
      <c r="G8" s="192">
        <v>3779</v>
      </c>
      <c r="H8" s="125">
        <f>ROUND(G8*Valores!$C$2,2)</f>
        <v>133238.47</v>
      </c>
      <c r="I8" s="192">
        <v>219</v>
      </c>
      <c r="J8" s="125">
        <f>ROUND(I8*Valores!$C$2,2)</f>
        <v>7721.41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24011.17</v>
      </c>
      <c r="N8" s="125">
        <f aca="true" t="shared" si="1" ref="N8:N71">ROUND(SUM(F8,H8,J8,L8,X8,R8)*$H$2,2)</f>
        <v>0</v>
      </c>
      <c r="O8" s="125">
        <f>Valores!$C$11</f>
        <v>31438.19</v>
      </c>
      <c r="P8" s="125">
        <f>Valores!$D$5</f>
        <v>18023.69</v>
      </c>
      <c r="Q8" s="125">
        <v>0</v>
      </c>
      <c r="R8" s="125">
        <f>IF($F$4="NO",Valores!$C$46,Valores!$C$46/2)</f>
        <v>15342.02</v>
      </c>
      <c r="S8" s="125">
        <v>0</v>
      </c>
      <c r="T8" s="125">
        <f>ROUND(S8*(1+$H$2),2)</f>
        <v>0</v>
      </c>
      <c r="U8" s="125">
        <f>SUM(F8,H8,J8)</f>
        <v>144732.44</v>
      </c>
      <c r="V8" s="125">
        <f>INT((SUM(F8,H8,J8)*0.4*100)+0.49)/100</f>
        <v>57892.98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26214.39</v>
      </c>
      <c r="AA8" s="125">
        <f>Valores!$C$25</f>
        <v>737.18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737.18</v>
      </c>
      <c r="AE8" s="192">
        <v>0</v>
      </c>
      <c r="AF8" s="125">
        <f>ROUND(AE8*Valores!$C$2,2)</f>
        <v>0</v>
      </c>
      <c r="AG8" s="125">
        <f>ROUND(IF($F$4="NO",Valores!$C$63,Valores!$C$63/2),2)</f>
        <v>8427.87</v>
      </c>
      <c r="AH8" s="125">
        <f>SUM(F8,H8,J8,L8,M8,N8,O8,P8,Q8,R8,T8,U8,V8,X8,Y8,Z8,AA8,AC8,AD8,AF8,AG8)</f>
        <v>472289.54999999993</v>
      </c>
      <c r="AI8" s="125">
        <f>Valores!$C$31</f>
        <v>0</v>
      </c>
      <c r="AJ8" s="125">
        <f>Valores!$C$87</f>
        <v>0</v>
      </c>
      <c r="AK8" s="125">
        <f>Valores!C$38*B8</f>
        <v>0</v>
      </c>
      <c r="AL8" s="125">
        <f>IF($F$3="NO",0,Valores!$C$55)</f>
        <v>0</v>
      </c>
      <c r="AM8" s="125">
        <f aca="true" t="shared" si="3" ref="AM8:AM71">SUM(AI8:AL8)</f>
        <v>0</v>
      </c>
      <c r="AN8" s="125">
        <f>AH8*Valores!$C$71</f>
        <v>-51951.85049999999</v>
      </c>
      <c r="AO8" s="125">
        <f>AH8*-Valores!$C$72</f>
        <v>0</v>
      </c>
      <c r="AP8" s="125">
        <f>AH8*Valores!$C$73</f>
        <v>-21253.029749999998</v>
      </c>
      <c r="AQ8" s="125">
        <f>Valores!$C$100</f>
        <v>-554.86</v>
      </c>
      <c r="AR8" s="125">
        <f>IF($F$5=0,Valores!$C$101,(Valores!$C$101+$F$5*(Valores!$C$101)))</f>
        <v>-550</v>
      </c>
      <c r="AS8" s="125">
        <f>AH8+AM8+SUM(AN8:AR8)</f>
        <v>397979.80974999996</v>
      </c>
      <c r="AT8" s="125">
        <f t="shared" si="0"/>
        <v>-51951.85049999999</v>
      </c>
      <c r="AU8" s="125">
        <f>AH8*Valores!$C$74</f>
        <v>-12751.817849999998</v>
      </c>
      <c r="AV8" s="125">
        <f>AH8*Valores!$C$75</f>
        <v>-1416.86865</v>
      </c>
      <c r="AW8" s="125">
        <f aca="true" t="shared" si="4" ref="AW8:AW71">AH8+AM8+SUM(AT8:AV8)</f>
        <v>406169.0129999999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3772.56</v>
      </c>
      <c r="G9" s="192">
        <v>3779</v>
      </c>
      <c r="H9" s="125">
        <f>ROUND(G9*Valores!$C$2,2)</f>
        <v>133238.47</v>
      </c>
      <c r="I9" s="192">
        <v>219</v>
      </c>
      <c r="J9" s="125">
        <f>ROUND(I9*Valores!$C$2,2)</f>
        <v>7721.41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24011.17</v>
      </c>
      <c r="N9" s="125">
        <f t="shared" si="1"/>
        <v>0</v>
      </c>
      <c r="O9" s="125">
        <f>Valores!$C$11</f>
        <v>31438.19</v>
      </c>
      <c r="P9" s="125">
        <f>Valores!$D$5</f>
        <v>18023.69</v>
      </c>
      <c r="Q9" s="125">
        <v>0</v>
      </c>
      <c r="R9" s="125">
        <f>IF($F$4="NO",Valores!$C$46,Valores!$C$46/2)</f>
        <v>15342.02</v>
      </c>
      <c r="S9" s="125">
        <v>0</v>
      </c>
      <c r="T9" s="125">
        <f>ROUND(S9*(1+$H$2),2)</f>
        <v>0</v>
      </c>
      <c r="U9" s="125">
        <f>SUM(F9,H9,J9)</f>
        <v>144732.44</v>
      </c>
      <c r="V9" s="125">
        <f>INT((SUM(F9,H9,J9)*0.4*100)+0.49)/100</f>
        <v>57892.98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26214.39</v>
      </c>
      <c r="AA9" s="125">
        <f>Valores!$C$25</f>
        <v>737.18</v>
      </c>
      <c r="AB9" s="214">
        <v>0</v>
      </c>
      <c r="AC9" s="125">
        <f t="shared" si="2"/>
        <v>0</v>
      </c>
      <c r="AD9" s="125">
        <f>Valores!$C$26</f>
        <v>737.18</v>
      </c>
      <c r="AE9" s="192">
        <v>0</v>
      </c>
      <c r="AF9" s="125">
        <f>ROUND(AE9*Valores!$C$2,2)</f>
        <v>0</v>
      </c>
      <c r="AG9" s="125">
        <f>ROUND(IF($F$4="NO",Valores!$C$63,Valores!$C$63/2),2)</f>
        <v>8427.87</v>
      </c>
      <c r="AH9" s="125">
        <f aca="true" t="shared" si="5" ref="AH9:AH72">SUM(F9,H9,J9,L9,M9,N9,O9,P9,Q9,R9,T9,U9,V9,X9,Y9,Z9,AA9,AC9,AD9,AF9,AG9)</f>
        <v>472289.54999999993</v>
      </c>
      <c r="AI9" s="125">
        <f>Valores!$C$31</f>
        <v>0</v>
      </c>
      <c r="AJ9" s="125">
        <f>Valores!$C$87</f>
        <v>0</v>
      </c>
      <c r="AK9" s="125">
        <f>Valores!C$38*B9</f>
        <v>0</v>
      </c>
      <c r="AL9" s="125">
        <f>IF($F$3="NO",0,Valores!$C$55)</f>
        <v>0</v>
      </c>
      <c r="AM9" s="125">
        <f t="shared" si="3"/>
        <v>0</v>
      </c>
      <c r="AN9" s="125">
        <f>AH9*Valores!$C$71</f>
        <v>-51951.85049999999</v>
      </c>
      <c r="AO9" s="125">
        <f>AH9*-Valores!$C$72</f>
        <v>0</v>
      </c>
      <c r="AP9" s="125">
        <f>AH9*Valores!$C$73</f>
        <v>-21253.029749999998</v>
      </c>
      <c r="AQ9" s="125">
        <f>Valores!$C$100</f>
        <v>-554.86</v>
      </c>
      <c r="AR9" s="125">
        <f>IF($F$5=0,Valores!$C$101,(Valores!$C$101+$F$5*(Valores!$C$101)))</f>
        <v>-550</v>
      </c>
      <c r="AS9" s="125">
        <f aca="true" t="shared" si="6" ref="AS9:AS72">AH9+SUM(AM9:AR9)</f>
        <v>397979.80974999996</v>
      </c>
      <c r="AT9" s="125">
        <f t="shared" si="0"/>
        <v>-51951.85049999999</v>
      </c>
      <c r="AU9" s="125">
        <f>AH9*Valores!$C$74</f>
        <v>-12751.817849999998</v>
      </c>
      <c r="AV9" s="125">
        <f>AH9*Valores!$C$75</f>
        <v>-1416.86865</v>
      </c>
      <c r="AW9" s="125">
        <f t="shared" si="4"/>
        <v>406169.0129999999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3772.56</v>
      </c>
      <c r="G10" s="192">
        <v>3720</v>
      </c>
      <c r="H10" s="125">
        <f>ROUND(G10*Valores!$C$2,2)</f>
        <v>131158.27</v>
      </c>
      <c r="I10" s="192">
        <v>1226</v>
      </c>
      <c r="J10" s="125">
        <f>ROUND(I10*Valores!$C$2,2)</f>
        <v>43225.82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31540.5</v>
      </c>
      <c r="N10" s="125">
        <f t="shared" si="1"/>
        <v>0</v>
      </c>
      <c r="O10" s="125">
        <f>Valores!$C$13</f>
        <v>32295.04</v>
      </c>
      <c r="P10" s="125">
        <f>Valores!$D$5</f>
        <v>18023.69</v>
      </c>
      <c r="Q10" s="125">
        <v>0</v>
      </c>
      <c r="R10" s="125">
        <f>IF($F$4="NO",Valores!$C$46,Valores!$C$46/2)</f>
        <v>15342.02</v>
      </c>
      <c r="S10" s="125">
        <f>Valores!$C$19</f>
        <v>16771.31</v>
      </c>
      <c r="T10" s="125">
        <f>ROUND(S10*(1+$H$2),2)</f>
        <v>16771.31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26214.39</v>
      </c>
      <c r="AA10" s="125">
        <f>Valores!$C$25</f>
        <v>737.18</v>
      </c>
      <c r="AB10" s="214">
        <v>0</v>
      </c>
      <c r="AC10" s="125">
        <f t="shared" si="2"/>
        <v>0</v>
      </c>
      <c r="AD10" s="125">
        <f>Valores!$C$26</f>
        <v>737.18</v>
      </c>
      <c r="AE10" s="192">
        <v>0</v>
      </c>
      <c r="AF10" s="125">
        <f>ROUND(AE10*Valores!$C$2,2)</f>
        <v>0</v>
      </c>
      <c r="AG10" s="125">
        <f>ROUND(IF($F$4="NO",Valores!$C$63,Valores!$C$63/2),2)</f>
        <v>8427.87</v>
      </c>
      <c r="AH10" s="125">
        <f t="shared" si="5"/>
        <v>328245.83</v>
      </c>
      <c r="AI10" s="125">
        <f>Valores!$C$31</f>
        <v>0</v>
      </c>
      <c r="AJ10" s="125">
        <f>Valores!$C$87</f>
        <v>0</v>
      </c>
      <c r="AK10" s="125">
        <f>Valores!C$38*B10</f>
        <v>0</v>
      </c>
      <c r="AL10" s="125">
        <f>IF($F$3="NO",0,Valores!$C$55)</f>
        <v>0</v>
      </c>
      <c r="AM10" s="125">
        <f t="shared" si="3"/>
        <v>0</v>
      </c>
      <c r="AN10" s="125">
        <f>AH10*Valores!$C$71</f>
        <v>-36107.041300000004</v>
      </c>
      <c r="AO10" s="125">
        <f>AH10*-Valores!$C$72</f>
        <v>0</v>
      </c>
      <c r="AP10" s="125">
        <f>AH10*Valores!$C$73</f>
        <v>-14771.06235</v>
      </c>
      <c r="AQ10" s="125">
        <f>Valores!$C$100</f>
        <v>-554.86</v>
      </c>
      <c r="AR10" s="125">
        <f>IF($F$5=0,Valores!$C$101,(Valores!$C$101+$F$5*(Valores!$C$101)))</f>
        <v>-550</v>
      </c>
      <c r="AS10" s="125">
        <f t="shared" si="6"/>
        <v>276262.86635</v>
      </c>
      <c r="AT10" s="125">
        <f t="shared" si="0"/>
        <v>-36107.041300000004</v>
      </c>
      <c r="AU10" s="125">
        <f>AH10*Valores!$C$74</f>
        <v>-8862.637410000001</v>
      </c>
      <c r="AV10" s="125">
        <f>AH10*Valores!$C$75</f>
        <v>-984.7374900000001</v>
      </c>
      <c r="AW10" s="125">
        <f t="shared" si="4"/>
        <v>282291.4138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3772.56</v>
      </c>
      <c r="G11" s="192">
        <v>3779</v>
      </c>
      <c r="H11" s="125">
        <f>ROUND(G11*Valores!$C$2,2)</f>
        <v>133238.47</v>
      </c>
      <c r="I11" s="192">
        <v>219</v>
      </c>
      <c r="J11" s="125">
        <f>ROUND(I11*Valores!$C$2,2)</f>
        <v>7721.41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24011.17</v>
      </c>
      <c r="N11" s="125">
        <f t="shared" si="1"/>
        <v>0</v>
      </c>
      <c r="O11" s="125">
        <f>Valores!$C$11</f>
        <v>31438.19</v>
      </c>
      <c r="P11" s="125">
        <f>Valores!$D$5</f>
        <v>18023.69</v>
      </c>
      <c r="Q11" s="125">
        <v>0</v>
      </c>
      <c r="R11" s="125">
        <f>IF($F$4="NO",Valores!$C$46,Valores!$C$46/2)</f>
        <v>15342.02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144732.44</v>
      </c>
      <c r="V11" s="125">
        <f aca="true" t="shared" si="9" ref="V11:V20">INT((SUM(F11,H11,J11)*0.4*100)+0.49)/100</f>
        <v>57892.98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26214.39</v>
      </c>
      <c r="AA11" s="125">
        <f>Valores!$C$25</f>
        <v>737.18</v>
      </c>
      <c r="AB11" s="214">
        <v>0</v>
      </c>
      <c r="AC11" s="125">
        <f t="shared" si="2"/>
        <v>0</v>
      </c>
      <c r="AD11" s="125">
        <f>Valores!$C$26</f>
        <v>737.18</v>
      </c>
      <c r="AE11" s="192">
        <v>0</v>
      </c>
      <c r="AF11" s="125">
        <f>ROUND(AE11*Valores!$C$2,2)</f>
        <v>0</v>
      </c>
      <c r="AG11" s="125">
        <f>ROUND(IF($F$4="NO",Valores!$C$63,Valores!$C$63/2),2)</f>
        <v>8427.87</v>
      </c>
      <c r="AH11" s="125">
        <f t="shared" si="5"/>
        <v>472289.54999999993</v>
      </c>
      <c r="AI11" s="125">
        <f>Valores!$C$31</f>
        <v>0</v>
      </c>
      <c r="AJ11" s="125">
        <f>Valores!$C$87</f>
        <v>0</v>
      </c>
      <c r="AK11" s="125">
        <f>Valores!C$38*B11</f>
        <v>0</v>
      </c>
      <c r="AL11" s="125">
        <f>IF($F$3="NO",0,Valores!$C$55)</f>
        <v>0</v>
      </c>
      <c r="AM11" s="125">
        <f t="shared" si="3"/>
        <v>0</v>
      </c>
      <c r="AN11" s="125">
        <f>AH11*Valores!$C$71</f>
        <v>-51951.85049999999</v>
      </c>
      <c r="AO11" s="125">
        <f>AH11*-Valores!$C$72</f>
        <v>0</v>
      </c>
      <c r="AP11" s="125">
        <f>AH11*Valores!$C$73</f>
        <v>-21253.029749999998</v>
      </c>
      <c r="AQ11" s="125">
        <f>Valores!$C$100</f>
        <v>-554.86</v>
      </c>
      <c r="AR11" s="125">
        <f>IF($F$5=0,Valores!$C$101,(Valores!$C$101+$F$5*(Valores!$C$101)))</f>
        <v>-550</v>
      </c>
      <c r="AS11" s="125">
        <f t="shared" si="6"/>
        <v>397979.80974999996</v>
      </c>
      <c r="AT11" s="125">
        <f t="shared" si="0"/>
        <v>-51951.85049999999</v>
      </c>
      <c r="AU11" s="125">
        <f>AH11*Valores!$C$74</f>
        <v>-12751.817849999998</v>
      </c>
      <c r="AV11" s="125">
        <f>AH11*Valores!$C$75</f>
        <v>-1416.86865</v>
      </c>
      <c r="AW11" s="125">
        <f t="shared" si="4"/>
        <v>406169.0129999999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3772.56</v>
      </c>
      <c r="G12" s="192">
        <v>3779</v>
      </c>
      <c r="H12" s="125">
        <f>ROUND(G12*Valores!$C$2,2)</f>
        <v>133238.47</v>
      </c>
      <c r="I12" s="192">
        <v>219</v>
      </c>
      <c r="J12" s="125">
        <f>ROUND(I12*Valores!$C$2,2)</f>
        <v>7721.41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24011.17</v>
      </c>
      <c r="N12" s="125">
        <f t="shared" si="1"/>
        <v>0</v>
      </c>
      <c r="O12" s="125">
        <f>Valores!$C$11</f>
        <v>31438.19</v>
      </c>
      <c r="P12" s="125">
        <f>Valores!$D$5</f>
        <v>18023.69</v>
      </c>
      <c r="Q12" s="125">
        <v>0</v>
      </c>
      <c r="R12" s="125">
        <f>IF($F$4="NO",Valores!$C$46,Valores!$C$46/2)</f>
        <v>15342.02</v>
      </c>
      <c r="S12" s="125">
        <v>0</v>
      </c>
      <c r="T12" s="125">
        <f t="shared" si="7"/>
        <v>0</v>
      </c>
      <c r="U12" s="125">
        <f t="shared" si="8"/>
        <v>144732.44</v>
      </c>
      <c r="V12" s="125">
        <f t="shared" si="9"/>
        <v>57892.98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26214.39</v>
      </c>
      <c r="AA12" s="125">
        <f>Valores!$C$25</f>
        <v>737.18</v>
      </c>
      <c r="AB12" s="214">
        <v>0</v>
      </c>
      <c r="AC12" s="125">
        <f t="shared" si="2"/>
        <v>0</v>
      </c>
      <c r="AD12" s="125">
        <f>Valores!$C$26</f>
        <v>737.18</v>
      </c>
      <c r="AE12" s="192">
        <v>0</v>
      </c>
      <c r="AF12" s="125">
        <f>ROUND(AE12*Valores!$C$2,2)</f>
        <v>0</v>
      </c>
      <c r="AG12" s="125">
        <f>ROUND(IF($F$4="NO",Valores!$C$63,Valores!$C$63/2),2)</f>
        <v>8427.87</v>
      </c>
      <c r="AH12" s="125">
        <f t="shared" si="5"/>
        <v>472289.54999999993</v>
      </c>
      <c r="AI12" s="125">
        <f>Valores!$C$31</f>
        <v>0</v>
      </c>
      <c r="AJ12" s="125">
        <f>Valores!$C$87</f>
        <v>0</v>
      </c>
      <c r="AK12" s="125">
        <f>Valores!C$38*B12</f>
        <v>0</v>
      </c>
      <c r="AL12" s="125">
        <f>IF($F$3="NO",0,Valores!$C$55)</f>
        <v>0</v>
      </c>
      <c r="AM12" s="125">
        <f t="shared" si="3"/>
        <v>0</v>
      </c>
      <c r="AN12" s="125">
        <f>AH12*Valores!$C$71</f>
        <v>-51951.85049999999</v>
      </c>
      <c r="AO12" s="125">
        <f>AH12*-Valores!$C$72</f>
        <v>0</v>
      </c>
      <c r="AP12" s="125">
        <f>AH12*Valores!$C$73</f>
        <v>-21253.029749999998</v>
      </c>
      <c r="AQ12" s="125">
        <f>Valores!$C$100</f>
        <v>-554.86</v>
      </c>
      <c r="AR12" s="125">
        <f>IF($F$5=0,Valores!$C$101,(Valores!$C$101+$F$5*(Valores!$C$101)))</f>
        <v>-550</v>
      </c>
      <c r="AS12" s="125">
        <f t="shared" si="6"/>
        <v>397979.80974999996</v>
      </c>
      <c r="AT12" s="125">
        <f t="shared" si="0"/>
        <v>-51951.85049999999</v>
      </c>
      <c r="AU12" s="125">
        <f>AH12*Valores!$C$74</f>
        <v>-12751.817849999998</v>
      </c>
      <c r="AV12" s="125">
        <f>AH12*Valores!$C$75</f>
        <v>-1416.86865</v>
      </c>
      <c r="AW12" s="125">
        <f t="shared" si="4"/>
        <v>406169.0129999999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3772.56</v>
      </c>
      <c r="G13" s="192">
        <v>3779</v>
      </c>
      <c r="H13" s="125">
        <f>ROUND(G13*Valores!$C$2,2)</f>
        <v>133238.47</v>
      </c>
      <c r="I13" s="192">
        <v>219</v>
      </c>
      <c r="J13" s="125">
        <f>ROUND(I13*Valores!$C$2,2)</f>
        <v>7721.41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24011.17</v>
      </c>
      <c r="N13" s="125">
        <f t="shared" si="1"/>
        <v>0</v>
      </c>
      <c r="O13" s="125">
        <f>Valores!$C$11</f>
        <v>31438.19</v>
      </c>
      <c r="P13" s="125">
        <f>Valores!$D$5</f>
        <v>18023.69</v>
      </c>
      <c r="Q13" s="125">
        <v>0</v>
      </c>
      <c r="R13" s="125">
        <f>IF($F$4="NO",Valores!$C$46,Valores!$C$46/2)</f>
        <v>15342.02</v>
      </c>
      <c r="S13" s="125">
        <v>0</v>
      </c>
      <c r="T13" s="125">
        <f t="shared" si="7"/>
        <v>0</v>
      </c>
      <c r="U13" s="125">
        <f t="shared" si="8"/>
        <v>144732.44</v>
      </c>
      <c r="V13" s="125">
        <f t="shared" si="9"/>
        <v>57892.98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26214.39</v>
      </c>
      <c r="AA13" s="125">
        <f>Valores!$C$25</f>
        <v>737.18</v>
      </c>
      <c r="AB13" s="214">
        <v>0</v>
      </c>
      <c r="AC13" s="125">
        <f t="shared" si="2"/>
        <v>0</v>
      </c>
      <c r="AD13" s="125">
        <f>Valores!$C$26</f>
        <v>737.18</v>
      </c>
      <c r="AE13" s="192">
        <v>0</v>
      </c>
      <c r="AF13" s="125">
        <f>ROUND(AE13*Valores!$C$2,2)</f>
        <v>0</v>
      </c>
      <c r="AG13" s="125">
        <f>ROUND(IF($F$4="NO",Valores!$C$63,Valores!$C$63/2),2)</f>
        <v>8427.87</v>
      </c>
      <c r="AH13" s="125">
        <f t="shared" si="5"/>
        <v>472289.54999999993</v>
      </c>
      <c r="AI13" s="125">
        <f>Valores!$C$31</f>
        <v>0</v>
      </c>
      <c r="AJ13" s="125">
        <f>Valores!$C$87</f>
        <v>0</v>
      </c>
      <c r="AK13" s="125">
        <f>Valores!C$38*B13</f>
        <v>0</v>
      </c>
      <c r="AL13" s="125">
        <f>IF($F$3="NO",0,Valores!$C$55)</f>
        <v>0</v>
      </c>
      <c r="AM13" s="125">
        <f t="shared" si="3"/>
        <v>0</v>
      </c>
      <c r="AN13" s="125">
        <f>AH13*Valores!$C$71</f>
        <v>-51951.85049999999</v>
      </c>
      <c r="AO13" s="125">
        <f>AH13*-Valores!$C$72</f>
        <v>0</v>
      </c>
      <c r="AP13" s="125">
        <f>AH13*Valores!$C$73</f>
        <v>-21253.029749999998</v>
      </c>
      <c r="AQ13" s="125">
        <f>Valores!$C$100</f>
        <v>-554.86</v>
      </c>
      <c r="AR13" s="125">
        <f>IF($F$5=0,Valores!$C$101,(Valores!$C$101+$F$5*(Valores!$C$101)))</f>
        <v>-550</v>
      </c>
      <c r="AS13" s="125">
        <f t="shared" si="6"/>
        <v>397979.80974999996</v>
      </c>
      <c r="AT13" s="125">
        <f t="shared" si="0"/>
        <v>-51951.85049999999</v>
      </c>
      <c r="AU13" s="125">
        <f>AH13*Valores!$C$74</f>
        <v>-12751.817849999998</v>
      </c>
      <c r="AV13" s="125">
        <f>AH13*Valores!$C$75</f>
        <v>-1416.86865</v>
      </c>
      <c r="AW13" s="125">
        <f t="shared" si="4"/>
        <v>406169.0129999999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3772.56</v>
      </c>
      <c r="G14" s="192">
        <v>3779</v>
      </c>
      <c r="H14" s="125">
        <f>ROUND(G14*Valores!$C$2,2)</f>
        <v>133238.47</v>
      </c>
      <c r="I14" s="192">
        <v>219</v>
      </c>
      <c r="J14" s="125">
        <f>ROUND(I14*Valores!$C$2,2)</f>
        <v>7721.41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24011.17</v>
      </c>
      <c r="N14" s="125">
        <f t="shared" si="1"/>
        <v>0</v>
      </c>
      <c r="O14" s="125">
        <f>Valores!$C$11</f>
        <v>31438.19</v>
      </c>
      <c r="P14" s="125">
        <f>Valores!$D$5</f>
        <v>18023.69</v>
      </c>
      <c r="Q14" s="125">
        <v>0</v>
      </c>
      <c r="R14" s="125">
        <f>IF($F$4="NO",Valores!$C$46,Valores!$C$46/2)</f>
        <v>15342.02</v>
      </c>
      <c r="S14" s="125">
        <v>0</v>
      </c>
      <c r="T14" s="125">
        <f t="shared" si="7"/>
        <v>0</v>
      </c>
      <c r="U14" s="125">
        <f t="shared" si="8"/>
        <v>144732.44</v>
      </c>
      <c r="V14" s="125">
        <f t="shared" si="9"/>
        <v>57892.98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26214.39</v>
      </c>
      <c r="AA14" s="125">
        <f>Valores!$C$25</f>
        <v>737.18</v>
      </c>
      <c r="AB14" s="214">
        <v>0</v>
      </c>
      <c r="AC14" s="125">
        <f t="shared" si="2"/>
        <v>0</v>
      </c>
      <c r="AD14" s="125">
        <f>Valores!$C$26</f>
        <v>737.18</v>
      </c>
      <c r="AE14" s="192">
        <v>0</v>
      </c>
      <c r="AF14" s="125">
        <f>ROUND(AE14*Valores!$C$2,2)</f>
        <v>0</v>
      </c>
      <c r="AG14" s="125">
        <f>ROUND(IF($F$4="NO",Valores!$C$63,Valores!$C$63/2),2)</f>
        <v>8427.87</v>
      </c>
      <c r="AH14" s="125">
        <f t="shared" si="5"/>
        <v>472289.54999999993</v>
      </c>
      <c r="AI14" s="125">
        <f>Valores!$C$31</f>
        <v>0</v>
      </c>
      <c r="AJ14" s="125">
        <f>Valores!$C$87</f>
        <v>0</v>
      </c>
      <c r="AK14" s="125">
        <f>Valores!C$38*B14</f>
        <v>0</v>
      </c>
      <c r="AL14" s="125">
        <f>IF($F$3="NO",0,Valores!$C$55)</f>
        <v>0</v>
      </c>
      <c r="AM14" s="125">
        <f t="shared" si="3"/>
        <v>0</v>
      </c>
      <c r="AN14" s="125">
        <f>AH14*Valores!$C$71</f>
        <v>-51951.85049999999</v>
      </c>
      <c r="AO14" s="125">
        <f>AH14*-Valores!$C$72</f>
        <v>0</v>
      </c>
      <c r="AP14" s="125">
        <f>AH14*Valores!$C$73</f>
        <v>-21253.029749999998</v>
      </c>
      <c r="AQ14" s="125">
        <f>Valores!$C$100</f>
        <v>-554.86</v>
      </c>
      <c r="AR14" s="125">
        <f>IF($F$5=0,Valores!$C$101,(Valores!$C$101+$F$5*(Valores!$C$101)))</f>
        <v>-550</v>
      </c>
      <c r="AS14" s="125">
        <f t="shared" si="6"/>
        <v>397979.80974999996</v>
      </c>
      <c r="AT14" s="125">
        <f t="shared" si="0"/>
        <v>-51951.85049999999</v>
      </c>
      <c r="AU14" s="125">
        <f>AH14*Valores!$C$74</f>
        <v>-12751.817849999998</v>
      </c>
      <c r="AV14" s="125">
        <f>AH14*Valores!$C$75</f>
        <v>-1416.86865</v>
      </c>
      <c r="AW14" s="125">
        <f t="shared" si="4"/>
        <v>406169.0129999999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3772.56</v>
      </c>
      <c r="G15" s="192">
        <v>3779</v>
      </c>
      <c r="H15" s="125">
        <f>ROUND(G15*Valores!$C$2,2)</f>
        <v>133238.47</v>
      </c>
      <c r="I15" s="192">
        <v>219</v>
      </c>
      <c r="J15" s="125">
        <f>ROUND(I15*Valores!$C$2,2)</f>
        <v>7721.41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24011.17</v>
      </c>
      <c r="N15" s="125">
        <f t="shared" si="1"/>
        <v>0</v>
      </c>
      <c r="O15" s="125">
        <f>Valores!$C$11</f>
        <v>31438.19</v>
      </c>
      <c r="P15" s="125">
        <f>Valores!$D$5</f>
        <v>18023.69</v>
      </c>
      <c r="Q15" s="125">
        <v>0</v>
      </c>
      <c r="R15" s="125">
        <f>IF($F$4="NO",Valores!$C$46,Valores!$C$46/2)</f>
        <v>15342.02</v>
      </c>
      <c r="S15" s="125">
        <v>0</v>
      </c>
      <c r="T15" s="125">
        <f t="shared" si="7"/>
        <v>0</v>
      </c>
      <c r="U15" s="125">
        <f t="shared" si="8"/>
        <v>144732.44</v>
      </c>
      <c r="V15" s="125">
        <f t="shared" si="9"/>
        <v>57892.98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26214.39</v>
      </c>
      <c r="AA15" s="125">
        <f>Valores!$C$25</f>
        <v>737.18</v>
      </c>
      <c r="AB15" s="214">
        <v>0</v>
      </c>
      <c r="AC15" s="125">
        <f t="shared" si="2"/>
        <v>0</v>
      </c>
      <c r="AD15" s="125">
        <f>Valores!$C$26</f>
        <v>737.18</v>
      </c>
      <c r="AE15" s="192">
        <v>0</v>
      </c>
      <c r="AF15" s="125">
        <f>ROUND(AE15*Valores!$C$2,2)</f>
        <v>0</v>
      </c>
      <c r="AG15" s="125">
        <f>ROUND(IF($F$4="NO",Valores!$C$63,Valores!$C$63/2),2)</f>
        <v>8427.87</v>
      </c>
      <c r="AH15" s="125">
        <f t="shared" si="5"/>
        <v>472289.54999999993</v>
      </c>
      <c r="AI15" s="125">
        <f>Valores!$C$31</f>
        <v>0</v>
      </c>
      <c r="AJ15" s="125">
        <f>Valores!$C$87</f>
        <v>0</v>
      </c>
      <c r="AK15" s="125">
        <f>Valores!C$38*B15</f>
        <v>0</v>
      </c>
      <c r="AL15" s="125">
        <f>IF($F$3="NO",0,Valores!$C$55)</f>
        <v>0</v>
      </c>
      <c r="AM15" s="125">
        <f t="shared" si="3"/>
        <v>0</v>
      </c>
      <c r="AN15" s="125">
        <f>AH15*Valores!$C$71</f>
        <v>-51951.85049999999</v>
      </c>
      <c r="AO15" s="125">
        <f>AH15*-Valores!$C$72</f>
        <v>0</v>
      </c>
      <c r="AP15" s="125">
        <f>AH15*Valores!$C$73</f>
        <v>-21253.029749999998</v>
      </c>
      <c r="AQ15" s="125">
        <f>Valores!$C$100</f>
        <v>-554.86</v>
      </c>
      <c r="AR15" s="125">
        <f>IF($F$5=0,Valores!$C$101,(Valores!$C$101+$F$5*(Valores!$C$101)))</f>
        <v>-550</v>
      </c>
      <c r="AS15" s="125">
        <f t="shared" si="6"/>
        <v>397979.80974999996</v>
      </c>
      <c r="AT15" s="125">
        <f t="shared" si="0"/>
        <v>-51951.85049999999</v>
      </c>
      <c r="AU15" s="125">
        <f>AH15*Valores!$C$74</f>
        <v>-12751.817849999998</v>
      </c>
      <c r="AV15" s="125">
        <f>AH15*Valores!$C$75</f>
        <v>-1416.86865</v>
      </c>
      <c r="AW15" s="125">
        <f t="shared" si="4"/>
        <v>406169.0129999999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3525.76</v>
      </c>
      <c r="G16" s="192">
        <v>3727</v>
      </c>
      <c r="H16" s="125">
        <f>ROUND(G16*Valores!$C$2,2)</f>
        <v>131405.08</v>
      </c>
      <c r="I16" s="192">
        <v>219</v>
      </c>
      <c r="J16" s="125">
        <f>ROUND(I16*Valores!$C$2,2)</f>
        <v>7721.41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23699.14</v>
      </c>
      <c r="N16" s="125">
        <f t="shared" si="1"/>
        <v>0</v>
      </c>
      <c r="O16" s="125">
        <f>Valores!$C$11</f>
        <v>31438.19</v>
      </c>
      <c r="P16" s="125">
        <f>Valores!$D$5</f>
        <v>18023.69</v>
      </c>
      <c r="Q16" s="125">
        <v>0</v>
      </c>
      <c r="R16" s="125">
        <f>IF($F$4="NO",Valores!$C$46,Valores!$C$46/2)</f>
        <v>15342.02</v>
      </c>
      <c r="S16" s="125">
        <v>0</v>
      </c>
      <c r="T16" s="125">
        <f t="shared" si="7"/>
        <v>0</v>
      </c>
      <c r="U16" s="125">
        <f t="shared" si="8"/>
        <v>142652.25</v>
      </c>
      <c r="V16" s="125">
        <f t="shared" si="9"/>
        <v>57060.9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26214.39</v>
      </c>
      <c r="AA16" s="125">
        <f>Valores!$C$25</f>
        <v>737.18</v>
      </c>
      <c r="AB16" s="214">
        <v>0</v>
      </c>
      <c r="AC16" s="125">
        <f t="shared" si="2"/>
        <v>0</v>
      </c>
      <c r="AD16" s="125">
        <f>Valores!$C$26</f>
        <v>737.18</v>
      </c>
      <c r="AE16" s="192">
        <v>0</v>
      </c>
      <c r="AF16" s="125">
        <f>ROUND(AE16*Valores!$C$2,2)</f>
        <v>0</v>
      </c>
      <c r="AG16" s="125">
        <f>ROUND(IF($F$4="NO",Valores!$C$63,Valores!$C$63/2),2)</f>
        <v>8427.87</v>
      </c>
      <c r="AH16" s="125">
        <f t="shared" si="5"/>
        <v>466985.06000000006</v>
      </c>
      <c r="AI16" s="125">
        <f>Valores!$C$31</f>
        <v>0</v>
      </c>
      <c r="AJ16" s="125">
        <f>Valores!$C$87</f>
        <v>0</v>
      </c>
      <c r="AK16" s="125">
        <f>Valores!C$38*B16</f>
        <v>0</v>
      </c>
      <c r="AL16" s="125">
        <f>IF($F$3="NO",0,Valores!$C$55)</f>
        <v>0</v>
      </c>
      <c r="AM16" s="125">
        <f t="shared" si="3"/>
        <v>0</v>
      </c>
      <c r="AN16" s="125">
        <f>AH16*Valores!$C$71</f>
        <v>-51368.35660000001</v>
      </c>
      <c r="AO16" s="125">
        <f>AH16*-Valores!$C$72</f>
        <v>0</v>
      </c>
      <c r="AP16" s="125">
        <f>AH16*Valores!$C$73</f>
        <v>-21014.3277</v>
      </c>
      <c r="AQ16" s="125">
        <f>Valores!$C$100</f>
        <v>-554.86</v>
      </c>
      <c r="AR16" s="125">
        <f>IF($F$5=0,Valores!$C$101,(Valores!$C$101+$F$5*(Valores!$C$101)))</f>
        <v>-550</v>
      </c>
      <c r="AS16" s="125">
        <f t="shared" si="6"/>
        <v>393497.51570000005</v>
      </c>
      <c r="AT16" s="125">
        <f t="shared" si="0"/>
        <v>-51368.35660000001</v>
      </c>
      <c r="AU16" s="125">
        <f>AH16*Valores!$C$74</f>
        <v>-12608.596620000002</v>
      </c>
      <c r="AV16" s="125">
        <f>AH16*Valores!$C$75</f>
        <v>-1400.9551800000002</v>
      </c>
      <c r="AW16" s="125">
        <f t="shared" si="4"/>
        <v>401607.15160000004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3525.76</v>
      </c>
      <c r="G17" s="192">
        <v>3727</v>
      </c>
      <c r="H17" s="125">
        <f>ROUND(G17*Valores!$C$2,2)</f>
        <v>131405.08</v>
      </c>
      <c r="I17" s="192">
        <v>219</v>
      </c>
      <c r="J17" s="125">
        <f>ROUND(I17*Valores!$C$2,2)</f>
        <v>7721.41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23699.14</v>
      </c>
      <c r="N17" s="125">
        <f t="shared" si="1"/>
        <v>0</v>
      </c>
      <c r="O17" s="125">
        <f>Valores!$C$11</f>
        <v>31438.19</v>
      </c>
      <c r="P17" s="125">
        <f>Valores!$D$5</f>
        <v>18023.69</v>
      </c>
      <c r="Q17" s="125">
        <v>0</v>
      </c>
      <c r="R17" s="125">
        <f>IF($F$4="NO",Valores!$C$46,Valores!$C$46/2)</f>
        <v>15342.02</v>
      </c>
      <c r="S17" s="125">
        <v>0</v>
      </c>
      <c r="T17" s="125">
        <f t="shared" si="7"/>
        <v>0</v>
      </c>
      <c r="U17" s="125">
        <f t="shared" si="8"/>
        <v>142652.25</v>
      </c>
      <c r="V17" s="125">
        <f t="shared" si="9"/>
        <v>57060.9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26214.39</v>
      </c>
      <c r="AA17" s="125">
        <f>Valores!$C$25</f>
        <v>737.18</v>
      </c>
      <c r="AB17" s="214">
        <v>0</v>
      </c>
      <c r="AC17" s="125">
        <f t="shared" si="2"/>
        <v>0</v>
      </c>
      <c r="AD17" s="125">
        <f>Valores!$C$26</f>
        <v>737.18</v>
      </c>
      <c r="AE17" s="192">
        <v>0</v>
      </c>
      <c r="AF17" s="125">
        <f>ROUND(AE17*Valores!$C$2,2)</f>
        <v>0</v>
      </c>
      <c r="AG17" s="125">
        <f>ROUND(IF($F$4="NO",Valores!$C$63,Valores!$C$63/2),2)</f>
        <v>8427.87</v>
      </c>
      <c r="AH17" s="125">
        <f t="shared" si="5"/>
        <v>466985.06000000006</v>
      </c>
      <c r="AI17" s="125">
        <f>Valores!$C$31</f>
        <v>0</v>
      </c>
      <c r="AJ17" s="125">
        <f>Valores!$C$87</f>
        <v>0</v>
      </c>
      <c r="AK17" s="125">
        <f>Valores!C$38*B17</f>
        <v>0</v>
      </c>
      <c r="AL17" s="125">
        <f>IF($F$3="NO",0,Valores!$C$55)</f>
        <v>0</v>
      </c>
      <c r="AM17" s="125">
        <f t="shared" si="3"/>
        <v>0</v>
      </c>
      <c r="AN17" s="125">
        <f>AH17*Valores!$C$71</f>
        <v>-51368.35660000001</v>
      </c>
      <c r="AO17" s="125">
        <f>AH17*-Valores!$C$72</f>
        <v>0</v>
      </c>
      <c r="AP17" s="125">
        <f>AH17*Valores!$C$73</f>
        <v>-21014.3277</v>
      </c>
      <c r="AQ17" s="125">
        <f>Valores!$C$100</f>
        <v>-554.86</v>
      </c>
      <c r="AR17" s="125">
        <f>IF($F$5=0,Valores!$C$101,(Valores!$C$101+$F$5*(Valores!$C$101)))</f>
        <v>-550</v>
      </c>
      <c r="AS17" s="125">
        <f t="shared" si="6"/>
        <v>393497.51570000005</v>
      </c>
      <c r="AT17" s="125">
        <f t="shared" si="0"/>
        <v>-51368.35660000001</v>
      </c>
      <c r="AU17" s="125">
        <f>AH17*Valores!$C$74</f>
        <v>-12608.596620000002</v>
      </c>
      <c r="AV17" s="125">
        <f>AH17*Valores!$C$75</f>
        <v>-1400.9551800000002</v>
      </c>
      <c r="AW17" s="125">
        <f t="shared" si="4"/>
        <v>401607.15160000004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3525.76</v>
      </c>
      <c r="G18" s="192">
        <v>3727</v>
      </c>
      <c r="H18" s="125">
        <f>ROUND(G18*Valores!$C$2,2)</f>
        <v>131405.08</v>
      </c>
      <c r="I18" s="192">
        <v>219</v>
      </c>
      <c r="J18" s="125">
        <f>ROUND(I18*Valores!$C$2,2)</f>
        <v>7721.41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23699.14</v>
      </c>
      <c r="N18" s="125">
        <f t="shared" si="1"/>
        <v>0</v>
      </c>
      <c r="O18" s="125">
        <f>Valores!$C$11</f>
        <v>31438.19</v>
      </c>
      <c r="P18" s="125">
        <f>Valores!$D$5</f>
        <v>18023.69</v>
      </c>
      <c r="Q18" s="125">
        <v>0</v>
      </c>
      <c r="R18" s="125">
        <f>IF($F$4="NO",Valores!$C$46,Valores!$C$46/2)</f>
        <v>15342.02</v>
      </c>
      <c r="S18" s="125">
        <v>0</v>
      </c>
      <c r="T18" s="125">
        <f t="shared" si="7"/>
        <v>0</v>
      </c>
      <c r="U18" s="125">
        <f t="shared" si="8"/>
        <v>142652.25</v>
      </c>
      <c r="V18" s="125">
        <f t="shared" si="9"/>
        <v>57060.9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26214.39</v>
      </c>
      <c r="AA18" s="125">
        <f>Valores!$C$25</f>
        <v>737.18</v>
      </c>
      <c r="AB18" s="214">
        <v>0</v>
      </c>
      <c r="AC18" s="125">
        <f t="shared" si="2"/>
        <v>0</v>
      </c>
      <c r="AD18" s="125">
        <f>Valores!$C$26</f>
        <v>737.18</v>
      </c>
      <c r="AE18" s="192">
        <v>0</v>
      </c>
      <c r="AF18" s="125">
        <f>ROUND(AE18*Valores!$C$2,2)</f>
        <v>0</v>
      </c>
      <c r="AG18" s="125">
        <f>ROUND(IF($F$4="NO",Valores!$C$63,Valores!$C$63/2),2)</f>
        <v>8427.87</v>
      </c>
      <c r="AH18" s="125">
        <f t="shared" si="5"/>
        <v>466985.06000000006</v>
      </c>
      <c r="AI18" s="125">
        <f>Valores!$C$31</f>
        <v>0</v>
      </c>
      <c r="AJ18" s="125">
        <f>Valores!$C$87</f>
        <v>0</v>
      </c>
      <c r="AK18" s="125">
        <f>Valores!C$38*B18</f>
        <v>0</v>
      </c>
      <c r="AL18" s="125">
        <f>IF($F$3="NO",0,Valores!$C$55)</f>
        <v>0</v>
      </c>
      <c r="AM18" s="125">
        <f t="shared" si="3"/>
        <v>0</v>
      </c>
      <c r="AN18" s="125">
        <f>AH18*Valores!$C$71</f>
        <v>-51368.35660000001</v>
      </c>
      <c r="AO18" s="125">
        <f>AH18*-Valores!$C$72</f>
        <v>0</v>
      </c>
      <c r="AP18" s="125">
        <f>AH18*Valores!$C$73</f>
        <v>-21014.3277</v>
      </c>
      <c r="AQ18" s="125">
        <f>Valores!$C$100</f>
        <v>-554.86</v>
      </c>
      <c r="AR18" s="125">
        <f>IF($F$5=0,Valores!$C$101,(Valores!$C$101+$F$5*(Valores!$C$101)))</f>
        <v>-550</v>
      </c>
      <c r="AS18" s="125">
        <f t="shared" si="6"/>
        <v>393497.51570000005</v>
      </c>
      <c r="AT18" s="125">
        <f t="shared" si="0"/>
        <v>-51368.35660000001</v>
      </c>
      <c r="AU18" s="125">
        <f>AH18*Valores!$C$74</f>
        <v>-12608.596620000002</v>
      </c>
      <c r="AV18" s="125">
        <f>AH18*Valores!$C$75</f>
        <v>-1400.9551800000002</v>
      </c>
      <c r="AW18" s="125">
        <f t="shared" si="4"/>
        <v>401607.15160000004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3525.76</v>
      </c>
      <c r="G19" s="192">
        <v>3727</v>
      </c>
      <c r="H19" s="125">
        <f>ROUND(G19*Valores!$C$2,2)</f>
        <v>131405.08</v>
      </c>
      <c r="I19" s="192">
        <v>219</v>
      </c>
      <c r="J19" s="125">
        <f>ROUND(I19*Valores!$C$2,2)</f>
        <v>7721.41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23699.14</v>
      </c>
      <c r="N19" s="125">
        <f t="shared" si="1"/>
        <v>0</v>
      </c>
      <c r="O19" s="125">
        <f>Valores!$C$11</f>
        <v>31438.19</v>
      </c>
      <c r="P19" s="125">
        <f>Valores!$D$5</f>
        <v>18023.69</v>
      </c>
      <c r="Q19" s="125">
        <v>0</v>
      </c>
      <c r="R19" s="125">
        <f>IF($F$4="NO",Valores!$C$46,Valores!$C$46/2)</f>
        <v>15342.02</v>
      </c>
      <c r="S19" s="125">
        <v>0</v>
      </c>
      <c r="T19" s="125">
        <f t="shared" si="7"/>
        <v>0</v>
      </c>
      <c r="U19" s="125">
        <f t="shared" si="8"/>
        <v>142652.25</v>
      </c>
      <c r="V19" s="125">
        <f t="shared" si="9"/>
        <v>57060.9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26214.39</v>
      </c>
      <c r="AA19" s="125">
        <f>Valores!$C$25</f>
        <v>737.18</v>
      </c>
      <c r="AB19" s="214">
        <v>0</v>
      </c>
      <c r="AC19" s="125">
        <f t="shared" si="2"/>
        <v>0</v>
      </c>
      <c r="AD19" s="125">
        <f>Valores!$C$26</f>
        <v>737.18</v>
      </c>
      <c r="AE19" s="192">
        <v>0</v>
      </c>
      <c r="AF19" s="125">
        <f>ROUND(AE19*Valores!$C$2,2)</f>
        <v>0</v>
      </c>
      <c r="AG19" s="125">
        <f>ROUND(IF($F$4="NO",Valores!$C$63,Valores!$C$63/2),2)</f>
        <v>8427.87</v>
      </c>
      <c r="AH19" s="125">
        <f t="shared" si="5"/>
        <v>466985.06000000006</v>
      </c>
      <c r="AI19" s="125">
        <f>Valores!$C$31</f>
        <v>0</v>
      </c>
      <c r="AJ19" s="125">
        <f>Valores!$C$87</f>
        <v>0</v>
      </c>
      <c r="AK19" s="125">
        <f>Valores!C$38*B19</f>
        <v>0</v>
      </c>
      <c r="AL19" s="125">
        <f>IF($F$3="NO",0,Valores!$C$55)</f>
        <v>0</v>
      </c>
      <c r="AM19" s="125">
        <f t="shared" si="3"/>
        <v>0</v>
      </c>
      <c r="AN19" s="125">
        <f>AH19*Valores!$C$71</f>
        <v>-51368.35660000001</v>
      </c>
      <c r="AO19" s="125">
        <f>AH19*-Valores!$C$72</f>
        <v>0</v>
      </c>
      <c r="AP19" s="125">
        <f>AH19*Valores!$C$73</f>
        <v>-21014.3277</v>
      </c>
      <c r="AQ19" s="125">
        <f>Valores!$C$100</f>
        <v>-554.86</v>
      </c>
      <c r="AR19" s="125">
        <f>IF($F$5=0,Valores!$C$101,(Valores!$C$101+$F$5*(Valores!$C$101)))</f>
        <v>-550</v>
      </c>
      <c r="AS19" s="125">
        <f t="shared" si="6"/>
        <v>393497.51570000005</v>
      </c>
      <c r="AT19" s="125">
        <f t="shared" si="0"/>
        <v>-51368.35660000001</v>
      </c>
      <c r="AU19" s="125">
        <f>AH19*Valores!$C$74</f>
        <v>-12608.596620000002</v>
      </c>
      <c r="AV19" s="125">
        <f>AH19*Valores!$C$75</f>
        <v>-1400.9551800000002</v>
      </c>
      <c r="AW19" s="125">
        <f t="shared" si="4"/>
        <v>401607.15160000004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3525.76</v>
      </c>
      <c r="G20" s="192">
        <v>3727</v>
      </c>
      <c r="H20" s="125">
        <f>ROUND(G20*Valores!$C$2,2)</f>
        <v>131405.08</v>
      </c>
      <c r="I20" s="192">
        <v>219</v>
      </c>
      <c r="J20" s="125">
        <f>ROUND(I20*Valores!$C$2,2)</f>
        <v>7721.41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23699.14</v>
      </c>
      <c r="N20" s="125">
        <f t="shared" si="1"/>
        <v>0</v>
      </c>
      <c r="O20" s="125">
        <f>Valores!$C$11</f>
        <v>31438.19</v>
      </c>
      <c r="P20" s="125">
        <f>Valores!$D$5</f>
        <v>18023.69</v>
      </c>
      <c r="Q20" s="125">
        <v>0</v>
      </c>
      <c r="R20" s="125">
        <f>IF($F$4="NO",Valores!$C$46,Valores!$C$46/2)</f>
        <v>15342.02</v>
      </c>
      <c r="S20" s="125">
        <v>0</v>
      </c>
      <c r="T20" s="125">
        <f t="shared" si="7"/>
        <v>0</v>
      </c>
      <c r="U20" s="125">
        <f t="shared" si="8"/>
        <v>142652.25</v>
      </c>
      <c r="V20" s="125">
        <f t="shared" si="9"/>
        <v>57060.9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26214.39</v>
      </c>
      <c r="AA20" s="125">
        <f>Valores!$C$25</f>
        <v>737.18</v>
      </c>
      <c r="AB20" s="214">
        <v>0</v>
      </c>
      <c r="AC20" s="125">
        <f t="shared" si="2"/>
        <v>0</v>
      </c>
      <c r="AD20" s="125">
        <f>Valores!$C$26</f>
        <v>737.18</v>
      </c>
      <c r="AE20" s="192">
        <v>0</v>
      </c>
      <c r="AF20" s="125">
        <f>ROUND(AE20*Valores!$C$2,2)</f>
        <v>0</v>
      </c>
      <c r="AG20" s="125">
        <f>ROUND(IF($F$4="NO",Valores!$C$63,Valores!$C$63/2),2)</f>
        <v>8427.87</v>
      </c>
      <c r="AH20" s="125">
        <f t="shared" si="5"/>
        <v>466985.06000000006</v>
      </c>
      <c r="AI20" s="125">
        <f>Valores!$C$31</f>
        <v>0</v>
      </c>
      <c r="AJ20" s="125">
        <f>Valores!$C$87</f>
        <v>0</v>
      </c>
      <c r="AK20" s="125">
        <f>Valores!C$38*B20</f>
        <v>0</v>
      </c>
      <c r="AL20" s="125">
        <f>IF($F$3="NO",0,Valores!$C$55)</f>
        <v>0</v>
      </c>
      <c r="AM20" s="125">
        <f t="shared" si="3"/>
        <v>0</v>
      </c>
      <c r="AN20" s="125">
        <f>AH20*Valores!$C$71</f>
        <v>-51368.35660000001</v>
      </c>
      <c r="AO20" s="125">
        <f>AH20*-Valores!$C$72</f>
        <v>0</v>
      </c>
      <c r="AP20" s="125">
        <f>AH20*Valores!$C$73</f>
        <v>-21014.3277</v>
      </c>
      <c r="AQ20" s="125">
        <f>Valores!$C$100</f>
        <v>-554.86</v>
      </c>
      <c r="AR20" s="125">
        <f>IF($F$5=0,Valores!$C$101,(Valores!$C$101+$F$5*(Valores!$C$101)))</f>
        <v>-550</v>
      </c>
      <c r="AS20" s="125">
        <f t="shared" si="6"/>
        <v>393497.51570000005</v>
      </c>
      <c r="AT20" s="125">
        <f t="shared" si="0"/>
        <v>-51368.35660000001</v>
      </c>
      <c r="AU20" s="125">
        <f>AH20*Valores!$C$74</f>
        <v>-12608.596620000002</v>
      </c>
      <c r="AV20" s="125">
        <f>AH20*Valores!$C$75</f>
        <v>-1400.9551800000002</v>
      </c>
      <c r="AW20" s="125">
        <f t="shared" si="4"/>
        <v>401607.15160000004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3772.56</v>
      </c>
      <c r="G21" s="192">
        <v>3720</v>
      </c>
      <c r="H21" s="125">
        <f>ROUND(G21*Valores!$C$2,2)</f>
        <v>131158.27</v>
      </c>
      <c r="I21" s="192">
        <v>1226</v>
      </c>
      <c r="J21" s="125">
        <f>ROUND(I21*Valores!$C$2,2)</f>
        <v>43225.82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32065.5</v>
      </c>
      <c r="N21" s="125">
        <f t="shared" si="1"/>
        <v>0</v>
      </c>
      <c r="O21" s="125">
        <f>Valores!$C$12</f>
        <v>79989.38</v>
      </c>
      <c r="P21" s="125">
        <f>Valores!$D$5</f>
        <v>18023.69</v>
      </c>
      <c r="Q21" s="125">
        <v>0</v>
      </c>
      <c r="R21" s="125">
        <f>IF($F$4="NO",Valores!$C$47,Valores!$C$47/2)</f>
        <v>18842.02</v>
      </c>
      <c r="S21" s="125">
        <f>Valores!$C$19</f>
        <v>16771.31</v>
      </c>
      <c r="T21" s="125">
        <f t="shared" si="7"/>
        <v>16771.31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52428.78</v>
      </c>
      <c r="AA21" s="125">
        <f>Valores!$C$25</f>
        <v>737.18</v>
      </c>
      <c r="AB21" s="214">
        <v>0</v>
      </c>
      <c r="AC21" s="125">
        <f t="shared" si="2"/>
        <v>0</v>
      </c>
      <c r="AD21" s="125">
        <f>Valores!$C$26</f>
        <v>737.18</v>
      </c>
      <c r="AE21" s="192">
        <v>0</v>
      </c>
      <c r="AF21" s="125">
        <f>ROUND(AE21*Valores!$C$2,2)</f>
        <v>0</v>
      </c>
      <c r="AG21" s="125">
        <f>ROUND(IF($F$4="NO",Valores!$C$63,Valores!$C$63/2),2)</f>
        <v>8427.87</v>
      </c>
      <c r="AH21" s="125">
        <f t="shared" si="5"/>
        <v>406179.56000000006</v>
      </c>
      <c r="AI21" s="125">
        <f>Valores!$C$31</f>
        <v>0</v>
      </c>
      <c r="AJ21" s="125">
        <f>Valores!$C$89</f>
        <v>0</v>
      </c>
      <c r="AK21" s="125">
        <f>Valores!C$38*B21</f>
        <v>0</v>
      </c>
      <c r="AL21" s="125">
        <f>IF($F$3="NO",0,Valores!$C$55)</f>
        <v>0</v>
      </c>
      <c r="AM21" s="125">
        <f t="shared" si="3"/>
        <v>0</v>
      </c>
      <c r="AN21" s="125">
        <f>AH21*Valores!$C$71</f>
        <v>-44679.7516</v>
      </c>
      <c r="AO21" s="125">
        <f>AH21*-Valores!$C$72</f>
        <v>0</v>
      </c>
      <c r="AP21" s="125">
        <f>AH21*Valores!$C$73</f>
        <v>-18278.0802</v>
      </c>
      <c r="AQ21" s="125">
        <f>Valores!$C$100</f>
        <v>-554.86</v>
      </c>
      <c r="AR21" s="125">
        <f>IF($F$5=0,Valores!$C$101,(Valores!$C$101+$F$5*(Valores!$C$101)))</f>
        <v>-550</v>
      </c>
      <c r="AS21" s="125">
        <f t="shared" si="6"/>
        <v>342116.8682</v>
      </c>
      <c r="AT21" s="125">
        <f t="shared" si="0"/>
        <v>-44679.7516</v>
      </c>
      <c r="AU21" s="125">
        <f>AH21*Valores!$C$74</f>
        <v>-10966.84812</v>
      </c>
      <c r="AV21" s="125">
        <f>AH21*Valores!$C$75</f>
        <v>-1218.53868</v>
      </c>
      <c r="AW21" s="125">
        <f t="shared" si="4"/>
        <v>349314.42160000006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3525.76</v>
      </c>
      <c r="G22" s="192">
        <v>3727</v>
      </c>
      <c r="H22" s="125">
        <f>ROUND(G22*Valores!$C$2,2)</f>
        <v>131405.08</v>
      </c>
      <c r="I22" s="192">
        <v>219</v>
      </c>
      <c r="J22" s="125">
        <f>ROUND(I22*Valores!$C$2,2)</f>
        <v>7721.41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23699.14</v>
      </c>
      <c r="N22" s="125">
        <f t="shared" si="1"/>
        <v>0</v>
      </c>
      <c r="O22" s="125">
        <f>Valores!$C$11</f>
        <v>31438.19</v>
      </c>
      <c r="P22" s="125">
        <f>Valores!$D$5</f>
        <v>18023.69</v>
      </c>
      <c r="Q22" s="125">
        <v>0</v>
      </c>
      <c r="R22" s="125">
        <f>IF($F$4="NO",Valores!$C$46,Valores!$C$46/2)</f>
        <v>15342.02</v>
      </c>
      <c r="S22" s="125">
        <v>0</v>
      </c>
      <c r="T22" s="125">
        <f t="shared" si="7"/>
        <v>0</v>
      </c>
      <c r="U22" s="125">
        <f>SUM(F22,H22,J22)</f>
        <v>142652.25</v>
      </c>
      <c r="V22" s="125">
        <f>INT((SUM(F22,H22,J22)*0.4*100)+0.49)/100</f>
        <v>57060.9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26214.39</v>
      </c>
      <c r="AA22" s="125">
        <f>Valores!$C$25</f>
        <v>737.18</v>
      </c>
      <c r="AB22" s="214">
        <v>0</v>
      </c>
      <c r="AC22" s="125">
        <f t="shared" si="2"/>
        <v>0</v>
      </c>
      <c r="AD22" s="125">
        <f>Valores!$C$26</f>
        <v>737.18</v>
      </c>
      <c r="AE22" s="192">
        <v>0</v>
      </c>
      <c r="AF22" s="125">
        <f>ROUND(AE22*Valores!$C$2,2)</f>
        <v>0</v>
      </c>
      <c r="AG22" s="125">
        <f>ROUND(IF($F$4="NO",Valores!$C$63,Valores!$C$63/2),2)</f>
        <v>8427.87</v>
      </c>
      <c r="AH22" s="125">
        <f t="shared" si="5"/>
        <v>466985.06000000006</v>
      </c>
      <c r="AI22" s="125">
        <f>Valores!$C$31</f>
        <v>0</v>
      </c>
      <c r="AJ22" s="125">
        <f>Valores!$C$87</f>
        <v>0</v>
      </c>
      <c r="AK22" s="125">
        <f>Valores!C$38*B22</f>
        <v>0</v>
      </c>
      <c r="AL22" s="125">
        <f>IF($F$3="NO",0,Valores!$C$55)</f>
        <v>0</v>
      </c>
      <c r="AM22" s="125">
        <f t="shared" si="3"/>
        <v>0</v>
      </c>
      <c r="AN22" s="125">
        <f>AH22*Valores!$C$71</f>
        <v>-51368.35660000001</v>
      </c>
      <c r="AO22" s="125">
        <f>AH22*-Valores!$C$72</f>
        <v>0</v>
      </c>
      <c r="AP22" s="125">
        <f>AH22*Valores!$C$73</f>
        <v>-21014.3277</v>
      </c>
      <c r="AQ22" s="125">
        <f>Valores!$C$100</f>
        <v>-554.86</v>
      </c>
      <c r="AR22" s="125">
        <f>IF($F$5=0,Valores!$C$101,(Valores!$C$101+$F$5*(Valores!$C$101)))</f>
        <v>-550</v>
      </c>
      <c r="AS22" s="125">
        <f t="shared" si="6"/>
        <v>393497.51570000005</v>
      </c>
      <c r="AT22" s="125">
        <f t="shared" si="0"/>
        <v>-51368.35660000001</v>
      </c>
      <c r="AU22" s="125">
        <f>AH22*Valores!$C$74</f>
        <v>-12608.596620000002</v>
      </c>
      <c r="AV22" s="125">
        <f>AH22*Valores!$C$75</f>
        <v>-1400.9551800000002</v>
      </c>
      <c r="AW22" s="125">
        <f t="shared" si="4"/>
        <v>401607.15160000004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3525.76</v>
      </c>
      <c r="G23" s="192">
        <v>3727</v>
      </c>
      <c r="H23" s="125">
        <f>ROUND(G23*Valores!$C$2,2)</f>
        <v>131405.08</v>
      </c>
      <c r="I23" s="192">
        <v>219</v>
      </c>
      <c r="J23" s="125">
        <f>ROUND(I23*Valores!$C$2,2)</f>
        <v>7721.41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23699.14</v>
      </c>
      <c r="N23" s="125">
        <f t="shared" si="1"/>
        <v>0</v>
      </c>
      <c r="O23" s="125">
        <f>Valores!$C$11</f>
        <v>31438.19</v>
      </c>
      <c r="P23" s="125">
        <f>Valores!$D$5</f>
        <v>18023.69</v>
      </c>
      <c r="Q23" s="125">
        <v>0</v>
      </c>
      <c r="R23" s="125">
        <f>IF($F$4="NO",Valores!$C$46,Valores!$C$46/2)</f>
        <v>15342.02</v>
      </c>
      <c r="S23" s="125">
        <v>0</v>
      </c>
      <c r="T23" s="125">
        <f t="shared" si="7"/>
        <v>0</v>
      </c>
      <c r="U23" s="125">
        <f>SUM(F23,H23,J23)</f>
        <v>142652.25</v>
      </c>
      <c r="V23" s="125">
        <f>INT((SUM(F23,H23,J23)*0.4*100)+0.49)/100</f>
        <v>57060.9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26214.39</v>
      </c>
      <c r="AA23" s="125">
        <f>Valores!$C$25</f>
        <v>737.18</v>
      </c>
      <c r="AB23" s="214">
        <v>0</v>
      </c>
      <c r="AC23" s="125">
        <f t="shared" si="2"/>
        <v>0</v>
      </c>
      <c r="AD23" s="125">
        <f>Valores!$C$26</f>
        <v>737.18</v>
      </c>
      <c r="AE23" s="192">
        <v>0</v>
      </c>
      <c r="AF23" s="125">
        <f>ROUND(AE23*Valores!$C$2,2)</f>
        <v>0</v>
      </c>
      <c r="AG23" s="125">
        <f>ROUND(IF($F$4="NO",Valores!$C$63,Valores!$C$63/2),2)</f>
        <v>8427.87</v>
      </c>
      <c r="AH23" s="125">
        <f t="shared" si="5"/>
        <v>466985.06000000006</v>
      </c>
      <c r="AI23" s="125">
        <f>Valores!$C$31</f>
        <v>0</v>
      </c>
      <c r="AJ23" s="125">
        <f>Valores!$C$87</f>
        <v>0</v>
      </c>
      <c r="AK23" s="125">
        <f>Valores!C$38*B23</f>
        <v>0</v>
      </c>
      <c r="AL23" s="125">
        <f>IF($F$3="NO",0,Valores!$C$55)</f>
        <v>0</v>
      </c>
      <c r="AM23" s="125">
        <f t="shared" si="3"/>
        <v>0</v>
      </c>
      <c r="AN23" s="125">
        <f>AH23*Valores!$C$71</f>
        <v>-51368.35660000001</v>
      </c>
      <c r="AO23" s="125">
        <f>AH23*-Valores!$C$72</f>
        <v>0</v>
      </c>
      <c r="AP23" s="125">
        <f>AH23*Valores!$C$73</f>
        <v>-21014.3277</v>
      </c>
      <c r="AQ23" s="125">
        <f>Valores!$C$100</f>
        <v>-554.86</v>
      </c>
      <c r="AR23" s="125">
        <f>IF($F$5=0,Valores!$C$101,(Valores!$C$101+$F$5*(Valores!$C$101)))</f>
        <v>-550</v>
      </c>
      <c r="AS23" s="125">
        <f t="shared" si="6"/>
        <v>393497.51570000005</v>
      </c>
      <c r="AT23" s="125">
        <f t="shared" si="0"/>
        <v>-51368.35660000001</v>
      </c>
      <c r="AU23" s="125">
        <f>AH23*Valores!$C$74</f>
        <v>-12608.596620000002</v>
      </c>
      <c r="AV23" s="125">
        <f>AH23*Valores!$C$75</f>
        <v>-1400.9551800000002</v>
      </c>
      <c r="AW23" s="125">
        <f t="shared" si="4"/>
        <v>401607.15160000004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3525.76</v>
      </c>
      <c r="G24" s="192">
        <v>3727</v>
      </c>
      <c r="H24" s="125">
        <f>ROUND(G24*Valores!$C$2,2)</f>
        <v>131405.08</v>
      </c>
      <c r="I24" s="192">
        <v>219</v>
      </c>
      <c r="J24" s="125">
        <f>ROUND(I24*Valores!$C$2,2)</f>
        <v>7721.41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23699.14</v>
      </c>
      <c r="N24" s="125">
        <f t="shared" si="1"/>
        <v>0</v>
      </c>
      <c r="O24" s="125">
        <f>Valores!$C$11</f>
        <v>31438.19</v>
      </c>
      <c r="P24" s="125">
        <f>Valores!$D$5</f>
        <v>18023.69</v>
      </c>
      <c r="Q24" s="125">
        <v>0</v>
      </c>
      <c r="R24" s="125">
        <f>IF($F$4="NO",Valores!$C$46,Valores!$C$46/2)</f>
        <v>15342.02</v>
      </c>
      <c r="S24" s="125">
        <v>0</v>
      </c>
      <c r="T24" s="125">
        <f t="shared" si="7"/>
        <v>0</v>
      </c>
      <c r="U24" s="125">
        <f>SUM(F24,H24,J24)</f>
        <v>142652.25</v>
      </c>
      <c r="V24" s="125">
        <f>INT((SUM(F24,H24,J24)*0.4*100)+0.49)/100</f>
        <v>57060.9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26214.39</v>
      </c>
      <c r="AA24" s="125">
        <f>Valores!$C$25</f>
        <v>737.18</v>
      </c>
      <c r="AB24" s="214">
        <v>0</v>
      </c>
      <c r="AC24" s="125">
        <f t="shared" si="2"/>
        <v>0</v>
      </c>
      <c r="AD24" s="125">
        <f>Valores!$C$26</f>
        <v>737.18</v>
      </c>
      <c r="AE24" s="192">
        <v>0</v>
      </c>
      <c r="AF24" s="125">
        <f>ROUND(AE24*Valores!$C$2,2)</f>
        <v>0</v>
      </c>
      <c r="AG24" s="125">
        <f>ROUND(IF($F$4="NO",Valores!$C$63,Valores!$C$63/2),2)</f>
        <v>8427.87</v>
      </c>
      <c r="AH24" s="125">
        <f t="shared" si="5"/>
        <v>466985.06000000006</v>
      </c>
      <c r="AI24" s="125">
        <f>Valores!$C$31</f>
        <v>0</v>
      </c>
      <c r="AJ24" s="125">
        <f>Valores!$C$87</f>
        <v>0</v>
      </c>
      <c r="AK24" s="125">
        <f>Valores!C$38*B24</f>
        <v>0</v>
      </c>
      <c r="AL24" s="125">
        <f>IF($F$3="NO",0,Valores!$C$55)</f>
        <v>0</v>
      </c>
      <c r="AM24" s="125">
        <f t="shared" si="3"/>
        <v>0</v>
      </c>
      <c r="AN24" s="125">
        <f>AH24*Valores!$C$71</f>
        <v>-51368.35660000001</v>
      </c>
      <c r="AO24" s="125">
        <f>AH24*-Valores!$C$72</f>
        <v>0</v>
      </c>
      <c r="AP24" s="125">
        <f>AH24*Valores!$C$73</f>
        <v>-21014.3277</v>
      </c>
      <c r="AQ24" s="125">
        <f>Valores!$C$100</f>
        <v>-554.86</v>
      </c>
      <c r="AR24" s="125">
        <f>IF($F$5=0,Valores!$C$101,(Valores!$C$101+$F$5*(Valores!$C$101)))</f>
        <v>-550</v>
      </c>
      <c r="AS24" s="125">
        <f t="shared" si="6"/>
        <v>393497.51570000005</v>
      </c>
      <c r="AT24" s="125">
        <f t="shared" si="0"/>
        <v>-51368.35660000001</v>
      </c>
      <c r="AU24" s="125">
        <f>AH24*Valores!$C$74</f>
        <v>-12608.596620000002</v>
      </c>
      <c r="AV24" s="125">
        <f>AH24*Valores!$C$75</f>
        <v>-1400.9551800000002</v>
      </c>
      <c r="AW24" s="125">
        <f t="shared" si="4"/>
        <v>401607.15160000004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3384.73</v>
      </c>
      <c r="G25" s="192">
        <v>3737</v>
      </c>
      <c r="H25" s="125">
        <f>ROUND(G25*Valores!$C$2,2)</f>
        <v>131757.65</v>
      </c>
      <c r="I25" s="192">
        <v>1220</v>
      </c>
      <c r="J25" s="125">
        <f>ROUND(I25*Valores!$C$2,2)</f>
        <v>43014.27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32065.5</v>
      </c>
      <c r="N25" s="125">
        <f t="shared" si="1"/>
        <v>0</v>
      </c>
      <c r="O25" s="125">
        <f>Valores!$C$12</f>
        <v>79989.38</v>
      </c>
      <c r="P25" s="125">
        <f>Valores!$D$5</f>
        <v>18023.69</v>
      </c>
      <c r="Q25" s="125">
        <v>0</v>
      </c>
      <c r="R25" s="125">
        <f>IF($F$4="NO",Valores!$C$47,Valores!$C$47/2)</f>
        <v>18842.02</v>
      </c>
      <c r="S25" s="125">
        <f>Valores!$C$19</f>
        <v>16771.31</v>
      </c>
      <c r="T25" s="125">
        <f t="shared" si="7"/>
        <v>16771.31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52428.78</v>
      </c>
      <c r="AA25" s="125">
        <f>Valores!$C$25</f>
        <v>737.18</v>
      </c>
      <c r="AB25" s="214">
        <v>0</v>
      </c>
      <c r="AC25" s="125">
        <f t="shared" si="2"/>
        <v>0</v>
      </c>
      <c r="AD25" s="125">
        <f>Valores!$C$26</f>
        <v>737.18</v>
      </c>
      <c r="AE25" s="192">
        <v>0</v>
      </c>
      <c r="AF25" s="125">
        <f>ROUND(AE25*Valores!$C$2,2)</f>
        <v>0</v>
      </c>
      <c r="AG25" s="125">
        <f>ROUND(IF($F$4="NO",Valores!$C$63,Valores!$C$63/2),2)</f>
        <v>8427.87</v>
      </c>
      <c r="AH25" s="125">
        <f t="shared" si="5"/>
        <v>406179.56000000006</v>
      </c>
      <c r="AI25" s="125">
        <f>Valores!$C$31</f>
        <v>0</v>
      </c>
      <c r="AJ25" s="125">
        <f>Valores!$C$89</f>
        <v>0</v>
      </c>
      <c r="AK25" s="125">
        <f>Valores!C$38*B25</f>
        <v>0</v>
      </c>
      <c r="AL25" s="125">
        <f>IF($F$3="NO",0,Valores!$C$55)</f>
        <v>0</v>
      </c>
      <c r="AM25" s="125">
        <f t="shared" si="3"/>
        <v>0</v>
      </c>
      <c r="AN25" s="125">
        <f>AH25*Valores!$C$71</f>
        <v>-44679.7516</v>
      </c>
      <c r="AO25" s="125">
        <f>AH25*-Valores!$C$72</f>
        <v>0</v>
      </c>
      <c r="AP25" s="125">
        <f>AH25*Valores!$C$73</f>
        <v>-18278.0802</v>
      </c>
      <c r="AQ25" s="125">
        <f>Valores!$C$100</f>
        <v>-554.86</v>
      </c>
      <c r="AR25" s="125">
        <f>IF($F$5=0,Valores!$C$101,(Valores!$C$101+$F$5*(Valores!$C$101)))</f>
        <v>-550</v>
      </c>
      <c r="AS25" s="125">
        <f t="shared" si="6"/>
        <v>342116.8682</v>
      </c>
      <c r="AT25" s="125">
        <f t="shared" si="0"/>
        <v>-44679.7516</v>
      </c>
      <c r="AU25" s="125">
        <f>AH25*Valores!$C$74</f>
        <v>-10966.84812</v>
      </c>
      <c r="AV25" s="125">
        <f>AH25*Valores!$C$75</f>
        <v>-1218.53868</v>
      </c>
      <c r="AW25" s="125">
        <f t="shared" si="4"/>
        <v>349314.42160000006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3384.73</v>
      </c>
      <c r="G26" s="192">
        <v>3737</v>
      </c>
      <c r="H26" s="125">
        <f>ROUND(G26*Valores!$C$2,2)</f>
        <v>131757.65</v>
      </c>
      <c r="I26" s="192">
        <v>1220</v>
      </c>
      <c r="J26" s="125">
        <f>ROUND(I26*Valores!$C$2,2)</f>
        <v>43014.27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32065.5</v>
      </c>
      <c r="N26" s="125">
        <f t="shared" si="1"/>
        <v>0</v>
      </c>
      <c r="O26" s="125">
        <f>Valores!$C$12</f>
        <v>79989.38</v>
      </c>
      <c r="P26" s="125">
        <f>Valores!$D$5</f>
        <v>18023.69</v>
      </c>
      <c r="Q26" s="125">
        <v>0</v>
      </c>
      <c r="R26" s="125">
        <f>IF($F$4="NO",Valores!$C$47,Valores!$C$47/2)</f>
        <v>18842.02</v>
      </c>
      <c r="S26" s="125">
        <f>Valores!$C$19</f>
        <v>16771.31</v>
      </c>
      <c r="T26" s="125">
        <f t="shared" si="7"/>
        <v>16771.31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52428.78</v>
      </c>
      <c r="AA26" s="125">
        <f>Valores!$C$25</f>
        <v>737.18</v>
      </c>
      <c r="AB26" s="214">
        <v>0</v>
      </c>
      <c r="AC26" s="125">
        <f t="shared" si="2"/>
        <v>0</v>
      </c>
      <c r="AD26" s="125">
        <f>Valores!$C$26</f>
        <v>737.18</v>
      </c>
      <c r="AE26" s="192">
        <v>0</v>
      </c>
      <c r="AF26" s="125">
        <f>ROUND(AE26*Valores!$C$2,2)</f>
        <v>0</v>
      </c>
      <c r="AG26" s="125">
        <f>ROUND(IF($F$4="NO",Valores!$C$63,Valores!$C$63/2),2)</f>
        <v>8427.87</v>
      </c>
      <c r="AH26" s="125">
        <f t="shared" si="5"/>
        <v>406179.56000000006</v>
      </c>
      <c r="AI26" s="125">
        <f>Valores!$C$31</f>
        <v>0</v>
      </c>
      <c r="AJ26" s="125">
        <f>Valores!$C$89</f>
        <v>0</v>
      </c>
      <c r="AK26" s="125">
        <f>Valores!C$38*B26</f>
        <v>0</v>
      </c>
      <c r="AL26" s="125">
        <f>IF($F$3="NO",0,Valores!$C$55)</f>
        <v>0</v>
      </c>
      <c r="AM26" s="125">
        <f t="shared" si="3"/>
        <v>0</v>
      </c>
      <c r="AN26" s="125">
        <f>AH26*Valores!$C$71</f>
        <v>-44679.7516</v>
      </c>
      <c r="AO26" s="125">
        <f>AH26*-Valores!$C$72</f>
        <v>0</v>
      </c>
      <c r="AP26" s="125">
        <f>AH26*Valores!$C$73</f>
        <v>-18278.0802</v>
      </c>
      <c r="AQ26" s="125">
        <f>Valores!$C$100</f>
        <v>-554.86</v>
      </c>
      <c r="AR26" s="125">
        <f>IF($F$5=0,Valores!$C$101,(Valores!$C$101+$F$5*(Valores!$C$101)))</f>
        <v>-550</v>
      </c>
      <c r="AS26" s="125">
        <f t="shared" si="6"/>
        <v>342116.8682</v>
      </c>
      <c r="AT26" s="125">
        <f t="shared" si="0"/>
        <v>-44679.7516</v>
      </c>
      <c r="AU26" s="125">
        <f>AH26*Valores!$C$74</f>
        <v>-10966.84812</v>
      </c>
      <c r="AV26" s="125">
        <f>AH26*Valores!$C$75</f>
        <v>-1218.53868</v>
      </c>
      <c r="AW26" s="125">
        <f t="shared" si="4"/>
        <v>349314.42160000006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3384.73</v>
      </c>
      <c r="G27" s="192">
        <v>3737</v>
      </c>
      <c r="H27" s="125">
        <f>ROUND(G27*Valores!$C$2,2)</f>
        <v>131757.65</v>
      </c>
      <c r="I27" s="192">
        <v>1220</v>
      </c>
      <c r="J27" s="125">
        <f>ROUND(I27*Valores!$C$2,2)</f>
        <v>43014.27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32065.5</v>
      </c>
      <c r="N27" s="125">
        <f t="shared" si="1"/>
        <v>0</v>
      </c>
      <c r="O27" s="125">
        <f>Valores!$C$12</f>
        <v>79989.38</v>
      </c>
      <c r="P27" s="125">
        <f>Valores!$D$5</f>
        <v>18023.69</v>
      </c>
      <c r="Q27" s="125">
        <v>0</v>
      </c>
      <c r="R27" s="125">
        <f>IF($F$4="NO",Valores!$C$47,Valores!$C$47/2)</f>
        <v>18842.02</v>
      </c>
      <c r="S27" s="125">
        <f>Valores!$C$19</f>
        <v>16771.31</v>
      </c>
      <c r="T27" s="125">
        <f t="shared" si="7"/>
        <v>16771.31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52428.78</v>
      </c>
      <c r="AA27" s="125">
        <f>Valores!$C$25</f>
        <v>737.18</v>
      </c>
      <c r="AB27" s="214">
        <v>0</v>
      </c>
      <c r="AC27" s="125">
        <f t="shared" si="2"/>
        <v>0</v>
      </c>
      <c r="AD27" s="125">
        <f>Valores!$C$26</f>
        <v>737.18</v>
      </c>
      <c r="AE27" s="192">
        <v>0</v>
      </c>
      <c r="AF27" s="125">
        <f>ROUND(AE27*Valores!$C$2,2)</f>
        <v>0</v>
      </c>
      <c r="AG27" s="125">
        <f>ROUND(IF($F$4="NO",Valores!$C$63,Valores!$C$63/2),2)</f>
        <v>8427.87</v>
      </c>
      <c r="AH27" s="125">
        <f t="shared" si="5"/>
        <v>406179.56000000006</v>
      </c>
      <c r="AI27" s="125">
        <f>Valores!$C$31</f>
        <v>0</v>
      </c>
      <c r="AJ27" s="125">
        <f>Valores!$C$89</f>
        <v>0</v>
      </c>
      <c r="AK27" s="125">
        <f>Valores!C$38*B27</f>
        <v>0</v>
      </c>
      <c r="AL27" s="125">
        <f>IF($F$3="NO",0,Valores!$C$55)</f>
        <v>0</v>
      </c>
      <c r="AM27" s="125">
        <f t="shared" si="3"/>
        <v>0</v>
      </c>
      <c r="AN27" s="125">
        <f>AH27*Valores!$C$71</f>
        <v>-44679.7516</v>
      </c>
      <c r="AO27" s="125">
        <f>AH27*-Valores!$C$72</f>
        <v>0</v>
      </c>
      <c r="AP27" s="125">
        <f>AH27*Valores!$C$73</f>
        <v>-18278.0802</v>
      </c>
      <c r="AQ27" s="125">
        <f>Valores!$C$100</f>
        <v>-554.86</v>
      </c>
      <c r="AR27" s="125">
        <f>IF($F$5=0,Valores!$C$101,(Valores!$C$101+$F$5*(Valores!$C$101)))</f>
        <v>-550</v>
      </c>
      <c r="AS27" s="125">
        <f t="shared" si="6"/>
        <v>342116.8682</v>
      </c>
      <c r="AT27" s="125">
        <f t="shared" si="0"/>
        <v>-44679.7516</v>
      </c>
      <c r="AU27" s="125">
        <f>AH27*Valores!$C$74</f>
        <v>-10966.84812</v>
      </c>
      <c r="AV27" s="125">
        <f>AH27*Valores!$C$75</f>
        <v>-1218.53868</v>
      </c>
      <c r="AW27" s="125">
        <f t="shared" si="4"/>
        <v>349314.42160000006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3772.56</v>
      </c>
      <c r="G28" s="192">
        <v>3728</v>
      </c>
      <c r="H28" s="125">
        <f>ROUND(G28*Valores!$C$2,2)</f>
        <v>131440.33</v>
      </c>
      <c r="I28" s="192">
        <v>1218</v>
      </c>
      <c r="J28" s="125">
        <f>ROUND(I28*Valores!$C$2,2)</f>
        <v>42943.76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32065.5</v>
      </c>
      <c r="N28" s="125">
        <f t="shared" si="1"/>
        <v>0</v>
      </c>
      <c r="O28" s="125">
        <f>Valores!$C$12</f>
        <v>79989.38</v>
      </c>
      <c r="P28" s="125">
        <f>Valores!$D$5</f>
        <v>18023.69</v>
      </c>
      <c r="Q28" s="125">
        <v>0</v>
      </c>
      <c r="R28" s="125">
        <f>IF($F$4="NO",Valores!$C$47,Valores!$C$47/2)</f>
        <v>18842.02</v>
      </c>
      <c r="S28" s="125">
        <f>Valores!$C$19</f>
        <v>16771.31</v>
      </c>
      <c r="T28" s="125">
        <f t="shared" si="7"/>
        <v>16771.31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52428.78</v>
      </c>
      <c r="AA28" s="125">
        <f>Valores!$C$25</f>
        <v>737.18</v>
      </c>
      <c r="AB28" s="214">
        <v>0</v>
      </c>
      <c r="AC28" s="125">
        <f t="shared" si="2"/>
        <v>0</v>
      </c>
      <c r="AD28" s="125">
        <f>Valores!$C$26</f>
        <v>737.18</v>
      </c>
      <c r="AE28" s="192">
        <v>0</v>
      </c>
      <c r="AF28" s="125">
        <f>ROUND(AE28*Valores!$C$2,2)</f>
        <v>0</v>
      </c>
      <c r="AG28" s="125">
        <f>ROUND(IF($F$4="NO",Valores!$C$63,Valores!$C$63/2),2)</f>
        <v>8427.87</v>
      </c>
      <c r="AH28" s="125">
        <f t="shared" si="5"/>
        <v>406179.56000000006</v>
      </c>
      <c r="AI28" s="125">
        <f>Valores!$C$31</f>
        <v>0</v>
      </c>
      <c r="AJ28" s="125">
        <f>Valores!$C$89</f>
        <v>0</v>
      </c>
      <c r="AK28" s="125">
        <f>Valores!C$38*B28</f>
        <v>0</v>
      </c>
      <c r="AL28" s="125">
        <f>IF($F$3="NO",0,Valores!$C$55)</f>
        <v>0</v>
      </c>
      <c r="AM28" s="125">
        <f t="shared" si="3"/>
        <v>0</v>
      </c>
      <c r="AN28" s="125">
        <f>AH28*Valores!$C$71</f>
        <v>-44679.7516</v>
      </c>
      <c r="AO28" s="125">
        <f>AH28*-Valores!$C$72</f>
        <v>0</v>
      </c>
      <c r="AP28" s="125">
        <f>AH28*Valores!$C$73</f>
        <v>-18278.0802</v>
      </c>
      <c r="AQ28" s="125">
        <f>Valores!$C$100</f>
        <v>-554.86</v>
      </c>
      <c r="AR28" s="125">
        <f>IF($F$5=0,Valores!$C$101,(Valores!$C$101+$F$5*(Valores!$C$101)))</f>
        <v>-550</v>
      </c>
      <c r="AS28" s="125">
        <f t="shared" si="6"/>
        <v>342116.8682</v>
      </c>
      <c r="AT28" s="125">
        <f t="shared" si="0"/>
        <v>-44679.7516</v>
      </c>
      <c r="AU28" s="125">
        <f>AH28*Valores!$C$74</f>
        <v>-10966.84812</v>
      </c>
      <c r="AV28" s="125">
        <f>AH28*Valores!$C$75</f>
        <v>-1218.53868</v>
      </c>
      <c r="AW28" s="125">
        <f t="shared" si="4"/>
        <v>349314.42160000006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3314.21</v>
      </c>
      <c r="G29" s="192">
        <v>3624</v>
      </c>
      <c r="H29" s="125">
        <f>ROUND(G29*Valores!$C$2,2)</f>
        <v>127773.54</v>
      </c>
      <c r="I29" s="192">
        <v>1219</v>
      </c>
      <c r="J29" s="125">
        <f>ROUND(I29*Valores!$C$2,2)</f>
        <v>42979.01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31452.01</v>
      </c>
      <c r="N29" s="125">
        <f t="shared" si="1"/>
        <v>0</v>
      </c>
      <c r="O29" s="125">
        <f>Valores!$C$12</f>
        <v>79989.38</v>
      </c>
      <c r="P29" s="125">
        <f>Valores!$D$5</f>
        <v>18023.69</v>
      </c>
      <c r="Q29" s="125">
        <v>0</v>
      </c>
      <c r="R29" s="125">
        <f>IF($F$4="NO",Valores!$C$47,Valores!$C$47/2)</f>
        <v>18842.02</v>
      </c>
      <c r="S29" s="125">
        <f>Valores!$C$19</f>
        <v>16771.31</v>
      </c>
      <c r="T29" s="125">
        <f t="shared" si="7"/>
        <v>16771.31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52428.78</v>
      </c>
      <c r="AA29" s="125">
        <f>Valores!$C$25</f>
        <v>737.18</v>
      </c>
      <c r="AB29" s="214">
        <v>0</v>
      </c>
      <c r="AC29" s="125">
        <f t="shared" si="2"/>
        <v>0</v>
      </c>
      <c r="AD29" s="125">
        <f>Valores!$C$26</f>
        <v>737.18</v>
      </c>
      <c r="AE29" s="192">
        <v>0</v>
      </c>
      <c r="AF29" s="125">
        <f>ROUND(AE29*Valores!$C$2,2)</f>
        <v>0</v>
      </c>
      <c r="AG29" s="125">
        <f>ROUND(IF($F$4="NO",Valores!$C$63,Valores!$C$63/2),2)</f>
        <v>8427.87</v>
      </c>
      <c r="AH29" s="125">
        <f t="shared" si="5"/>
        <v>401476.18000000005</v>
      </c>
      <c r="AI29" s="125">
        <f>Valores!$C$31</f>
        <v>0</v>
      </c>
      <c r="AJ29" s="125">
        <f>Valores!$C$89</f>
        <v>0</v>
      </c>
      <c r="AK29" s="125">
        <f>Valores!C$38*B29</f>
        <v>0</v>
      </c>
      <c r="AL29" s="125">
        <f>IF($F$3="NO",0,Valores!$C$55)</f>
        <v>0</v>
      </c>
      <c r="AM29" s="125">
        <f t="shared" si="3"/>
        <v>0</v>
      </c>
      <c r="AN29" s="125">
        <f>AH29*Valores!$C$71</f>
        <v>-44162.3798</v>
      </c>
      <c r="AO29" s="125">
        <f>AH29*-Valores!$C$72</f>
        <v>0</v>
      </c>
      <c r="AP29" s="125">
        <f>AH29*Valores!$C$73</f>
        <v>-18066.4281</v>
      </c>
      <c r="AQ29" s="125">
        <f>Valores!$C$100</f>
        <v>-554.86</v>
      </c>
      <c r="AR29" s="125">
        <f>IF($F$5=0,Valores!$C$101,(Valores!$C$101+$F$5*(Valores!$C$101)))</f>
        <v>-550</v>
      </c>
      <c r="AS29" s="125">
        <f t="shared" si="6"/>
        <v>338142.51210000005</v>
      </c>
      <c r="AT29" s="125">
        <f t="shared" si="0"/>
        <v>-44162.3798</v>
      </c>
      <c r="AU29" s="125">
        <f>AH29*Valores!$C$74</f>
        <v>-10839.856860000002</v>
      </c>
      <c r="AV29" s="125">
        <f>AH29*Valores!$C$75</f>
        <v>-1204.42854</v>
      </c>
      <c r="AW29" s="125">
        <f t="shared" si="4"/>
        <v>345269.51480000006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3278.96</v>
      </c>
      <c r="G30" s="192">
        <v>3627</v>
      </c>
      <c r="H30" s="125">
        <f>ROUND(G30*Valores!$C$2,2)</f>
        <v>127879.32</v>
      </c>
      <c r="I30" s="192">
        <v>210</v>
      </c>
      <c r="J30" s="125">
        <f>ROUND(I30*Valores!$C$2,2)</f>
        <v>7404.1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26126.36</v>
      </c>
      <c r="N30" s="125">
        <f t="shared" si="1"/>
        <v>0</v>
      </c>
      <c r="O30" s="125">
        <f>Valores!$C$12</f>
        <v>79989.38</v>
      </c>
      <c r="P30" s="125">
        <f>Valores!$D$5</f>
        <v>18023.69</v>
      </c>
      <c r="Q30" s="125">
        <v>0</v>
      </c>
      <c r="R30" s="125">
        <f>IF($F$4="NO",Valores!$C$47,Valores!$C$47/2)</f>
        <v>18842.02</v>
      </c>
      <c r="S30" s="125">
        <f>Valores!$C$19</f>
        <v>16771.31</v>
      </c>
      <c r="T30" s="125">
        <f t="shared" si="7"/>
        <v>16771.31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52428.78</v>
      </c>
      <c r="AA30" s="125">
        <f>Valores!$C$25</f>
        <v>737.18</v>
      </c>
      <c r="AB30" s="214">
        <v>0</v>
      </c>
      <c r="AC30" s="125">
        <f t="shared" si="2"/>
        <v>0</v>
      </c>
      <c r="AD30" s="125">
        <f>Valores!$C$26</f>
        <v>737.18</v>
      </c>
      <c r="AE30" s="192">
        <v>0</v>
      </c>
      <c r="AF30" s="125">
        <f>ROUND(AE30*Valores!$C$2,2)</f>
        <v>0</v>
      </c>
      <c r="AG30" s="125">
        <f>ROUND(IF($F$4="NO",Valores!$C$63,Valores!$C$63/2),2)</f>
        <v>8427.87</v>
      </c>
      <c r="AH30" s="125">
        <f t="shared" si="5"/>
        <v>360646.15</v>
      </c>
      <c r="AI30" s="125">
        <f>Valores!$C$31</f>
        <v>0</v>
      </c>
      <c r="AJ30" s="125">
        <f>Valores!$C$89</f>
        <v>0</v>
      </c>
      <c r="AK30" s="125">
        <f>Valores!C$38*B30</f>
        <v>0</v>
      </c>
      <c r="AL30" s="125">
        <f>IF($F$3="NO",0,Valores!$C$55)</f>
        <v>0</v>
      </c>
      <c r="AM30" s="125">
        <f t="shared" si="3"/>
        <v>0</v>
      </c>
      <c r="AN30" s="125">
        <f>AH30*Valores!$C$71</f>
        <v>-39671.0765</v>
      </c>
      <c r="AO30" s="125">
        <f>AH30*-Valores!$C$72</f>
        <v>0</v>
      </c>
      <c r="AP30" s="125">
        <f>AH30*Valores!$C$73</f>
        <v>-16229.07675</v>
      </c>
      <c r="AQ30" s="125">
        <f>Valores!$C$100</f>
        <v>-554.86</v>
      </c>
      <c r="AR30" s="125">
        <f>IF($F$5=0,Valores!$C$101,(Valores!$C$101+$F$5*(Valores!$C$101)))</f>
        <v>-550</v>
      </c>
      <c r="AS30" s="125">
        <f t="shared" si="6"/>
        <v>303641.13675</v>
      </c>
      <c r="AT30" s="125">
        <f t="shared" si="0"/>
        <v>-39671.0765</v>
      </c>
      <c r="AU30" s="125">
        <f>AH30*Valores!$C$74</f>
        <v>-9737.44605</v>
      </c>
      <c r="AV30" s="125">
        <f>AH30*Valores!$C$75</f>
        <v>-1081.93845</v>
      </c>
      <c r="AW30" s="125">
        <f t="shared" si="4"/>
        <v>310155.689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3278.96</v>
      </c>
      <c r="G31" s="192">
        <v>3630</v>
      </c>
      <c r="H31" s="125">
        <f>ROUND(G31*Valores!$C$2,2)</f>
        <v>127985.09</v>
      </c>
      <c r="I31" s="192">
        <v>1214</v>
      </c>
      <c r="J31" s="125">
        <f>ROUND(I31*Valores!$C$2,2)</f>
        <v>42802.73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31452.02</v>
      </c>
      <c r="N31" s="125">
        <f t="shared" si="1"/>
        <v>0</v>
      </c>
      <c r="O31" s="125">
        <f>Valores!$C$12</f>
        <v>79989.38</v>
      </c>
      <c r="P31" s="125">
        <f>Valores!$D$5</f>
        <v>18023.69</v>
      </c>
      <c r="Q31" s="125">
        <v>0</v>
      </c>
      <c r="R31" s="125">
        <f>IF($F$4="NO",Valores!$C$47,Valores!$C$47/2)</f>
        <v>18842.02</v>
      </c>
      <c r="S31" s="125">
        <f>Valores!$C$19</f>
        <v>16771.31</v>
      </c>
      <c r="T31" s="125">
        <f t="shared" si="7"/>
        <v>16771.31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52428.78</v>
      </c>
      <c r="AA31" s="125">
        <f>Valores!$C$25</f>
        <v>737.18</v>
      </c>
      <c r="AB31" s="214">
        <v>0</v>
      </c>
      <c r="AC31" s="125">
        <f t="shared" si="2"/>
        <v>0</v>
      </c>
      <c r="AD31" s="125">
        <f>Valores!$C$26</f>
        <v>737.18</v>
      </c>
      <c r="AE31" s="192">
        <v>0</v>
      </c>
      <c r="AF31" s="125">
        <f>ROUND(AE31*Valores!$C$2,2)</f>
        <v>0</v>
      </c>
      <c r="AG31" s="125">
        <f>ROUND(IF($F$4="NO",Valores!$C$63,Valores!$C$63/2),2)</f>
        <v>8427.87</v>
      </c>
      <c r="AH31" s="125">
        <f t="shared" si="5"/>
        <v>401476.20999999996</v>
      </c>
      <c r="AI31" s="125">
        <f>Valores!$C$31</f>
        <v>0</v>
      </c>
      <c r="AJ31" s="125">
        <f>Valores!$C$89</f>
        <v>0</v>
      </c>
      <c r="AK31" s="125">
        <f>Valores!C$38*B31</f>
        <v>0</v>
      </c>
      <c r="AL31" s="125">
        <f>IF($F$3="NO",0,Valores!$C$55)</f>
        <v>0</v>
      </c>
      <c r="AM31" s="125">
        <f t="shared" si="3"/>
        <v>0</v>
      </c>
      <c r="AN31" s="125">
        <f>AH31*Valores!$C$71</f>
        <v>-44162.3831</v>
      </c>
      <c r="AO31" s="125">
        <f>AH31*-Valores!$C$72</f>
        <v>0</v>
      </c>
      <c r="AP31" s="125">
        <f>AH31*Valores!$C$73</f>
        <v>-18066.429449999996</v>
      </c>
      <c r="AQ31" s="125">
        <f>Valores!$C$100</f>
        <v>-554.86</v>
      </c>
      <c r="AR31" s="125">
        <f>IF($F$5=0,Valores!$C$101,(Valores!$C$101+$F$5*(Valores!$C$101)))</f>
        <v>-550</v>
      </c>
      <c r="AS31" s="125">
        <f t="shared" si="6"/>
        <v>338142.53744999995</v>
      </c>
      <c r="AT31" s="125">
        <f t="shared" si="0"/>
        <v>-44162.3831</v>
      </c>
      <c r="AU31" s="125">
        <f>AH31*Valores!$C$74</f>
        <v>-10839.85767</v>
      </c>
      <c r="AV31" s="125">
        <f>AH31*Valores!$C$75</f>
        <v>-1204.4286299999999</v>
      </c>
      <c r="AW31" s="125">
        <f t="shared" si="4"/>
        <v>345269.54059999995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3384.73</v>
      </c>
      <c r="G32" s="192">
        <v>3737</v>
      </c>
      <c r="H32" s="125">
        <f>ROUND(G32*Valores!$C$2,2)</f>
        <v>131757.65</v>
      </c>
      <c r="I32" s="192">
        <v>1220</v>
      </c>
      <c r="J32" s="125">
        <f>ROUND(I32*Valores!$C$2,2)</f>
        <v>43014.27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32065.5</v>
      </c>
      <c r="N32" s="125">
        <f t="shared" si="1"/>
        <v>0</v>
      </c>
      <c r="O32" s="125">
        <f>Valores!$C$12</f>
        <v>79989.38</v>
      </c>
      <c r="P32" s="125">
        <f>Valores!$D$5</f>
        <v>18023.69</v>
      </c>
      <c r="Q32" s="125">
        <v>0</v>
      </c>
      <c r="R32" s="125">
        <f>IF($F$4="NO",Valores!$C$47,Valores!$C$47/2)</f>
        <v>18842.02</v>
      </c>
      <c r="S32" s="125">
        <f>Valores!$C$19</f>
        <v>16771.31</v>
      </c>
      <c r="T32" s="125">
        <f t="shared" si="7"/>
        <v>16771.31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29549.8</v>
      </c>
      <c r="Z32" s="125">
        <f>Valores!$C$96</f>
        <v>52428.78</v>
      </c>
      <c r="AA32" s="125">
        <f>Valores!$C$25</f>
        <v>737.18</v>
      </c>
      <c r="AB32" s="214">
        <v>0</v>
      </c>
      <c r="AC32" s="125">
        <f t="shared" si="2"/>
        <v>0</v>
      </c>
      <c r="AD32" s="125">
        <f>Valores!$C$26</f>
        <v>737.18</v>
      </c>
      <c r="AE32" s="192">
        <v>0</v>
      </c>
      <c r="AF32" s="125">
        <f>ROUND(AE32*Valores!$C$2,2)</f>
        <v>0</v>
      </c>
      <c r="AG32" s="125">
        <f>ROUND(IF($F$4="NO",Valores!$C$63,Valores!$C$63/2),2)</f>
        <v>8427.87</v>
      </c>
      <c r="AH32" s="125">
        <f t="shared" si="5"/>
        <v>435729.36</v>
      </c>
      <c r="AI32" s="125">
        <f>Valores!$C$31</f>
        <v>0</v>
      </c>
      <c r="AJ32" s="125">
        <f>Valores!$C$89</f>
        <v>0</v>
      </c>
      <c r="AK32" s="125">
        <f>Valores!C$38*B32</f>
        <v>0</v>
      </c>
      <c r="AL32" s="125">
        <f>IF($F$3="NO",0,Valores!$C$55)</f>
        <v>0</v>
      </c>
      <c r="AM32" s="125">
        <f t="shared" si="3"/>
        <v>0</v>
      </c>
      <c r="AN32" s="125">
        <f>AH32*Valores!$C$71</f>
        <v>-47930.2296</v>
      </c>
      <c r="AO32" s="125">
        <f>AH32*-Valores!$C$72</f>
        <v>0</v>
      </c>
      <c r="AP32" s="125">
        <f>AH32*Valores!$C$73</f>
        <v>-19607.8212</v>
      </c>
      <c r="AQ32" s="125">
        <f>Valores!$C$100</f>
        <v>-554.86</v>
      </c>
      <c r="AR32" s="125">
        <f>IF($F$5=0,Valores!$C$101,(Valores!$C$101+$F$5*(Valores!$C$101)))</f>
        <v>-550</v>
      </c>
      <c r="AS32" s="125">
        <f t="shared" si="6"/>
        <v>367086.4492</v>
      </c>
      <c r="AT32" s="125">
        <f t="shared" si="0"/>
        <v>-47930.2296</v>
      </c>
      <c r="AU32" s="125">
        <f>AH32*Valores!$C$74</f>
        <v>-11764.69272</v>
      </c>
      <c r="AV32" s="125">
        <f>AH32*Valores!$C$75</f>
        <v>-1307.18808</v>
      </c>
      <c r="AW32" s="125">
        <f t="shared" si="4"/>
        <v>374727.2496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3243.7</v>
      </c>
      <c r="G33" s="192">
        <v>3483</v>
      </c>
      <c r="H33" s="125">
        <f>ROUND(G33*Valores!$C$2,2)</f>
        <v>122802.22</v>
      </c>
      <c r="I33" s="192">
        <v>1217</v>
      </c>
      <c r="J33" s="125">
        <f>ROUND(I33*Valores!$C$2,2)</f>
        <v>42908.5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30685.16</v>
      </c>
      <c r="N33" s="125">
        <f t="shared" si="1"/>
        <v>0</v>
      </c>
      <c r="O33" s="125">
        <f>Valores!$C$12</f>
        <v>79989.38</v>
      </c>
      <c r="P33" s="125">
        <f>Valores!$D$5</f>
        <v>18023.69</v>
      </c>
      <c r="Q33" s="125">
        <v>0</v>
      </c>
      <c r="R33" s="125">
        <f>IF($F$4="NO",Valores!$C$47,Valores!$C$47/2)</f>
        <v>18842.02</v>
      </c>
      <c r="S33" s="125">
        <f>Valores!$C$19</f>
        <v>16771.31</v>
      </c>
      <c r="T33" s="125">
        <f t="shared" si="7"/>
        <v>16771.31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52428.78</v>
      </c>
      <c r="AA33" s="125">
        <f>Valores!$C$25</f>
        <v>737.18</v>
      </c>
      <c r="AB33" s="214">
        <v>0</v>
      </c>
      <c r="AC33" s="125">
        <f t="shared" si="2"/>
        <v>0</v>
      </c>
      <c r="AD33" s="125">
        <f>Valores!$C$26</f>
        <v>737.18</v>
      </c>
      <c r="AE33" s="192">
        <v>0</v>
      </c>
      <c r="AF33" s="125">
        <f>ROUND(AE33*Valores!$C$2,2)</f>
        <v>0</v>
      </c>
      <c r="AG33" s="125">
        <f>ROUND(IF($F$4="NO",Valores!$C$63,Valores!$C$63/2),2)</f>
        <v>8427.87</v>
      </c>
      <c r="AH33" s="125">
        <f t="shared" si="5"/>
        <v>395596.99</v>
      </c>
      <c r="AI33" s="125">
        <f>Valores!$C$31</f>
        <v>0</v>
      </c>
      <c r="AJ33" s="125">
        <f>Valores!$C$89</f>
        <v>0</v>
      </c>
      <c r="AK33" s="125">
        <f>Valores!C$38*B33</f>
        <v>0</v>
      </c>
      <c r="AL33" s="125">
        <f>IF($F$3="NO",0,Valores!$C$55)</f>
        <v>0</v>
      </c>
      <c r="AM33" s="125">
        <f t="shared" si="3"/>
        <v>0</v>
      </c>
      <c r="AN33" s="125">
        <f>AH33*Valores!$C$71</f>
        <v>-43515.6689</v>
      </c>
      <c r="AO33" s="125">
        <f>AH33*-Valores!$C$72</f>
        <v>0</v>
      </c>
      <c r="AP33" s="125">
        <f>AH33*Valores!$C$73</f>
        <v>-17801.86455</v>
      </c>
      <c r="AQ33" s="125">
        <f>Valores!$C$100</f>
        <v>-554.86</v>
      </c>
      <c r="AR33" s="125">
        <f>IF($F$5=0,Valores!$C$101,(Valores!$C$101+$F$5*(Valores!$C$101)))</f>
        <v>-550</v>
      </c>
      <c r="AS33" s="125">
        <f t="shared" si="6"/>
        <v>333174.59655</v>
      </c>
      <c r="AT33" s="125">
        <f t="shared" si="0"/>
        <v>-43515.6689</v>
      </c>
      <c r="AU33" s="125">
        <f>AH33*Valores!$C$74</f>
        <v>-10681.11873</v>
      </c>
      <c r="AV33" s="125">
        <f>AH33*Valores!$C$75</f>
        <v>-1186.79097</v>
      </c>
      <c r="AW33" s="125">
        <f t="shared" si="4"/>
        <v>340213.4114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2996.9</v>
      </c>
      <c r="G34" s="192">
        <v>3498</v>
      </c>
      <c r="H34" s="125">
        <f>ROUND(G34*Valores!$C$2,2)</f>
        <v>123331.08</v>
      </c>
      <c r="I34" s="192">
        <v>1209</v>
      </c>
      <c r="J34" s="125">
        <f>ROUND(I34*Valores!$C$2,2)</f>
        <v>42626.44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30685.16</v>
      </c>
      <c r="N34" s="125">
        <f t="shared" si="1"/>
        <v>0</v>
      </c>
      <c r="O34" s="125">
        <f>Valores!$C$12</f>
        <v>79989.38</v>
      </c>
      <c r="P34" s="125">
        <f>Valores!$D$5</f>
        <v>18023.69</v>
      </c>
      <c r="Q34" s="125">
        <v>0</v>
      </c>
      <c r="R34" s="125">
        <f>IF($F$4="NO",Valores!$C$47,Valores!$C$47/2)</f>
        <v>18842.02</v>
      </c>
      <c r="S34" s="125">
        <f>Valores!$C$19</f>
        <v>16771.31</v>
      </c>
      <c r="T34" s="125">
        <f t="shared" si="7"/>
        <v>16771.31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52428.78</v>
      </c>
      <c r="AA34" s="125">
        <f>Valores!$C$25</f>
        <v>737.18</v>
      </c>
      <c r="AB34" s="214">
        <v>0</v>
      </c>
      <c r="AC34" s="125">
        <f t="shared" si="2"/>
        <v>0</v>
      </c>
      <c r="AD34" s="125">
        <f>Valores!$C$26</f>
        <v>737.18</v>
      </c>
      <c r="AE34" s="192">
        <v>0</v>
      </c>
      <c r="AF34" s="125">
        <f>ROUND(AE34*Valores!$C$2,2)</f>
        <v>0</v>
      </c>
      <c r="AG34" s="125">
        <f>ROUND(IF($F$4="NO",Valores!$C$63,Valores!$C$63/2),2)</f>
        <v>8427.87</v>
      </c>
      <c r="AH34" s="125">
        <f t="shared" si="5"/>
        <v>395596.99</v>
      </c>
      <c r="AI34" s="125">
        <f>Valores!$C$31</f>
        <v>0</v>
      </c>
      <c r="AJ34" s="125">
        <f>Valores!$C$89</f>
        <v>0</v>
      </c>
      <c r="AK34" s="125">
        <f>Valores!C$38*B34</f>
        <v>0</v>
      </c>
      <c r="AL34" s="125">
        <f>IF($F$3="NO",0,Valores!$C$55)</f>
        <v>0</v>
      </c>
      <c r="AM34" s="125">
        <f t="shared" si="3"/>
        <v>0</v>
      </c>
      <c r="AN34" s="125">
        <f>AH34*Valores!$C$71</f>
        <v>-43515.6689</v>
      </c>
      <c r="AO34" s="125">
        <f>AH34*-Valores!$C$72</f>
        <v>0</v>
      </c>
      <c r="AP34" s="125">
        <f>AH34*Valores!$C$73</f>
        <v>-17801.86455</v>
      </c>
      <c r="AQ34" s="125">
        <f>Valores!$C$100</f>
        <v>-554.86</v>
      </c>
      <c r="AR34" s="125">
        <f>IF($F$5=0,Valores!$C$101,(Valores!$C$101+$F$5*(Valores!$C$101)))</f>
        <v>-550</v>
      </c>
      <c r="AS34" s="125">
        <f t="shared" si="6"/>
        <v>333174.59655</v>
      </c>
      <c r="AT34" s="125">
        <f t="shared" si="0"/>
        <v>-43515.6689</v>
      </c>
      <c r="AU34" s="125">
        <f>AH34*Valores!$C$74</f>
        <v>-10681.11873</v>
      </c>
      <c r="AV34" s="125">
        <f>AH34*Valores!$C$75</f>
        <v>-1186.79097</v>
      </c>
      <c r="AW34" s="125">
        <f t="shared" si="4"/>
        <v>340213.4114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3243.7</v>
      </c>
      <c r="G35" s="192">
        <v>3483</v>
      </c>
      <c r="H35" s="125">
        <f>ROUND(G35*Valores!$C$2,2)</f>
        <v>122802.22</v>
      </c>
      <c r="I35" s="192">
        <v>1217</v>
      </c>
      <c r="J35" s="125">
        <f>ROUND(I35*Valores!$C$2,2)</f>
        <v>42908.5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30685.16</v>
      </c>
      <c r="N35" s="125">
        <f t="shared" si="1"/>
        <v>0</v>
      </c>
      <c r="O35" s="125">
        <f>Valores!$C$12</f>
        <v>79989.38</v>
      </c>
      <c r="P35" s="125">
        <f>Valores!$D$5</f>
        <v>18023.69</v>
      </c>
      <c r="Q35" s="125">
        <v>0</v>
      </c>
      <c r="R35" s="125">
        <f>IF($F$4="NO",Valores!$C$47,Valores!$C$47/2)</f>
        <v>18842.02</v>
      </c>
      <c r="S35" s="125">
        <f>Valores!$C$19</f>
        <v>16771.31</v>
      </c>
      <c r="T35" s="125">
        <f t="shared" si="7"/>
        <v>16771.31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52428.78</v>
      </c>
      <c r="AA35" s="125">
        <f>Valores!$C$25</f>
        <v>737.18</v>
      </c>
      <c r="AB35" s="214">
        <v>0</v>
      </c>
      <c r="AC35" s="125">
        <f t="shared" si="2"/>
        <v>0</v>
      </c>
      <c r="AD35" s="125">
        <f>Valores!$C$26</f>
        <v>737.18</v>
      </c>
      <c r="AE35" s="192">
        <v>0</v>
      </c>
      <c r="AF35" s="125">
        <f>ROUND(AE35*Valores!$C$2,2)</f>
        <v>0</v>
      </c>
      <c r="AG35" s="125">
        <f>ROUND(IF($F$4="NO",Valores!$C$63,Valores!$C$63/2),2)</f>
        <v>8427.87</v>
      </c>
      <c r="AH35" s="125">
        <f t="shared" si="5"/>
        <v>395596.99</v>
      </c>
      <c r="AI35" s="125">
        <f>Valores!$C$31</f>
        <v>0</v>
      </c>
      <c r="AJ35" s="125">
        <f>Valores!$C$89</f>
        <v>0</v>
      </c>
      <c r="AK35" s="125">
        <f>Valores!C$38*B35</f>
        <v>0</v>
      </c>
      <c r="AL35" s="125">
        <f>IF($F$3="NO",0,Valores!$C$55)</f>
        <v>0</v>
      </c>
      <c r="AM35" s="125">
        <f t="shared" si="3"/>
        <v>0</v>
      </c>
      <c r="AN35" s="125">
        <f>AH35*Valores!$C$71</f>
        <v>-43515.6689</v>
      </c>
      <c r="AO35" s="125">
        <f>AH35*-Valores!$C$72</f>
        <v>0</v>
      </c>
      <c r="AP35" s="125">
        <f>AH35*Valores!$C$73</f>
        <v>-17801.86455</v>
      </c>
      <c r="AQ35" s="125">
        <f>Valores!$C$100</f>
        <v>-554.86</v>
      </c>
      <c r="AR35" s="125">
        <f>IF($F$5=0,Valores!$C$101,(Valores!$C$101+$F$5*(Valores!$C$101)))</f>
        <v>-550</v>
      </c>
      <c r="AS35" s="125">
        <f t="shared" si="6"/>
        <v>333174.59655</v>
      </c>
      <c r="AT35" s="125">
        <f t="shared" si="0"/>
        <v>-43515.6689</v>
      </c>
      <c r="AU35" s="125">
        <f>AH35*Valores!$C$74</f>
        <v>-10681.11873</v>
      </c>
      <c r="AV35" s="125">
        <f>AH35*Valores!$C$75</f>
        <v>-1186.79097</v>
      </c>
      <c r="AW35" s="125">
        <f t="shared" si="4"/>
        <v>340213.4114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2996.9</v>
      </c>
      <c r="G36" s="192">
        <v>3498</v>
      </c>
      <c r="H36" s="125">
        <f>ROUND(G36*Valores!$C$2,2)</f>
        <v>123331.08</v>
      </c>
      <c r="I36" s="192">
        <v>1209</v>
      </c>
      <c r="J36" s="125">
        <f>ROUND(I36*Valores!$C$2,2)</f>
        <v>42626.44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30685.16</v>
      </c>
      <c r="N36" s="125">
        <f t="shared" si="1"/>
        <v>0</v>
      </c>
      <c r="O36" s="125">
        <f>Valores!$C$12</f>
        <v>79989.38</v>
      </c>
      <c r="P36" s="125">
        <f>Valores!$D$5</f>
        <v>18023.69</v>
      </c>
      <c r="Q36" s="125">
        <v>0</v>
      </c>
      <c r="R36" s="125">
        <f>IF($F$4="NO",Valores!$C$47,Valores!$C$47/2)</f>
        <v>18842.02</v>
      </c>
      <c r="S36" s="125">
        <f>Valores!$C$19</f>
        <v>16771.31</v>
      </c>
      <c r="T36" s="125">
        <f t="shared" si="7"/>
        <v>16771.31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52428.78</v>
      </c>
      <c r="AA36" s="125">
        <f>Valores!$C$25</f>
        <v>737.18</v>
      </c>
      <c r="AB36" s="214">
        <v>0</v>
      </c>
      <c r="AC36" s="125">
        <f t="shared" si="2"/>
        <v>0</v>
      </c>
      <c r="AD36" s="125">
        <f>Valores!$C$26</f>
        <v>737.18</v>
      </c>
      <c r="AE36" s="192">
        <v>0</v>
      </c>
      <c r="AF36" s="125">
        <f>ROUND(AE36*Valores!$C$2,2)</f>
        <v>0</v>
      </c>
      <c r="AG36" s="125">
        <f>ROUND(IF($F$4="NO",Valores!$C$63,Valores!$C$63/2),2)</f>
        <v>8427.87</v>
      </c>
      <c r="AH36" s="125">
        <f t="shared" si="5"/>
        <v>395596.99</v>
      </c>
      <c r="AI36" s="125">
        <f>Valores!$C$31</f>
        <v>0</v>
      </c>
      <c r="AJ36" s="125">
        <f>Valores!$C$89</f>
        <v>0</v>
      </c>
      <c r="AK36" s="125">
        <f>Valores!C$38*B36</f>
        <v>0</v>
      </c>
      <c r="AL36" s="125">
        <f>IF($F$3="NO",0,Valores!$C$55)</f>
        <v>0</v>
      </c>
      <c r="AM36" s="125">
        <f t="shared" si="3"/>
        <v>0</v>
      </c>
      <c r="AN36" s="125">
        <f>AH36*Valores!$C$71</f>
        <v>-43515.6689</v>
      </c>
      <c r="AO36" s="125">
        <f>AH36*-Valores!$C$72</f>
        <v>0</v>
      </c>
      <c r="AP36" s="125">
        <f>AH36*Valores!$C$73</f>
        <v>-17801.86455</v>
      </c>
      <c r="AQ36" s="125">
        <f>Valores!$C$100</f>
        <v>-554.86</v>
      </c>
      <c r="AR36" s="125">
        <f>IF($F$5=0,Valores!$C$101,(Valores!$C$101+$F$5*(Valores!$C$101)))</f>
        <v>-550</v>
      </c>
      <c r="AS36" s="125">
        <f t="shared" si="6"/>
        <v>333174.59655</v>
      </c>
      <c r="AT36" s="125">
        <f t="shared" si="0"/>
        <v>-43515.6689</v>
      </c>
      <c r="AU36" s="125">
        <f>AH36*Valores!$C$74</f>
        <v>-10681.11873</v>
      </c>
      <c r="AV36" s="125">
        <f>AH36*Valores!$C$75</f>
        <v>-1186.79097</v>
      </c>
      <c r="AW36" s="125">
        <f t="shared" si="4"/>
        <v>340213.4114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3243.7</v>
      </c>
      <c r="G37" s="192">
        <v>3483</v>
      </c>
      <c r="H37" s="125">
        <f>ROUND(G37*Valores!$C$2,2)</f>
        <v>122802.22</v>
      </c>
      <c r="I37" s="192">
        <v>1217</v>
      </c>
      <c r="J37" s="125">
        <f>ROUND(I37*Valores!$C$2,2)</f>
        <v>42908.5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30685.16</v>
      </c>
      <c r="N37" s="125">
        <f t="shared" si="1"/>
        <v>0</v>
      </c>
      <c r="O37" s="125">
        <f>Valores!$C$12</f>
        <v>79989.38</v>
      </c>
      <c r="P37" s="125">
        <f>Valores!$D$5</f>
        <v>18023.69</v>
      </c>
      <c r="Q37" s="125">
        <v>0</v>
      </c>
      <c r="R37" s="125">
        <f>IF($F$4="NO",Valores!$C$47,Valores!$C$47/2)</f>
        <v>18842.02</v>
      </c>
      <c r="S37" s="125">
        <f>Valores!$C$19</f>
        <v>16771.31</v>
      </c>
      <c r="T37" s="125">
        <f t="shared" si="7"/>
        <v>16771.31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28169.47</v>
      </c>
      <c r="Z37" s="125">
        <f>Valores!$C$96</f>
        <v>52428.78</v>
      </c>
      <c r="AA37" s="125">
        <f>Valores!$C$25</f>
        <v>737.18</v>
      </c>
      <c r="AB37" s="214">
        <v>0</v>
      </c>
      <c r="AC37" s="125">
        <f t="shared" si="2"/>
        <v>0</v>
      </c>
      <c r="AD37" s="125">
        <f>Valores!$C$26</f>
        <v>737.18</v>
      </c>
      <c r="AE37" s="192">
        <v>0</v>
      </c>
      <c r="AF37" s="125">
        <f>ROUND(AE37*Valores!$C$2,2)</f>
        <v>0</v>
      </c>
      <c r="AG37" s="125">
        <f>ROUND(IF($F$4="NO",Valores!$C$63,Valores!$C$63/2),2)</f>
        <v>8427.87</v>
      </c>
      <c r="AH37" s="125">
        <f t="shared" si="5"/>
        <v>423766.45999999996</v>
      </c>
      <c r="AI37" s="125">
        <f>Valores!$C$31</f>
        <v>0</v>
      </c>
      <c r="AJ37" s="125">
        <f>Valores!$C$89</f>
        <v>0</v>
      </c>
      <c r="AK37" s="125">
        <f>Valores!C$38*B37</f>
        <v>0</v>
      </c>
      <c r="AL37" s="125">
        <f>IF($F$3="NO",0,Valores!$C$55)</f>
        <v>0</v>
      </c>
      <c r="AM37" s="125">
        <f t="shared" si="3"/>
        <v>0</v>
      </c>
      <c r="AN37" s="125">
        <f>AH37*Valores!$C$71</f>
        <v>-46614.3106</v>
      </c>
      <c r="AO37" s="125">
        <f>AH37*-Valores!$C$72</f>
        <v>0</v>
      </c>
      <c r="AP37" s="125">
        <f>AH37*Valores!$C$73</f>
        <v>-19069.4907</v>
      </c>
      <c r="AQ37" s="125">
        <f>Valores!$C$100</f>
        <v>-554.86</v>
      </c>
      <c r="AR37" s="125">
        <f>IF($F$5=0,Valores!$C$101,(Valores!$C$101+$F$5*(Valores!$C$101)))</f>
        <v>-550</v>
      </c>
      <c r="AS37" s="125">
        <f t="shared" si="6"/>
        <v>356977.7987</v>
      </c>
      <c r="AT37" s="125">
        <f t="shared" si="0"/>
        <v>-46614.3106</v>
      </c>
      <c r="AU37" s="125">
        <f>AH37*Valores!$C$74</f>
        <v>-11441.694419999998</v>
      </c>
      <c r="AV37" s="125">
        <f>AH37*Valores!$C$75</f>
        <v>-1271.29938</v>
      </c>
      <c r="AW37" s="125">
        <f t="shared" si="4"/>
        <v>364439.15559999994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2996.9</v>
      </c>
      <c r="G38" s="192">
        <v>3498</v>
      </c>
      <c r="H38" s="125">
        <f>ROUND(G38*Valores!$C$2,2)</f>
        <v>123331.08</v>
      </c>
      <c r="I38" s="192">
        <v>202</v>
      </c>
      <c r="J38" s="125">
        <f>ROUND(I38*Valores!$C$2,2)</f>
        <v>7122.04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25359.5</v>
      </c>
      <c r="N38" s="125">
        <f t="shared" si="1"/>
        <v>0</v>
      </c>
      <c r="O38" s="125">
        <f>Valores!$C$12</f>
        <v>79989.38</v>
      </c>
      <c r="P38" s="125">
        <f>Valores!$D$5</f>
        <v>18023.69</v>
      </c>
      <c r="Q38" s="125">
        <v>0</v>
      </c>
      <c r="R38" s="125">
        <f>IF($F$4="NO",Valores!$C$47,Valores!$C$47/2)</f>
        <v>18842.02</v>
      </c>
      <c r="S38" s="125">
        <f>Valores!$C$19</f>
        <v>16771.31</v>
      </c>
      <c r="T38" s="125">
        <f t="shared" si="7"/>
        <v>16771.31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52428.78</v>
      </c>
      <c r="AA38" s="125">
        <f>Valores!$C$25</f>
        <v>737.18</v>
      </c>
      <c r="AB38" s="214">
        <v>0</v>
      </c>
      <c r="AC38" s="125">
        <f t="shared" si="2"/>
        <v>0</v>
      </c>
      <c r="AD38" s="125">
        <f>Valores!$C$26</f>
        <v>737.18</v>
      </c>
      <c r="AE38" s="192">
        <v>0</v>
      </c>
      <c r="AF38" s="125">
        <f>ROUND(AE38*Valores!$C$2,2)</f>
        <v>0</v>
      </c>
      <c r="AG38" s="125">
        <f>ROUND(IF($F$4="NO",Valores!$C$63,Valores!$C$63/2),2)</f>
        <v>8427.87</v>
      </c>
      <c r="AH38" s="125">
        <f t="shared" si="5"/>
        <v>354766.92999999993</v>
      </c>
      <c r="AI38" s="125">
        <f>Valores!$C$31</f>
        <v>0</v>
      </c>
      <c r="AJ38" s="125">
        <f>Valores!$C$89</f>
        <v>0</v>
      </c>
      <c r="AK38" s="125">
        <f>Valores!C$38*B38</f>
        <v>0</v>
      </c>
      <c r="AL38" s="125">
        <f>IF($F$3="NO",0,Valores!$C$55)</f>
        <v>0</v>
      </c>
      <c r="AM38" s="125">
        <f t="shared" si="3"/>
        <v>0</v>
      </c>
      <c r="AN38" s="125">
        <f>AH38*Valores!$C$71</f>
        <v>-39024.36229999999</v>
      </c>
      <c r="AO38" s="125">
        <f>AH38*-Valores!$C$72</f>
        <v>0</v>
      </c>
      <c r="AP38" s="125">
        <f>AH38*Valores!$C$73</f>
        <v>-15964.511849999997</v>
      </c>
      <c r="AQ38" s="125">
        <f>Valores!$C$100</f>
        <v>-554.86</v>
      </c>
      <c r="AR38" s="125">
        <f>IF($F$5=0,Valores!$C$101,(Valores!$C$101+$F$5*(Valores!$C$101)))</f>
        <v>-550</v>
      </c>
      <c r="AS38" s="125">
        <f t="shared" si="6"/>
        <v>298673.19584999996</v>
      </c>
      <c r="AT38" s="125">
        <f t="shared" si="0"/>
        <v>-39024.36229999999</v>
      </c>
      <c r="AU38" s="125">
        <f>AH38*Valores!$C$74</f>
        <v>-9578.707109999998</v>
      </c>
      <c r="AV38" s="125">
        <f>AH38*Valores!$C$75</f>
        <v>-1064.3007899999998</v>
      </c>
      <c r="AW38" s="125">
        <f t="shared" si="4"/>
        <v>305099.55979999993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2996.9</v>
      </c>
      <c r="G39" s="192">
        <v>3498</v>
      </c>
      <c r="H39" s="125">
        <f>ROUND(G39*Valores!$C$2,2)</f>
        <v>123331.08</v>
      </c>
      <c r="I39" s="192">
        <v>1209</v>
      </c>
      <c r="J39" s="125">
        <f>ROUND(I39*Valores!$C$2,2)</f>
        <v>42626.44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30685.16</v>
      </c>
      <c r="N39" s="125">
        <f t="shared" si="1"/>
        <v>0</v>
      </c>
      <c r="O39" s="125">
        <f>Valores!$C$12</f>
        <v>79989.38</v>
      </c>
      <c r="P39" s="125">
        <f>Valores!$D$5</f>
        <v>18023.69</v>
      </c>
      <c r="Q39" s="125">
        <v>0</v>
      </c>
      <c r="R39" s="125">
        <f>IF($F$4="NO",Valores!$C$47,Valores!$C$47/2)</f>
        <v>18842.02</v>
      </c>
      <c r="S39" s="125">
        <f>Valores!$C$19</f>
        <v>16771.31</v>
      </c>
      <c r="T39" s="125">
        <f t="shared" si="7"/>
        <v>16771.31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52428.78</v>
      </c>
      <c r="AA39" s="125">
        <f>Valores!$C$25</f>
        <v>737.18</v>
      </c>
      <c r="AB39" s="214">
        <v>0</v>
      </c>
      <c r="AC39" s="125">
        <f t="shared" si="2"/>
        <v>0</v>
      </c>
      <c r="AD39" s="125">
        <f>Valores!$C$26</f>
        <v>737.18</v>
      </c>
      <c r="AE39" s="192">
        <v>0</v>
      </c>
      <c r="AF39" s="125">
        <f>ROUND(AE39*Valores!$C$2,2)</f>
        <v>0</v>
      </c>
      <c r="AG39" s="125">
        <f>ROUND(IF($F$4="NO",Valores!$C$63,Valores!$C$63/2),2)</f>
        <v>8427.87</v>
      </c>
      <c r="AH39" s="125">
        <f t="shared" si="5"/>
        <v>395596.99</v>
      </c>
      <c r="AI39" s="125">
        <f>Valores!$C$31</f>
        <v>0</v>
      </c>
      <c r="AJ39" s="125">
        <f>Valores!$C$89</f>
        <v>0</v>
      </c>
      <c r="AK39" s="125">
        <f>Valores!C$38*B39</f>
        <v>0</v>
      </c>
      <c r="AL39" s="125">
        <f>IF($F$3="NO",0,Valores!$C$55)</f>
        <v>0</v>
      </c>
      <c r="AM39" s="125">
        <f t="shared" si="3"/>
        <v>0</v>
      </c>
      <c r="AN39" s="125">
        <f>AH39*Valores!$C$71</f>
        <v>-43515.6689</v>
      </c>
      <c r="AO39" s="125">
        <f>AH39*-Valores!$C$72</f>
        <v>0</v>
      </c>
      <c r="AP39" s="125">
        <f>AH39*Valores!$C$73</f>
        <v>-17801.86455</v>
      </c>
      <c r="AQ39" s="125">
        <f>Valores!$C$100</f>
        <v>-554.86</v>
      </c>
      <c r="AR39" s="125">
        <f>IF($F$5=0,Valores!$C$101,(Valores!$C$101+$F$5*(Valores!$C$101)))</f>
        <v>-550</v>
      </c>
      <c r="AS39" s="125">
        <f t="shared" si="6"/>
        <v>333174.59655</v>
      </c>
      <c r="AT39" s="125">
        <f t="shared" si="0"/>
        <v>-43515.6689</v>
      </c>
      <c r="AU39" s="125">
        <f>AH39*Valores!$C$74</f>
        <v>-10681.11873</v>
      </c>
      <c r="AV39" s="125">
        <f>AH39*Valores!$C$75</f>
        <v>-1186.79097</v>
      </c>
      <c r="AW39" s="125">
        <f t="shared" si="4"/>
        <v>340213.4114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2996.9</v>
      </c>
      <c r="G40" s="192">
        <v>3498</v>
      </c>
      <c r="H40" s="125">
        <f>ROUND(G40*Valores!$C$2,2)</f>
        <v>123331.08</v>
      </c>
      <c r="I40" s="192">
        <v>1209</v>
      </c>
      <c r="J40" s="125">
        <f>ROUND(I40*Valores!$C$2,2)</f>
        <v>42626.44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30685.16</v>
      </c>
      <c r="N40" s="125">
        <f t="shared" si="1"/>
        <v>0</v>
      </c>
      <c r="O40" s="125">
        <f>Valores!$C$12</f>
        <v>79989.38</v>
      </c>
      <c r="P40" s="125">
        <f>Valores!$D$5</f>
        <v>18023.69</v>
      </c>
      <c r="Q40" s="125">
        <v>0</v>
      </c>
      <c r="R40" s="125">
        <f>IF($F$4="NO",Valores!$C$47,Valores!$C$47/2)</f>
        <v>18842.02</v>
      </c>
      <c r="S40" s="125">
        <f>Valores!$C$19</f>
        <v>16771.31</v>
      </c>
      <c r="T40" s="125">
        <f t="shared" si="7"/>
        <v>16771.31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52428.78</v>
      </c>
      <c r="AA40" s="125">
        <f>Valores!$C$25</f>
        <v>737.18</v>
      </c>
      <c r="AB40" s="214">
        <v>0</v>
      </c>
      <c r="AC40" s="125">
        <f t="shared" si="2"/>
        <v>0</v>
      </c>
      <c r="AD40" s="125">
        <f>Valores!$C$26</f>
        <v>737.18</v>
      </c>
      <c r="AE40" s="192">
        <v>0</v>
      </c>
      <c r="AF40" s="125">
        <f>ROUND(AE40*Valores!$C$2,2)</f>
        <v>0</v>
      </c>
      <c r="AG40" s="125">
        <f>ROUND(IF($F$4="NO",Valores!$C$63,Valores!$C$63/2),2)</f>
        <v>8427.87</v>
      </c>
      <c r="AH40" s="125">
        <f t="shared" si="5"/>
        <v>395596.99</v>
      </c>
      <c r="AI40" s="125">
        <f>Valores!$C$31</f>
        <v>0</v>
      </c>
      <c r="AJ40" s="125">
        <f>Valores!$C$89</f>
        <v>0</v>
      </c>
      <c r="AK40" s="125">
        <f>Valores!C$38*B40</f>
        <v>0</v>
      </c>
      <c r="AL40" s="125">
        <f>IF($F$3="NO",0,Valores!$C$55)</f>
        <v>0</v>
      </c>
      <c r="AM40" s="125">
        <f t="shared" si="3"/>
        <v>0</v>
      </c>
      <c r="AN40" s="125">
        <f>AH40*Valores!$C$71</f>
        <v>-43515.6689</v>
      </c>
      <c r="AO40" s="125">
        <f>AH40*-Valores!$C$72</f>
        <v>0</v>
      </c>
      <c r="AP40" s="125">
        <f>AH40*Valores!$C$73</f>
        <v>-17801.86455</v>
      </c>
      <c r="AQ40" s="125">
        <f>Valores!$C$100</f>
        <v>-554.86</v>
      </c>
      <c r="AR40" s="125">
        <f>IF($F$5=0,Valores!$C$101,(Valores!$C$101+$F$5*(Valores!$C$101)))</f>
        <v>-550</v>
      </c>
      <c r="AS40" s="125">
        <f t="shared" si="6"/>
        <v>333174.59655</v>
      </c>
      <c r="AT40" s="125">
        <f t="shared" si="0"/>
        <v>-43515.6689</v>
      </c>
      <c r="AU40" s="125">
        <f>AH40*Valores!$C$74</f>
        <v>-10681.11873</v>
      </c>
      <c r="AV40" s="125">
        <f>AH40*Valores!$C$75</f>
        <v>-1186.79097</v>
      </c>
      <c r="AW40" s="125">
        <f t="shared" si="4"/>
        <v>340213.4114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3561.02</v>
      </c>
      <c r="G41" s="192">
        <v>2548</v>
      </c>
      <c r="H41" s="125">
        <f>ROUND(G41*Valores!$C$2,2)</f>
        <v>89836.36</v>
      </c>
      <c r="I41" s="192">
        <v>216</v>
      </c>
      <c r="J41" s="125">
        <f>ROUND(I41*Valores!$C$2,2)</f>
        <v>7615.64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19968.95</v>
      </c>
      <c r="N41" s="125">
        <f t="shared" si="1"/>
        <v>0</v>
      </c>
      <c r="O41" s="125">
        <f>Valores!$C$9</f>
        <v>44305.44</v>
      </c>
      <c r="P41" s="125">
        <f>Valores!$D$5</f>
        <v>18023.69</v>
      </c>
      <c r="Q41" s="125">
        <v>0</v>
      </c>
      <c r="R41" s="125">
        <f>IF($F$4="NO",Valores!$C$46,Valores!$C$46/2)</f>
        <v>15342.02</v>
      </c>
      <c r="S41" s="125">
        <f>Valores!$C$19</f>
        <v>16771.31</v>
      </c>
      <c r="T41" s="125">
        <f t="shared" si="7"/>
        <v>16771.31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26214.39</v>
      </c>
      <c r="AA41" s="125">
        <f>Valores!$C$25</f>
        <v>737.18</v>
      </c>
      <c r="AB41" s="214">
        <v>0</v>
      </c>
      <c r="AC41" s="125">
        <f t="shared" si="2"/>
        <v>0</v>
      </c>
      <c r="AD41" s="125">
        <f>Valores!$C$26</f>
        <v>737.18</v>
      </c>
      <c r="AE41" s="192">
        <v>0</v>
      </c>
      <c r="AF41" s="125">
        <f>ROUND(AE41*Valores!$C$2,2)</f>
        <v>0</v>
      </c>
      <c r="AG41" s="125">
        <f>ROUND(IF($F$4="NO",Valores!$C$63,Valores!$C$63/2),2)</f>
        <v>8427.87</v>
      </c>
      <c r="AH41" s="125">
        <f t="shared" si="5"/>
        <v>251541.05</v>
      </c>
      <c r="AI41" s="125">
        <f>Valores!$C$31</f>
        <v>0</v>
      </c>
      <c r="AJ41" s="125">
        <f>Valores!$C$87</f>
        <v>0</v>
      </c>
      <c r="AK41" s="125">
        <f>Valores!C$38*B41</f>
        <v>0</v>
      </c>
      <c r="AL41" s="125">
        <f>IF($F$3="NO",0,Valores!$C$55)</f>
        <v>0</v>
      </c>
      <c r="AM41" s="125">
        <f t="shared" si="3"/>
        <v>0</v>
      </c>
      <c r="AN41" s="125">
        <f>AH41*Valores!$C$71</f>
        <v>-27669.515499999998</v>
      </c>
      <c r="AO41" s="125">
        <f>AH41*-Valores!$C$72</f>
        <v>0</v>
      </c>
      <c r="AP41" s="125">
        <f>AH41*Valores!$C$73</f>
        <v>-11319.347249999999</v>
      </c>
      <c r="AQ41" s="125">
        <f>Valores!$C$100</f>
        <v>-554.86</v>
      </c>
      <c r="AR41" s="125">
        <f>IF($F$5=0,Valores!$C$101,(Valores!$C$101+$F$5*(Valores!$C$101)))</f>
        <v>-550</v>
      </c>
      <c r="AS41" s="125">
        <f t="shared" si="6"/>
        <v>211447.32724999997</v>
      </c>
      <c r="AT41" s="125">
        <f t="shared" si="0"/>
        <v>-27669.515499999998</v>
      </c>
      <c r="AU41" s="125">
        <f>AH41*Valores!$C$74</f>
        <v>-6791.6083499999995</v>
      </c>
      <c r="AV41" s="125">
        <f>AH41*Valores!$C$75</f>
        <v>-754.62315</v>
      </c>
      <c r="AW41" s="125">
        <f t="shared" si="4"/>
        <v>216325.30299999999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3561.02</v>
      </c>
      <c r="G42" s="192">
        <v>2548</v>
      </c>
      <c r="H42" s="125">
        <f>ROUND(G42*Valores!$C$2,2)</f>
        <v>89836.36</v>
      </c>
      <c r="I42" s="192">
        <v>216</v>
      </c>
      <c r="J42" s="125">
        <f>ROUND(I42*Valores!$C$2,2)</f>
        <v>7615.64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19968.95</v>
      </c>
      <c r="N42" s="125">
        <f t="shared" si="1"/>
        <v>0</v>
      </c>
      <c r="O42" s="125">
        <f>Valores!$C$9</f>
        <v>44305.44</v>
      </c>
      <c r="P42" s="125">
        <f>Valores!$D$5</f>
        <v>18023.69</v>
      </c>
      <c r="Q42" s="125">
        <v>0</v>
      </c>
      <c r="R42" s="125">
        <f>IF($F$4="NO",Valores!$C$46,Valores!$C$46/2)</f>
        <v>15342.02</v>
      </c>
      <c r="S42" s="125">
        <f>Valores!$C$19</f>
        <v>16771.31</v>
      </c>
      <c r="T42" s="125">
        <f t="shared" si="7"/>
        <v>16771.31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26214.39</v>
      </c>
      <c r="AA42" s="125">
        <f>Valores!$C$25</f>
        <v>737.18</v>
      </c>
      <c r="AB42" s="214">
        <v>0</v>
      </c>
      <c r="AC42" s="125">
        <f t="shared" si="2"/>
        <v>0</v>
      </c>
      <c r="AD42" s="125">
        <f>Valores!$C$26</f>
        <v>737.18</v>
      </c>
      <c r="AE42" s="192">
        <v>0</v>
      </c>
      <c r="AF42" s="125">
        <f>ROUND(AE42*Valores!$C$2,2)</f>
        <v>0</v>
      </c>
      <c r="AG42" s="125">
        <f>ROUND(IF($F$4="NO",Valores!$C$63,Valores!$C$63/2),2)</f>
        <v>8427.87</v>
      </c>
      <c r="AH42" s="125">
        <f t="shared" si="5"/>
        <v>251541.05</v>
      </c>
      <c r="AI42" s="125">
        <f>Valores!$C$31</f>
        <v>0</v>
      </c>
      <c r="AJ42" s="125">
        <f>Valores!$C$87</f>
        <v>0</v>
      </c>
      <c r="AK42" s="125">
        <f>Valores!C$38*B42</f>
        <v>0</v>
      </c>
      <c r="AL42" s="125">
        <f>IF($F$3="NO",0,Valores!$C$55)</f>
        <v>0</v>
      </c>
      <c r="AM42" s="125">
        <f t="shared" si="3"/>
        <v>0</v>
      </c>
      <c r="AN42" s="125">
        <f>AH42*Valores!$C$71</f>
        <v>-27669.515499999998</v>
      </c>
      <c r="AO42" s="125">
        <f>AH42*-Valores!$C$72</f>
        <v>0</v>
      </c>
      <c r="AP42" s="125">
        <f>AH42*Valores!$C$73</f>
        <v>-11319.347249999999</v>
      </c>
      <c r="AQ42" s="125">
        <f>Valores!$C$100</f>
        <v>-554.86</v>
      </c>
      <c r="AR42" s="125">
        <f>IF($F$5=0,Valores!$C$101,(Valores!$C$101+$F$5*(Valores!$C$101)))</f>
        <v>-550</v>
      </c>
      <c r="AS42" s="125">
        <f t="shared" si="6"/>
        <v>211447.32724999997</v>
      </c>
      <c r="AT42" s="125">
        <f t="shared" si="0"/>
        <v>-27669.515499999998</v>
      </c>
      <c r="AU42" s="125">
        <f>AH42*Valores!$C$74</f>
        <v>-6791.6083499999995</v>
      </c>
      <c r="AV42" s="125">
        <f>AH42*Valores!$C$75</f>
        <v>-754.62315</v>
      </c>
      <c r="AW42" s="125">
        <f t="shared" si="4"/>
        <v>216325.30299999999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3384.73</v>
      </c>
      <c r="G43" s="192">
        <v>2475</v>
      </c>
      <c r="H43" s="125">
        <f>ROUND(G43*Valores!$C$2,2)</f>
        <v>87262.56</v>
      </c>
      <c r="I43" s="192">
        <v>213</v>
      </c>
      <c r="J43" s="125">
        <f>ROUND(I43*Valores!$C$2,2)</f>
        <v>7509.87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19117.4</v>
      </c>
      <c r="N43" s="125">
        <f t="shared" si="1"/>
        <v>0</v>
      </c>
      <c r="O43" s="125">
        <f>Valores!$C$9</f>
        <v>44305.44</v>
      </c>
      <c r="P43" s="125">
        <f>Valores!$D$5</f>
        <v>18023.69</v>
      </c>
      <c r="Q43" s="125">
        <v>0</v>
      </c>
      <c r="R43" s="125">
        <f>IF($F$4="NO",Valores!$C$44,Valores!$C$44/2)</f>
        <v>12520.87</v>
      </c>
      <c r="S43" s="125">
        <f>Valores!$C$19</f>
        <v>16771.31</v>
      </c>
      <c r="T43" s="125">
        <f t="shared" si="7"/>
        <v>16771.31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26214.39</v>
      </c>
      <c r="AA43" s="125">
        <f>Valores!$C$25</f>
        <v>737.18</v>
      </c>
      <c r="AB43" s="214">
        <v>0</v>
      </c>
      <c r="AC43" s="125">
        <f t="shared" si="2"/>
        <v>0</v>
      </c>
      <c r="AD43" s="125">
        <f>Valores!$C$26</f>
        <v>737.18</v>
      </c>
      <c r="AE43" s="192">
        <v>0</v>
      </c>
      <c r="AF43" s="125">
        <f>ROUND(AE43*Valores!$C$2,2)</f>
        <v>0</v>
      </c>
      <c r="AG43" s="125">
        <f>ROUND(IF($F$4="NO",Valores!$C$63,Valores!$C$63/2),2)</f>
        <v>8427.87</v>
      </c>
      <c r="AH43" s="125">
        <f t="shared" si="5"/>
        <v>245012.49</v>
      </c>
      <c r="AI43" s="125">
        <f>Valores!$C$31</f>
        <v>0</v>
      </c>
      <c r="AJ43" s="125">
        <f>Valores!$C$87</f>
        <v>0</v>
      </c>
      <c r="AK43" s="125">
        <f>Valores!C$38*B43</f>
        <v>0</v>
      </c>
      <c r="AL43" s="125">
        <f>IF($F$3="NO",0,Valores!$C$56)</f>
        <v>0</v>
      </c>
      <c r="AM43" s="125">
        <f t="shared" si="3"/>
        <v>0</v>
      </c>
      <c r="AN43" s="125">
        <f>AH43*Valores!$C$71</f>
        <v>-26951.3739</v>
      </c>
      <c r="AO43" s="125">
        <f>AH43*-Valores!$C$72</f>
        <v>0</v>
      </c>
      <c r="AP43" s="125">
        <f>AH43*Valores!$C$73</f>
        <v>-11025.562049999999</v>
      </c>
      <c r="AQ43" s="125">
        <f>Valores!$C$100</f>
        <v>-554.86</v>
      </c>
      <c r="AR43" s="125">
        <f>IF($F$5=0,Valores!$C$101,(Valores!$C$101+$F$5*(Valores!$C$101)))</f>
        <v>-550</v>
      </c>
      <c r="AS43" s="125">
        <f t="shared" si="6"/>
        <v>205930.69405</v>
      </c>
      <c r="AT43" s="125">
        <f t="shared" si="0"/>
        <v>-26951.3739</v>
      </c>
      <c r="AU43" s="125">
        <f>AH43*Valores!$C$74</f>
        <v>-6615.33723</v>
      </c>
      <c r="AV43" s="125">
        <f>AH43*Valores!$C$75</f>
        <v>-735.03747</v>
      </c>
      <c r="AW43" s="125">
        <f t="shared" si="4"/>
        <v>210710.7414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2538.55</v>
      </c>
      <c r="G44" s="192">
        <v>2471</v>
      </c>
      <c r="H44" s="125">
        <f>ROUND(G44*Valores!$C$2,2)</f>
        <v>87121.53</v>
      </c>
      <c r="I44" s="192">
        <v>199</v>
      </c>
      <c r="J44" s="125">
        <f>ROUND(I44*Valores!$C$2,2)</f>
        <v>7016.26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18895.28</v>
      </c>
      <c r="N44" s="125">
        <f t="shared" si="1"/>
        <v>0</v>
      </c>
      <c r="O44" s="125">
        <f>Valores!$C$9</f>
        <v>44305.44</v>
      </c>
      <c r="P44" s="125">
        <f>Valores!$D$5</f>
        <v>18023.69</v>
      </c>
      <c r="Q44" s="125">
        <v>0</v>
      </c>
      <c r="R44" s="125">
        <f>IF($F$4="NO",Valores!$C$44,Valores!$C$44/2)</f>
        <v>12520.87</v>
      </c>
      <c r="S44" s="125">
        <f>Valores!$C$19</f>
        <v>16771.31</v>
      </c>
      <c r="T44" s="125">
        <f t="shared" si="7"/>
        <v>16771.31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26214.39</v>
      </c>
      <c r="AA44" s="125">
        <f>Valores!$C$25</f>
        <v>737.18</v>
      </c>
      <c r="AB44" s="214">
        <v>0</v>
      </c>
      <c r="AC44" s="125">
        <f t="shared" si="2"/>
        <v>0</v>
      </c>
      <c r="AD44" s="125">
        <f>Valores!$C$26</f>
        <v>737.18</v>
      </c>
      <c r="AE44" s="192">
        <v>0</v>
      </c>
      <c r="AF44" s="125">
        <f>ROUND(AE44*Valores!$C$2,2)</f>
        <v>0</v>
      </c>
      <c r="AG44" s="125">
        <f>ROUND(IF($F$4="NO",Valores!$C$63,Valores!$C$63/2),2)</f>
        <v>8427.87</v>
      </c>
      <c r="AH44" s="125">
        <f t="shared" si="5"/>
        <v>243309.55</v>
      </c>
      <c r="AI44" s="125">
        <f>Valores!$C$31</f>
        <v>0</v>
      </c>
      <c r="AJ44" s="125">
        <f>Valores!$C$87</f>
        <v>0</v>
      </c>
      <c r="AK44" s="125">
        <f>Valores!C$38*B44</f>
        <v>0</v>
      </c>
      <c r="AL44" s="125">
        <f>IF($F$3="NO",0,Valores!$C$56)</f>
        <v>0</v>
      </c>
      <c r="AM44" s="125">
        <f t="shared" si="3"/>
        <v>0</v>
      </c>
      <c r="AN44" s="125">
        <f>AH44*Valores!$C$71</f>
        <v>-26764.050499999998</v>
      </c>
      <c r="AO44" s="125">
        <f>AH44*-Valores!$C$72</f>
        <v>0</v>
      </c>
      <c r="AP44" s="125">
        <f>AH44*Valores!$C$73</f>
        <v>-10948.92975</v>
      </c>
      <c r="AQ44" s="125">
        <f>Valores!$C$100</f>
        <v>-554.86</v>
      </c>
      <c r="AR44" s="125">
        <f>IF($F$5=0,Valores!$C$101,(Valores!$C$101+$F$5*(Valores!$C$101)))</f>
        <v>-550</v>
      </c>
      <c r="AS44" s="125">
        <f t="shared" si="6"/>
        <v>204491.70974999998</v>
      </c>
      <c r="AT44" s="125">
        <f t="shared" si="0"/>
        <v>-26764.050499999998</v>
      </c>
      <c r="AU44" s="125">
        <f>AH44*Valores!$C$74</f>
        <v>-6569.357849999999</v>
      </c>
      <c r="AV44" s="125">
        <f>AH44*Valores!$C$75</f>
        <v>-729.92865</v>
      </c>
      <c r="AW44" s="125">
        <f t="shared" si="4"/>
        <v>209246.213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2996.9</v>
      </c>
      <c r="G45" s="192">
        <f>G39</f>
        <v>3498</v>
      </c>
      <c r="H45" s="125">
        <f>ROUND(G45*Valores!$C$2,2)</f>
        <v>123331.08</v>
      </c>
      <c r="I45" s="192">
        <f>I39</f>
        <v>1209</v>
      </c>
      <c r="J45" s="125">
        <f>ROUND(I45*Valores!$C$2,2)</f>
        <v>42626.44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30160.16</v>
      </c>
      <c r="N45" s="125">
        <f t="shared" si="1"/>
        <v>0</v>
      </c>
      <c r="O45" s="125">
        <f>O39</f>
        <v>79989.38</v>
      </c>
      <c r="P45" s="125">
        <f>Valores!$D$5</f>
        <v>18023.69</v>
      </c>
      <c r="Q45" s="125">
        <v>0</v>
      </c>
      <c r="R45" s="125">
        <f>IF($F$4="NO",Valores!$C$46,Valores!$C$46/2)</f>
        <v>15342.02</v>
      </c>
      <c r="S45" s="125">
        <f>S39</f>
        <v>16771.31</v>
      </c>
      <c r="T45" s="125">
        <f t="shared" si="7"/>
        <v>16771.31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52428.78</v>
      </c>
      <c r="AA45" s="125">
        <f>Valores!$C$25</f>
        <v>737.18</v>
      </c>
      <c r="AB45" s="214">
        <v>0</v>
      </c>
      <c r="AC45" s="125">
        <f t="shared" si="2"/>
        <v>0</v>
      </c>
      <c r="AD45" s="125">
        <f>Valores!$C$26</f>
        <v>737.18</v>
      </c>
      <c r="AE45" s="192">
        <v>0</v>
      </c>
      <c r="AF45" s="125">
        <f>ROUND(AE45*Valores!$C$2,2)</f>
        <v>0</v>
      </c>
      <c r="AG45" s="125">
        <f>ROUND(IF($F$4="NO",Valores!$C$63,Valores!$C$63/2),2)</f>
        <v>8427.87</v>
      </c>
      <c r="AH45" s="125">
        <f t="shared" si="5"/>
        <v>391571.99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IF($F$3="NO",0,Valores!$C$55)</f>
        <v>0</v>
      </c>
      <c r="AM45" s="125">
        <f t="shared" si="3"/>
        <v>0</v>
      </c>
      <c r="AN45" s="125">
        <f>AH45*Valores!$C$71</f>
        <v>-43072.9189</v>
      </c>
      <c r="AO45" s="125">
        <f>AH45*-Valores!$C$72</f>
        <v>0</v>
      </c>
      <c r="AP45" s="125">
        <f>AH45*Valores!$C$73</f>
        <v>-17620.73955</v>
      </c>
      <c r="AQ45" s="125">
        <f>Valores!$C$100</f>
        <v>-554.86</v>
      </c>
      <c r="AR45" s="125">
        <f>IF($F$5=0,Valores!$C$101,(Valores!$C$101+$F$5*(Valores!$C$101)))</f>
        <v>-550</v>
      </c>
      <c r="AS45" s="125">
        <f t="shared" si="6"/>
        <v>329773.47155</v>
      </c>
      <c r="AT45" s="125">
        <f t="shared" si="0"/>
        <v>-43072.9189</v>
      </c>
      <c r="AU45" s="125">
        <f>AH45*Valores!$C$74</f>
        <v>-10572.443729999999</v>
      </c>
      <c r="AV45" s="125">
        <f>AH45*Valores!$C$75</f>
        <v>-1174.71597</v>
      </c>
      <c r="AW45" s="125">
        <f t="shared" si="4"/>
        <v>336751.9114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18263.44</v>
      </c>
      <c r="G46" s="192">
        <f>G88+G304</f>
        <v>1997</v>
      </c>
      <c r="H46" s="125">
        <f>ROUND(G46*Valores!$C$2,2)</f>
        <v>70409.43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18167.12</v>
      </c>
      <c r="N46" s="125">
        <f t="shared" si="1"/>
        <v>0</v>
      </c>
      <c r="O46" s="125">
        <f>O88+O304</f>
        <v>50944.6</v>
      </c>
      <c r="P46" s="125">
        <f>Valores!$D$5</f>
        <v>18023.69</v>
      </c>
      <c r="Q46" s="125">
        <f>Q88+Q304</f>
        <v>16079.99</v>
      </c>
      <c r="R46" s="125">
        <f>R88+R304</f>
        <v>15669.970000000001</v>
      </c>
      <c r="S46" s="125">
        <f>S88+S304</f>
        <v>16771.31</v>
      </c>
      <c r="T46" s="125">
        <f t="shared" si="7"/>
        <v>16771.31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26214.39</v>
      </c>
      <c r="AA46" s="125">
        <f>Valores!$C$25</f>
        <v>737.18</v>
      </c>
      <c r="AB46" s="214">
        <v>0</v>
      </c>
      <c r="AC46" s="125">
        <f t="shared" si="2"/>
        <v>0</v>
      </c>
      <c r="AD46" s="125">
        <f>Valores!$C$26</f>
        <v>737.18</v>
      </c>
      <c r="AE46" s="192">
        <v>0</v>
      </c>
      <c r="AF46" s="125">
        <f>ROUND(AE46*Valores!$C$2,2)</f>
        <v>0</v>
      </c>
      <c r="AG46" s="125">
        <f>ROUND(IF($F$4="NO",Valores!$C$63,Valores!$C$63/2),2)</f>
        <v>8427.87</v>
      </c>
      <c r="AH46" s="125">
        <f t="shared" si="5"/>
        <v>260446.16999999998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IF($F$3="NO",0,Valores!$C$56)</f>
        <v>0</v>
      </c>
      <c r="AM46" s="125">
        <f t="shared" si="3"/>
        <v>0</v>
      </c>
      <c r="AN46" s="125">
        <f>AH46*Valores!$C$71</f>
        <v>-28649.0787</v>
      </c>
      <c r="AO46" s="125">
        <f>AH46*-Valores!$C$72</f>
        <v>0</v>
      </c>
      <c r="AP46" s="125">
        <f>AH46*Valores!$C$73</f>
        <v>-11720.07765</v>
      </c>
      <c r="AQ46" s="125">
        <f>Valores!$C$100</f>
        <v>-554.86</v>
      </c>
      <c r="AR46" s="125">
        <f>IF($F$5=0,Valores!$C$101,(Valores!$C$101+$F$5*(Valores!$C$101)))</f>
        <v>-550</v>
      </c>
      <c r="AS46" s="125">
        <f t="shared" si="6"/>
        <v>218972.15365</v>
      </c>
      <c r="AT46" s="125">
        <f t="shared" si="0"/>
        <v>-28649.0787</v>
      </c>
      <c r="AU46" s="125">
        <f>AH46*Valores!$C$74</f>
        <v>-7032.04659</v>
      </c>
      <c r="AV46" s="125">
        <f>AH46*Valores!$C$75</f>
        <v>-781.3385099999999</v>
      </c>
      <c r="AW46" s="125">
        <f t="shared" si="4"/>
        <v>223983.7062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20167.35</v>
      </c>
      <c r="G47" s="192">
        <f>G55+G237</f>
        <v>2686</v>
      </c>
      <c r="H47" s="125">
        <f>ROUND(G47*Valores!$C$2,2)</f>
        <v>94701.91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22634.51</v>
      </c>
      <c r="N47" s="125">
        <f t="shared" si="1"/>
        <v>0</v>
      </c>
      <c r="O47" s="125">
        <f>O55+O237</f>
        <v>51479.58</v>
      </c>
      <c r="P47" s="125">
        <f>Valores!$D$5</f>
        <v>18023.69</v>
      </c>
      <c r="Q47" s="125">
        <f>Q55+Q237</f>
        <v>16079.99</v>
      </c>
      <c r="R47" s="125">
        <f>R55+R237</f>
        <v>16999.79</v>
      </c>
      <c r="S47" s="125">
        <f>S55+S237</f>
        <v>19027.670000000002</v>
      </c>
      <c r="T47" s="125">
        <f t="shared" si="7"/>
        <v>19027.67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38783.63</v>
      </c>
      <c r="AA47" s="125">
        <f>AA55+AA237</f>
        <v>914.42</v>
      </c>
      <c r="AB47" s="214">
        <v>0</v>
      </c>
      <c r="AC47" s="125">
        <f t="shared" si="2"/>
        <v>0</v>
      </c>
      <c r="AD47" s="125">
        <f>Valores!$C$26</f>
        <v>737.18</v>
      </c>
      <c r="AE47" s="192">
        <v>0</v>
      </c>
      <c r="AF47" s="125">
        <f>ROUND(AE47*Valores!$C$2,2)</f>
        <v>0</v>
      </c>
      <c r="AG47" s="125">
        <f>AG55+AG237</f>
        <v>11799.03</v>
      </c>
      <c r="AH47" s="125">
        <f t="shared" si="5"/>
        <v>311348.75000000006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IF($F$3="NO",0,Valores!$C$56)</f>
        <v>0</v>
      </c>
      <c r="AM47" s="125">
        <f t="shared" si="3"/>
        <v>0</v>
      </c>
      <c r="AN47" s="125">
        <f>AH47*Valores!$C$71</f>
        <v>-34248.36250000001</v>
      </c>
      <c r="AO47" s="125">
        <f>AH47*-Valores!$C$72</f>
        <v>0</v>
      </c>
      <c r="AP47" s="125">
        <f>AH47*Valores!$C$73</f>
        <v>-14010.693750000002</v>
      </c>
      <c r="AQ47" s="125">
        <f>Valores!$C$100</f>
        <v>-554.86</v>
      </c>
      <c r="AR47" s="125">
        <f>IF($F$5=0,Valores!$C$101,(Valores!$C$101+$F$5*(Valores!$C$101)))</f>
        <v>-550</v>
      </c>
      <c r="AS47" s="125">
        <f t="shared" si="6"/>
        <v>261984.83375000005</v>
      </c>
      <c r="AT47" s="125">
        <f t="shared" si="0"/>
        <v>-34248.36250000001</v>
      </c>
      <c r="AU47" s="125">
        <f>AH47*Valores!$C$74</f>
        <v>-8406.416250000002</v>
      </c>
      <c r="AV47" s="125">
        <f>AH47*Valores!$C$75</f>
        <v>-934.0462500000002</v>
      </c>
      <c r="AW47" s="125">
        <f t="shared" si="4"/>
        <v>267759.92500000005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3807.82</v>
      </c>
      <c r="G48" s="192">
        <v>2907</v>
      </c>
      <c r="H48" s="125">
        <f>ROUND(G48*Valores!$C$2,2)</f>
        <v>102493.84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20444.08</v>
      </c>
      <c r="N48" s="125">
        <f t="shared" si="1"/>
        <v>0</v>
      </c>
      <c r="O48" s="125">
        <f>Valores!$C$9</f>
        <v>44305.44</v>
      </c>
      <c r="P48" s="125">
        <f>Valores!$D$5</f>
        <v>18023.69</v>
      </c>
      <c r="Q48" s="125">
        <f>Valores!$C$22</f>
        <v>16079.99</v>
      </c>
      <c r="R48" s="125">
        <f>IF($F$4="NO",Valores!$C$45,Valores!$C$45/2)</f>
        <v>13220.87</v>
      </c>
      <c r="S48" s="125">
        <f>Valores!$C$19</f>
        <v>16771.31</v>
      </c>
      <c r="T48" s="125">
        <f t="shared" si="7"/>
        <v>16771.31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31457.27</v>
      </c>
      <c r="AA48" s="125">
        <f>Valores!$C$25</f>
        <v>737.18</v>
      </c>
      <c r="AB48" s="214">
        <v>0</v>
      </c>
      <c r="AC48" s="125">
        <f t="shared" si="2"/>
        <v>0</v>
      </c>
      <c r="AD48" s="125">
        <f>Valores!$C$26</f>
        <v>737.18</v>
      </c>
      <c r="AE48" s="192">
        <v>0</v>
      </c>
      <c r="AF48" s="125">
        <f>ROUND(AE48*Valores!$C$2,2)</f>
        <v>0</v>
      </c>
      <c r="AG48" s="125">
        <f>ROUND(IF($F$4="NO",Valores!$C$63,Valores!$C$63/2),2)</f>
        <v>8427.87</v>
      </c>
      <c r="AH48" s="125">
        <f t="shared" si="5"/>
        <v>276506.54</v>
      </c>
      <c r="AI48" s="125">
        <f>Valores!$C$31</f>
        <v>0</v>
      </c>
      <c r="AJ48" s="125">
        <f>Valores!$C$88</f>
        <v>0</v>
      </c>
      <c r="AK48" s="125">
        <f>Valores!C$38*B48</f>
        <v>0</v>
      </c>
      <c r="AL48" s="125">
        <f>IF($F$3="NO",0,Valores!$C$56)</f>
        <v>0</v>
      </c>
      <c r="AM48" s="125">
        <f t="shared" si="3"/>
        <v>0</v>
      </c>
      <c r="AN48" s="125">
        <f>AH48*Valores!$C$71</f>
        <v>-30415.719399999998</v>
      </c>
      <c r="AO48" s="125">
        <f>AH48*-Valores!$C$72</f>
        <v>0</v>
      </c>
      <c r="AP48" s="125">
        <f>AH48*Valores!$C$73</f>
        <v>-12442.794299999998</v>
      </c>
      <c r="AQ48" s="125">
        <f>Valores!$C$100</f>
        <v>-554.86</v>
      </c>
      <c r="AR48" s="125">
        <f>IF($F$5=0,Valores!$C$101,(Valores!$C$101+$F$5*(Valores!$C$101)))</f>
        <v>-550</v>
      </c>
      <c r="AS48" s="125">
        <f t="shared" si="6"/>
        <v>232543.16629999998</v>
      </c>
      <c r="AT48" s="125">
        <f t="shared" si="0"/>
        <v>-30415.719399999998</v>
      </c>
      <c r="AU48" s="125">
        <f>AH48*Valores!$C$74</f>
        <v>-7465.676579999999</v>
      </c>
      <c r="AV48" s="125">
        <f>AH48*Valores!$C$75</f>
        <v>-829.5196199999999</v>
      </c>
      <c r="AW48" s="125">
        <f t="shared" si="4"/>
        <v>237795.62439999997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3102.67</v>
      </c>
      <c r="G49" s="192">
        <v>2622</v>
      </c>
      <c r="H49" s="125">
        <f>ROUND(G49*Valores!$C$2,2)</f>
        <v>92445.43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18831.04</v>
      </c>
      <c r="N49" s="125">
        <f t="shared" si="1"/>
        <v>0</v>
      </c>
      <c r="O49" s="125">
        <f>Valores!$C$9</f>
        <v>44305.44</v>
      </c>
      <c r="P49" s="125">
        <f>Valores!$D$5</f>
        <v>18023.69</v>
      </c>
      <c r="Q49" s="125">
        <f>Valores!$C$22</f>
        <v>16079.99</v>
      </c>
      <c r="R49" s="125">
        <f>IF($F$4="NO",Valores!$C$45,Valores!$C$45/2)</f>
        <v>13220.87</v>
      </c>
      <c r="S49" s="125">
        <f>Valores!$C$19</f>
        <v>16771.31</v>
      </c>
      <c r="T49" s="125">
        <f t="shared" si="7"/>
        <v>16771.31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31457.27</v>
      </c>
      <c r="AA49" s="125">
        <f>Valores!$C$25</f>
        <v>737.18</v>
      </c>
      <c r="AB49" s="214">
        <v>0</v>
      </c>
      <c r="AC49" s="125">
        <f t="shared" si="2"/>
        <v>0</v>
      </c>
      <c r="AD49" s="125">
        <f>Valores!$C$26</f>
        <v>737.18</v>
      </c>
      <c r="AE49" s="192">
        <v>0</v>
      </c>
      <c r="AF49" s="125">
        <f>ROUND(AE49*Valores!$C$2,2)</f>
        <v>0</v>
      </c>
      <c r="AG49" s="125">
        <f>ROUND(IF($F$4="NO",Valores!$C$63,Valores!$C$63/2),2)</f>
        <v>8427.87</v>
      </c>
      <c r="AH49" s="125">
        <f t="shared" si="5"/>
        <v>264139.93999999994</v>
      </c>
      <c r="AI49" s="125">
        <f>Valores!$C$31</f>
        <v>0</v>
      </c>
      <c r="AJ49" s="125">
        <f>Valores!$C$88</f>
        <v>0</v>
      </c>
      <c r="AK49" s="125">
        <f>Valores!C$38*B49</f>
        <v>0</v>
      </c>
      <c r="AL49" s="125">
        <f>IF($F$3="NO",0,Valores!$C$56)</f>
        <v>0</v>
      </c>
      <c r="AM49" s="125">
        <f t="shared" si="3"/>
        <v>0</v>
      </c>
      <c r="AN49" s="125">
        <f>AH49*Valores!$C$71</f>
        <v>-29055.393399999994</v>
      </c>
      <c r="AO49" s="125">
        <f>AH49*-Valores!$C$72</f>
        <v>0</v>
      </c>
      <c r="AP49" s="125">
        <f>AH49*Valores!$C$73</f>
        <v>-11886.297299999997</v>
      </c>
      <c r="AQ49" s="125">
        <f>Valores!$C$100</f>
        <v>-554.86</v>
      </c>
      <c r="AR49" s="125">
        <f>IF($F$5=0,Valores!$C$101,(Valores!$C$101+$F$5*(Valores!$C$101)))</f>
        <v>-550</v>
      </c>
      <c r="AS49" s="125">
        <f t="shared" si="6"/>
        <v>222093.38929999995</v>
      </c>
      <c r="AT49" s="125">
        <f t="shared" si="0"/>
        <v>-29055.393399999994</v>
      </c>
      <c r="AU49" s="125">
        <f>AH49*Valores!$C$74</f>
        <v>-7131.778379999999</v>
      </c>
      <c r="AV49" s="125">
        <f>AH49*Valores!$C$75</f>
        <v>-792.4198199999998</v>
      </c>
      <c r="AW49" s="125">
        <f t="shared" si="4"/>
        <v>227160.34839999996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3102.67</v>
      </c>
      <c r="G50" s="192">
        <v>2622</v>
      </c>
      <c r="H50" s="125">
        <f>ROUND(G50*Valores!$C$2,2)</f>
        <v>92445.43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18831.04</v>
      </c>
      <c r="N50" s="125">
        <f t="shared" si="1"/>
        <v>0</v>
      </c>
      <c r="O50" s="125">
        <f>Valores!$C$9</f>
        <v>44305.44</v>
      </c>
      <c r="P50" s="125">
        <f>Valores!$D$5</f>
        <v>18023.69</v>
      </c>
      <c r="Q50" s="125">
        <f>Valores!$C$22</f>
        <v>16079.99</v>
      </c>
      <c r="R50" s="125">
        <f>IF($F$4="NO",Valores!$C$45,Valores!$C$45/2)</f>
        <v>13220.87</v>
      </c>
      <c r="S50" s="125">
        <f>Valores!$C$19</f>
        <v>16771.31</v>
      </c>
      <c r="T50" s="125">
        <f t="shared" si="7"/>
        <v>16771.31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31457.27</v>
      </c>
      <c r="AA50" s="125">
        <f>Valores!$C$25</f>
        <v>737.18</v>
      </c>
      <c r="AB50" s="214">
        <v>0</v>
      </c>
      <c r="AC50" s="125">
        <f t="shared" si="2"/>
        <v>0</v>
      </c>
      <c r="AD50" s="125">
        <f>Valores!$C$26</f>
        <v>737.18</v>
      </c>
      <c r="AE50" s="192">
        <v>0</v>
      </c>
      <c r="AF50" s="125">
        <f>ROUND(AE50*Valores!$C$2,2)</f>
        <v>0</v>
      </c>
      <c r="AG50" s="125">
        <f>ROUND(IF($F$4="NO",Valores!$C$63,Valores!$C$63/2),2)</f>
        <v>8427.87</v>
      </c>
      <c r="AH50" s="125">
        <f t="shared" si="5"/>
        <v>264139.93999999994</v>
      </c>
      <c r="AI50" s="125">
        <f>Valores!$C$31</f>
        <v>0</v>
      </c>
      <c r="AJ50" s="125">
        <f>Valores!$C$88</f>
        <v>0</v>
      </c>
      <c r="AK50" s="125">
        <f>Valores!C$38*B50</f>
        <v>0</v>
      </c>
      <c r="AL50" s="125">
        <f>IF($F$3="NO",0,Valores!$C$56)</f>
        <v>0</v>
      </c>
      <c r="AM50" s="125">
        <f t="shared" si="3"/>
        <v>0</v>
      </c>
      <c r="AN50" s="125">
        <f>AH50*Valores!$C$71</f>
        <v>-29055.393399999994</v>
      </c>
      <c r="AO50" s="125">
        <f>AH50*-Valores!$C$72</f>
        <v>0</v>
      </c>
      <c r="AP50" s="125">
        <f>AH50*Valores!$C$73</f>
        <v>-11886.297299999997</v>
      </c>
      <c r="AQ50" s="125">
        <f>Valores!$C$100</f>
        <v>-554.86</v>
      </c>
      <c r="AR50" s="125">
        <f>IF($F$5=0,Valores!$C$101,(Valores!$C$101+$F$5*(Valores!$C$101)))</f>
        <v>-550</v>
      </c>
      <c r="AS50" s="125">
        <f t="shared" si="6"/>
        <v>222093.38929999995</v>
      </c>
      <c r="AT50" s="125">
        <f t="shared" si="0"/>
        <v>-29055.393399999994</v>
      </c>
      <c r="AU50" s="125">
        <f>AH50*Valores!$C$74</f>
        <v>-7131.778379999999</v>
      </c>
      <c r="AV50" s="125">
        <f>AH50*Valores!$C$75</f>
        <v>-792.4198199999998</v>
      </c>
      <c r="AW50" s="125">
        <f t="shared" si="4"/>
        <v>227160.34839999996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2820.61</v>
      </c>
      <c r="G51" s="192">
        <v>2278</v>
      </c>
      <c r="H51" s="125">
        <f>ROUND(G51*Valores!$C$2,2)</f>
        <v>80316.81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16969.44</v>
      </c>
      <c r="N51" s="125">
        <f t="shared" si="1"/>
        <v>0</v>
      </c>
      <c r="O51" s="125">
        <f>Valores!$C$9</f>
        <v>44305.44</v>
      </c>
      <c r="P51" s="125">
        <f>Valores!$D$5</f>
        <v>18023.69</v>
      </c>
      <c r="Q51" s="125">
        <f>Valores!$C$22</f>
        <v>16079.99</v>
      </c>
      <c r="R51" s="125">
        <f>IF($F$4="NO",Valores!$C$45,Valores!$C$45/2)</f>
        <v>13220.87</v>
      </c>
      <c r="S51" s="125">
        <f>Valores!$C$19</f>
        <v>16771.31</v>
      </c>
      <c r="T51" s="125">
        <f t="shared" si="7"/>
        <v>16771.31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31457.27</v>
      </c>
      <c r="AA51" s="125">
        <f>Valores!$C$25</f>
        <v>737.18</v>
      </c>
      <c r="AB51" s="214">
        <v>0</v>
      </c>
      <c r="AC51" s="125">
        <f t="shared" si="2"/>
        <v>0</v>
      </c>
      <c r="AD51" s="125">
        <f>Valores!$C$26</f>
        <v>737.18</v>
      </c>
      <c r="AE51" s="192">
        <v>0</v>
      </c>
      <c r="AF51" s="125">
        <f>ROUND(AE51*Valores!$C$2,2)</f>
        <v>0</v>
      </c>
      <c r="AG51" s="125">
        <f>ROUND(IF($F$4="NO",Valores!$C$63,Valores!$C$63/2),2)</f>
        <v>8427.87</v>
      </c>
      <c r="AH51" s="125">
        <f t="shared" si="5"/>
        <v>249867.65999999995</v>
      </c>
      <c r="AI51" s="125">
        <f>Valores!$C$31</f>
        <v>0</v>
      </c>
      <c r="AJ51" s="125">
        <f>Valores!$C$88</f>
        <v>0</v>
      </c>
      <c r="AK51" s="125">
        <f>Valores!C$38*B51</f>
        <v>0</v>
      </c>
      <c r="AL51" s="125">
        <f>IF($F$3="NO",0,Valores!$C$56)</f>
        <v>0</v>
      </c>
      <c r="AM51" s="125">
        <f t="shared" si="3"/>
        <v>0</v>
      </c>
      <c r="AN51" s="125">
        <f>AH51*Valores!$C$71</f>
        <v>-27485.442599999995</v>
      </c>
      <c r="AO51" s="125">
        <f>AH51*-Valores!$C$72</f>
        <v>0</v>
      </c>
      <c r="AP51" s="125">
        <f>AH51*Valores!$C$73</f>
        <v>-11244.044699999997</v>
      </c>
      <c r="AQ51" s="125">
        <f>Valores!$C$100</f>
        <v>-554.86</v>
      </c>
      <c r="AR51" s="125">
        <f>IF($F$5=0,Valores!$C$101,(Valores!$C$101+$F$5*(Valores!$C$101)))</f>
        <v>-550</v>
      </c>
      <c r="AS51" s="125">
        <f t="shared" si="6"/>
        <v>210033.31269999995</v>
      </c>
      <c r="AT51" s="125">
        <f t="shared" si="0"/>
        <v>-27485.442599999995</v>
      </c>
      <c r="AU51" s="125">
        <f>AH51*Valores!$C$74</f>
        <v>-6746.426819999999</v>
      </c>
      <c r="AV51" s="125">
        <f>AH51*Valores!$C$75</f>
        <v>-749.6029799999999</v>
      </c>
      <c r="AW51" s="125">
        <f t="shared" si="4"/>
        <v>214886.18759999995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3525.76</v>
      </c>
      <c r="G52" s="192">
        <v>3620</v>
      </c>
      <c r="H52" s="125">
        <f>ROUND(G52*Valores!$C$2,2)</f>
        <v>127632.51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25015.74</v>
      </c>
      <c r="N52" s="125">
        <f t="shared" si="1"/>
        <v>0</v>
      </c>
      <c r="O52" s="125">
        <f>Valores!$C$9</f>
        <v>44305.44</v>
      </c>
      <c r="P52" s="125">
        <f>Valores!$D$5</f>
        <v>18023.69</v>
      </c>
      <c r="Q52" s="125">
        <f>Valores!$C$22</f>
        <v>16079.99</v>
      </c>
      <c r="R52" s="125">
        <f>IF($F$4="NO",Valores!$C$47,Valores!$C$47/2)</f>
        <v>18842.02</v>
      </c>
      <c r="S52" s="125">
        <f>Valores!$C$19</f>
        <v>16771.31</v>
      </c>
      <c r="T52" s="125">
        <f t="shared" si="7"/>
        <v>16771.31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52428.78</v>
      </c>
      <c r="AA52" s="125">
        <f>Valores!$C$25</f>
        <v>737.18</v>
      </c>
      <c r="AB52" s="214">
        <v>0</v>
      </c>
      <c r="AC52" s="125">
        <f t="shared" si="2"/>
        <v>0</v>
      </c>
      <c r="AD52" s="125">
        <f>Valores!$C$26</f>
        <v>737.18</v>
      </c>
      <c r="AE52" s="192">
        <v>0</v>
      </c>
      <c r="AF52" s="125">
        <f>ROUND(AE52*Valores!$C$2,2)</f>
        <v>0</v>
      </c>
      <c r="AG52" s="125">
        <f>ROUND(IF($F$4="NO",Valores!$C$63,Valores!$C$63/2),2)</f>
        <v>8427.87</v>
      </c>
      <c r="AH52" s="125">
        <f t="shared" si="5"/>
        <v>332527.47</v>
      </c>
      <c r="AI52" s="125">
        <f>Valores!$C$31</f>
        <v>0</v>
      </c>
      <c r="AJ52" s="125">
        <f>Valores!$C$89</f>
        <v>0</v>
      </c>
      <c r="AK52" s="125">
        <f>Valores!C$38*B52</f>
        <v>0</v>
      </c>
      <c r="AL52" s="125">
        <f>IF($F$3="NO",0,Valores!$C$56)</f>
        <v>0</v>
      </c>
      <c r="AM52" s="125">
        <f t="shared" si="3"/>
        <v>0</v>
      </c>
      <c r="AN52" s="125">
        <f>AH52*Valores!$C$71</f>
        <v>-36578.0217</v>
      </c>
      <c r="AO52" s="125">
        <f>AH52*-Valores!$C$72</f>
        <v>0</v>
      </c>
      <c r="AP52" s="125">
        <f>AH52*Valores!$C$73</f>
        <v>-14963.736149999999</v>
      </c>
      <c r="AQ52" s="125">
        <f>Valores!$C$100</f>
        <v>-554.86</v>
      </c>
      <c r="AR52" s="125">
        <f>IF($F$5=0,Valores!$C$101,(Valores!$C$101+$F$5*(Valores!$C$101)))</f>
        <v>-550</v>
      </c>
      <c r="AS52" s="125">
        <f t="shared" si="6"/>
        <v>279880.85215</v>
      </c>
      <c r="AT52" s="125">
        <f t="shared" si="0"/>
        <v>-36578.0217</v>
      </c>
      <c r="AU52" s="125">
        <f>AH52*Valores!$C$74</f>
        <v>-8978.241689999999</v>
      </c>
      <c r="AV52" s="125">
        <f>AH52*Valores!$C$75</f>
        <v>-997.58241</v>
      </c>
      <c r="AW52" s="125">
        <f t="shared" si="4"/>
        <v>285973.62419999996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3525.76</v>
      </c>
      <c r="G53" s="192">
        <v>3560</v>
      </c>
      <c r="H53" s="125">
        <f>ROUND(G53*Valores!$C$2,2)</f>
        <v>125517.06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24698.42</v>
      </c>
      <c r="N53" s="125">
        <f t="shared" si="1"/>
        <v>0</v>
      </c>
      <c r="O53" s="125">
        <f>Valores!$C$9</f>
        <v>44305.44</v>
      </c>
      <c r="P53" s="125">
        <f>Valores!$D$5</f>
        <v>18023.69</v>
      </c>
      <c r="Q53" s="125">
        <v>0</v>
      </c>
      <c r="R53" s="125">
        <f>IF($F$4="NO",Valores!$C$47,Valores!$C$47/2)</f>
        <v>18842.02</v>
      </c>
      <c r="S53" s="125">
        <f>Valores!$C$19</f>
        <v>16771.31</v>
      </c>
      <c r="T53" s="125">
        <f t="shared" si="7"/>
        <v>16771.31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52428.78</v>
      </c>
      <c r="AA53" s="125">
        <f>Valores!$C$25</f>
        <v>737.18</v>
      </c>
      <c r="AB53" s="214">
        <v>0</v>
      </c>
      <c r="AC53" s="125">
        <f t="shared" si="2"/>
        <v>0</v>
      </c>
      <c r="AD53" s="125">
        <f>Valores!$C$26</f>
        <v>737.18</v>
      </c>
      <c r="AE53" s="192">
        <v>0</v>
      </c>
      <c r="AF53" s="125">
        <f>ROUND(AE53*Valores!$C$2,2)</f>
        <v>0</v>
      </c>
      <c r="AG53" s="125">
        <f>ROUND(IF($F$4="NO",Valores!$C$63,Valores!$C$63/2),2)</f>
        <v>8427.87</v>
      </c>
      <c r="AH53" s="125">
        <f t="shared" si="5"/>
        <v>314014.70999999996</v>
      </c>
      <c r="AI53" s="125">
        <f>Valores!$C$31</f>
        <v>0</v>
      </c>
      <c r="AJ53" s="125">
        <f>Valores!$C$89</f>
        <v>0</v>
      </c>
      <c r="AK53" s="125">
        <f>Valores!C$38*B53</f>
        <v>0</v>
      </c>
      <c r="AL53" s="125">
        <f>IF($F$3="NO",0,Valores!$C$56)</f>
        <v>0</v>
      </c>
      <c r="AM53" s="125">
        <f t="shared" si="3"/>
        <v>0</v>
      </c>
      <c r="AN53" s="125">
        <f>AH53*Valores!$C$71</f>
        <v>-34541.6181</v>
      </c>
      <c r="AO53" s="125">
        <f>AH53*-Valores!$C$72</f>
        <v>0</v>
      </c>
      <c r="AP53" s="125">
        <f>AH53*Valores!$C$73</f>
        <v>-14130.661949999998</v>
      </c>
      <c r="AQ53" s="125">
        <f>Valores!$C$100</f>
        <v>-554.86</v>
      </c>
      <c r="AR53" s="125">
        <f>IF($F$5=0,Valores!$C$101,(Valores!$C$101+$F$5*(Valores!$C$101)))</f>
        <v>-550</v>
      </c>
      <c r="AS53" s="125">
        <f t="shared" si="6"/>
        <v>264237.56995</v>
      </c>
      <c r="AT53" s="125">
        <f t="shared" si="0"/>
        <v>-34541.6181</v>
      </c>
      <c r="AU53" s="125">
        <f>AH53*Valores!$C$74</f>
        <v>-8478.397169999998</v>
      </c>
      <c r="AV53" s="125">
        <f>AH53*Valores!$C$75</f>
        <v>-942.0441299999999</v>
      </c>
      <c r="AW53" s="125">
        <f t="shared" si="4"/>
        <v>270052.65059999994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3525.76</v>
      </c>
      <c r="G54" s="192">
        <v>3360</v>
      </c>
      <c r="H54" s="125">
        <f>ROUND(G54*Valores!$C$2,2)</f>
        <v>118465.54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23640.69</v>
      </c>
      <c r="N54" s="125">
        <f t="shared" si="1"/>
        <v>0</v>
      </c>
      <c r="O54" s="125">
        <f>Valores!$C$9</f>
        <v>44305.44</v>
      </c>
      <c r="P54" s="125">
        <f>Valores!$D$5</f>
        <v>18023.69</v>
      </c>
      <c r="Q54" s="125">
        <f>Valores!$C$22</f>
        <v>16079.99</v>
      </c>
      <c r="R54" s="125">
        <f>IF($F$4="NO",Valores!$C$47,Valores!$C$47/2)</f>
        <v>18842.02</v>
      </c>
      <c r="S54" s="125">
        <f>Valores!$C$19</f>
        <v>16771.31</v>
      </c>
      <c r="T54" s="125">
        <f t="shared" si="7"/>
        <v>16771.31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52428.78</v>
      </c>
      <c r="AA54" s="125">
        <f>Valores!$C$25</f>
        <v>737.18</v>
      </c>
      <c r="AB54" s="214">
        <v>0</v>
      </c>
      <c r="AC54" s="125">
        <f t="shared" si="2"/>
        <v>0</v>
      </c>
      <c r="AD54" s="125">
        <f>Valores!$C$26</f>
        <v>737.18</v>
      </c>
      <c r="AE54" s="192">
        <v>0</v>
      </c>
      <c r="AF54" s="125">
        <f>ROUND(AE54*Valores!$C$2,2)</f>
        <v>0</v>
      </c>
      <c r="AG54" s="125">
        <f>ROUND(IF($F$4="NO",Valores!$C$63,Valores!$C$63/2),2)</f>
        <v>8427.87</v>
      </c>
      <c r="AH54" s="125">
        <f t="shared" si="5"/>
        <v>321985.44999999995</v>
      </c>
      <c r="AI54" s="125">
        <f>Valores!$C$31</f>
        <v>0</v>
      </c>
      <c r="AJ54" s="125">
        <f>Valores!$C$89</f>
        <v>0</v>
      </c>
      <c r="AK54" s="125">
        <f>Valores!C$38*B54</f>
        <v>0</v>
      </c>
      <c r="AL54" s="125">
        <f>IF($F$3="NO",0,Valores!$C$56)</f>
        <v>0</v>
      </c>
      <c r="AM54" s="125">
        <f t="shared" si="3"/>
        <v>0</v>
      </c>
      <c r="AN54" s="125">
        <f>AH54*Valores!$C$71</f>
        <v>-35418.39949999999</v>
      </c>
      <c r="AO54" s="125">
        <f>AH54*-Valores!$C$72</f>
        <v>0</v>
      </c>
      <c r="AP54" s="125">
        <f>AH54*Valores!$C$73</f>
        <v>-14489.345249999997</v>
      </c>
      <c r="AQ54" s="125">
        <f>Valores!$C$100</f>
        <v>-554.86</v>
      </c>
      <c r="AR54" s="125">
        <f>IF($F$5=0,Valores!$C$101,(Valores!$C$101+$F$5*(Valores!$C$101)))</f>
        <v>-550</v>
      </c>
      <c r="AS54" s="125">
        <f t="shared" si="6"/>
        <v>270972.84524999995</v>
      </c>
      <c r="AT54" s="125">
        <f t="shared" si="0"/>
        <v>-35418.39949999999</v>
      </c>
      <c r="AU54" s="125">
        <f>AH54*Valores!$C$74</f>
        <v>-8693.607149999998</v>
      </c>
      <c r="AV54" s="125">
        <f>AH54*Valores!$C$75</f>
        <v>-965.9563499999999</v>
      </c>
      <c r="AW54" s="125">
        <f t="shared" si="4"/>
        <v>276907.48699999996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3455.24</v>
      </c>
      <c r="G55" s="192">
        <v>2686</v>
      </c>
      <c r="H55" s="125">
        <f>ROUND(G55*Valores!$C$2,2)</f>
        <v>94701.91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19222.4</v>
      </c>
      <c r="N55" s="125">
        <f t="shared" si="1"/>
        <v>0</v>
      </c>
      <c r="O55" s="125">
        <f>Valores!$C$9</f>
        <v>44305.44</v>
      </c>
      <c r="P55" s="125">
        <f>Valores!$D$5</f>
        <v>18023.69</v>
      </c>
      <c r="Q55" s="125">
        <f>Valores!$C$22</f>
        <v>16079.99</v>
      </c>
      <c r="R55" s="125">
        <f>IF($F$4="NO",Valores!$C$45,Valores!$C$45/2)</f>
        <v>13220.87</v>
      </c>
      <c r="S55" s="125">
        <f>Valores!$C$19</f>
        <v>16771.31</v>
      </c>
      <c r="T55" s="125">
        <f t="shared" si="7"/>
        <v>16771.31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31457.27</v>
      </c>
      <c r="AA55" s="125">
        <f>Valores!$C$25</f>
        <v>737.18</v>
      </c>
      <c r="AB55" s="214">
        <v>0</v>
      </c>
      <c r="AC55" s="125">
        <f t="shared" si="2"/>
        <v>0</v>
      </c>
      <c r="AD55" s="125">
        <f>Valores!$C$26</f>
        <v>737.18</v>
      </c>
      <c r="AE55" s="192">
        <v>0</v>
      </c>
      <c r="AF55" s="125">
        <f>ROUND(AE55*Valores!$C$2,2)</f>
        <v>0</v>
      </c>
      <c r="AG55" s="125">
        <f>ROUND(IF($F$4="NO",Valores!$C$63,Valores!$C$63/2),2)</f>
        <v>8427.87</v>
      </c>
      <c r="AH55" s="125">
        <f t="shared" si="5"/>
        <v>267140.35</v>
      </c>
      <c r="AI55" s="125">
        <f>Valores!$C$31</f>
        <v>0</v>
      </c>
      <c r="AJ55" s="125">
        <f>Valores!$C$88</f>
        <v>0</v>
      </c>
      <c r="AK55" s="125">
        <f>Valores!C$38*B55</f>
        <v>0</v>
      </c>
      <c r="AL55" s="125">
        <f>IF($F$3="NO",0,Valores!$C$56)</f>
        <v>0</v>
      </c>
      <c r="AM55" s="125">
        <f t="shared" si="3"/>
        <v>0</v>
      </c>
      <c r="AN55" s="125">
        <f>AH55*Valores!$C$71</f>
        <v>-29385.438499999997</v>
      </c>
      <c r="AO55" s="125">
        <f>AH55*-Valores!$C$72</f>
        <v>0</v>
      </c>
      <c r="AP55" s="125">
        <f>AH55*Valores!$C$73</f>
        <v>-12021.315749999998</v>
      </c>
      <c r="AQ55" s="125">
        <f>Valores!$C$100</f>
        <v>-554.86</v>
      </c>
      <c r="AR55" s="125">
        <f>IF($F$5=0,Valores!$C$101,(Valores!$C$101+$F$5*(Valores!$C$101)))</f>
        <v>-550</v>
      </c>
      <c r="AS55" s="125">
        <f t="shared" si="6"/>
        <v>224628.73575</v>
      </c>
      <c r="AT55" s="125">
        <f t="shared" si="0"/>
        <v>-29385.438499999997</v>
      </c>
      <c r="AU55" s="125">
        <f>AH55*Valores!$C$74</f>
        <v>-7212.789449999999</v>
      </c>
      <c r="AV55" s="125">
        <f>AH55*Valores!$C$75</f>
        <v>-801.4210499999999</v>
      </c>
      <c r="AW55" s="125">
        <f t="shared" si="4"/>
        <v>229740.701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3314.21</v>
      </c>
      <c r="G56" s="192">
        <v>2690</v>
      </c>
      <c r="H56" s="125">
        <f>ROUND(G56*Valores!$C$2,2)</f>
        <v>94842.94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19222.4</v>
      </c>
      <c r="N56" s="125">
        <f t="shared" si="1"/>
        <v>0</v>
      </c>
      <c r="O56" s="125">
        <f>Valores!$C$9</f>
        <v>44305.44</v>
      </c>
      <c r="P56" s="125">
        <f>Valores!$D$5</f>
        <v>18023.69</v>
      </c>
      <c r="Q56" s="125">
        <f>Valores!$C$22</f>
        <v>16079.99</v>
      </c>
      <c r="R56" s="125">
        <f>IF($F$4="NO",Valores!$C$45,Valores!$C$45/2)</f>
        <v>13220.87</v>
      </c>
      <c r="S56" s="125">
        <f>Valores!$C$19</f>
        <v>16771.31</v>
      </c>
      <c r="T56" s="125">
        <f t="shared" si="7"/>
        <v>16771.31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31457.27</v>
      </c>
      <c r="AA56" s="125">
        <f>Valores!$C$25</f>
        <v>737.18</v>
      </c>
      <c r="AB56" s="214">
        <v>0</v>
      </c>
      <c r="AC56" s="125">
        <f t="shared" si="2"/>
        <v>0</v>
      </c>
      <c r="AD56" s="125">
        <f>Valores!$C$26</f>
        <v>737.18</v>
      </c>
      <c r="AE56" s="192">
        <v>94</v>
      </c>
      <c r="AF56" s="125">
        <f>ROUND(AE56*Valores!$C$2,2)</f>
        <v>3314.21</v>
      </c>
      <c r="AG56" s="125">
        <f>ROUND(IF($F$4="NO",Valores!$C$63,Valores!$C$63/2),2)</f>
        <v>8427.87</v>
      </c>
      <c r="AH56" s="125">
        <f t="shared" si="5"/>
        <v>270454.56</v>
      </c>
      <c r="AI56" s="125">
        <f>Valores!$C$31</f>
        <v>0</v>
      </c>
      <c r="AJ56" s="125">
        <f>Valores!$C$88</f>
        <v>0</v>
      </c>
      <c r="AK56" s="125">
        <f>Valores!C$38*B56</f>
        <v>0</v>
      </c>
      <c r="AL56" s="125">
        <f>IF($F$3="NO",0,Valores!$C$56)</f>
        <v>0</v>
      </c>
      <c r="AM56" s="125">
        <f t="shared" si="3"/>
        <v>0</v>
      </c>
      <c r="AN56" s="125">
        <f>AH56*Valores!$C$71</f>
        <v>-29750.0016</v>
      </c>
      <c r="AO56" s="125">
        <f>AH56*-Valores!$C$72</f>
        <v>0</v>
      </c>
      <c r="AP56" s="125">
        <f>AH56*Valores!$C$73</f>
        <v>-12170.4552</v>
      </c>
      <c r="AQ56" s="125">
        <f>Valores!$C$100</f>
        <v>-554.86</v>
      </c>
      <c r="AR56" s="125">
        <f>IF($F$5=0,Valores!$C$101,(Valores!$C$101+$F$5*(Valores!$C$101)))</f>
        <v>-550</v>
      </c>
      <c r="AS56" s="125">
        <f t="shared" si="6"/>
        <v>227429.2432</v>
      </c>
      <c r="AT56" s="125">
        <f t="shared" si="0"/>
        <v>-29750.0016</v>
      </c>
      <c r="AU56" s="125">
        <f>AH56*Valores!$C$74</f>
        <v>-7302.27312</v>
      </c>
      <c r="AV56" s="125">
        <f>AH56*Valores!$C$75</f>
        <v>-811.36368</v>
      </c>
      <c r="AW56" s="125">
        <f t="shared" si="4"/>
        <v>232590.9216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3278.96</v>
      </c>
      <c r="G57" s="192">
        <v>2547</v>
      </c>
      <c r="H57" s="125">
        <f>ROUND(G57*Valores!$C$2,2)</f>
        <v>89801.11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18460.84</v>
      </c>
      <c r="N57" s="125">
        <f t="shared" si="1"/>
        <v>0</v>
      </c>
      <c r="O57" s="125">
        <f>Valores!$C$9</f>
        <v>44305.44</v>
      </c>
      <c r="P57" s="125">
        <f>Valores!$D$5</f>
        <v>18023.69</v>
      </c>
      <c r="Q57" s="125">
        <f>Valores!$C$22</f>
        <v>16079.99</v>
      </c>
      <c r="R57" s="125">
        <f>IF($F$4="NO",Valores!$C$45,Valores!$C$45/2)</f>
        <v>13220.87</v>
      </c>
      <c r="S57" s="125">
        <f>Valores!$C$19</f>
        <v>16771.31</v>
      </c>
      <c r="T57" s="125">
        <f t="shared" si="7"/>
        <v>16771.31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31457.27</v>
      </c>
      <c r="AA57" s="125">
        <f>Valores!$C$25</f>
        <v>737.18</v>
      </c>
      <c r="AB57" s="214">
        <v>0</v>
      </c>
      <c r="AC57" s="125">
        <f t="shared" si="2"/>
        <v>0</v>
      </c>
      <c r="AD57" s="125">
        <f>Valores!$C$26</f>
        <v>737.18</v>
      </c>
      <c r="AE57" s="192">
        <v>0</v>
      </c>
      <c r="AF57" s="125">
        <f>ROUND(AE57*Valores!$C$2,2)</f>
        <v>0</v>
      </c>
      <c r="AG57" s="125">
        <f>ROUND(IF($F$4="NO",Valores!$C$63,Valores!$C$63/2),2)</f>
        <v>8427.87</v>
      </c>
      <c r="AH57" s="125">
        <f t="shared" si="5"/>
        <v>261301.70999999996</v>
      </c>
      <c r="AI57" s="125">
        <f>Valores!$C$31</f>
        <v>0</v>
      </c>
      <c r="AJ57" s="125">
        <f>Valores!$C$88</f>
        <v>0</v>
      </c>
      <c r="AK57" s="125">
        <f>Valores!C$38*B57</f>
        <v>0</v>
      </c>
      <c r="AL57" s="125">
        <f>IF($F$3="NO",0,Valores!$C$56)</f>
        <v>0</v>
      </c>
      <c r="AM57" s="125">
        <f t="shared" si="3"/>
        <v>0</v>
      </c>
      <c r="AN57" s="125">
        <f>AH57*Valores!$C$71</f>
        <v>-28743.188099999996</v>
      </c>
      <c r="AO57" s="125">
        <f>AH57*-Valores!$C$72</f>
        <v>0</v>
      </c>
      <c r="AP57" s="125">
        <f>AH57*Valores!$C$73</f>
        <v>-11758.576949999999</v>
      </c>
      <c r="AQ57" s="125">
        <f>Valores!$C$100</f>
        <v>-554.86</v>
      </c>
      <c r="AR57" s="125">
        <f>IF($F$5=0,Valores!$C$101,(Valores!$C$101+$F$5*(Valores!$C$101)))</f>
        <v>-550</v>
      </c>
      <c r="AS57" s="125">
        <f t="shared" si="6"/>
        <v>219695.08494999996</v>
      </c>
      <c r="AT57" s="125">
        <f t="shared" si="0"/>
        <v>-28743.188099999996</v>
      </c>
      <c r="AU57" s="125">
        <f>AH57*Valores!$C$74</f>
        <v>-7055.146169999999</v>
      </c>
      <c r="AV57" s="125">
        <f>AH57*Valores!$C$75</f>
        <v>-783.9051299999999</v>
      </c>
      <c r="AW57" s="125">
        <f t="shared" si="4"/>
        <v>224719.47059999997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3137.93</v>
      </c>
      <c r="G58" s="192">
        <v>2551</v>
      </c>
      <c r="H58" s="125">
        <f>ROUND(G58*Valores!$C$2,2)</f>
        <v>89942.14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18460.84</v>
      </c>
      <c r="N58" s="125">
        <f t="shared" si="1"/>
        <v>0</v>
      </c>
      <c r="O58" s="125">
        <f>Valores!$C$9</f>
        <v>44305.44</v>
      </c>
      <c r="P58" s="125">
        <f>Valores!$D$5</f>
        <v>18023.69</v>
      </c>
      <c r="Q58" s="125">
        <f>Valores!$C$22</f>
        <v>16079.99</v>
      </c>
      <c r="R58" s="125">
        <f>IF($F$4="NO",Valores!$C$45,Valores!$C$45/2)</f>
        <v>13220.87</v>
      </c>
      <c r="S58" s="125">
        <f>Valores!$C$19</f>
        <v>16771.31</v>
      </c>
      <c r="T58" s="125">
        <f t="shared" si="7"/>
        <v>16771.31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31457.27</v>
      </c>
      <c r="AA58" s="125">
        <f>Valores!$C$25</f>
        <v>737.18</v>
      </c>
      <c r="AB58" s="214">
        <v>0</v>
      </c>
      <c r="AC58" s="125">
        <f t="shared" si="2"/>
        <v>0</v>
      </c>
      <c r="AD58" s="125">
        <f>Valores!$C$26</f>
        <v>737.18</v>
      </c>
      <c r="AE58" s="192">
        <v>94</v>
      </c>
      <c r="AF58" s="125">
        <f>ROUND(AE58*Valores!$C$2,2)</f>
        <v>3314.21</v>
      </c>
      <c r="AG58" s="125">
        <f>ROUND(IF($F$4="NO",Valores!$C$63,Valores!$C$63/2),2)</f>
        <v>8427.87</v>
      </c>
      <c r="AH58" s="125">
        <f t="shared" si="5"/>
        <v>264615.9199999999</v>
      </c>
      <c r="AI58" s="125">
        <f>Valores!$C$31</f>
        <v>0</v>
      </c>
      <c r="AJ58" s="125">
        <f>Valores!$C$88</f>
        <v>0</v>
      </c>
      <c r="AK58" s="125">
        <f>Valores!C$38*B58</f>
        <v>0</v>
      </c>
      <c r="AL58" s="125">
        <f>IF($F$3="NO",0,Valores!$C$56)</f>
        <v>0</v>
      </c>
      <c r="AM58" s="125">
        <f t="shared" si="3"/>
        <v>0</v>
      </c>
      <c r="AN58" s="125">
        <f>AH58*Valores!$C$71</f>
        <v>-29107.75119999999</v>
      </c>
      <c r="AO58" s="125">
        <f>AH58*-Valores!$C$72</f>
        <v>0</v>
      </c>
      <c r="AP58" s="125">
        <f>AH58*Valores!$C$73</f>
        <v>-11907.716399999996</v>
      </c>
      <c r="AQ58" s="125">
        <f>Valores!$C$100</f>
        <v>-554.86</v>
      </c>
      <c r="AR58" s="125">
        <f>IF($F$5=0,Valores!$C$101,(Valores!$C$101+$F$5*(Valores!$C$101)))</f>
        <v>-550</v>
      </c>
      <c r="AS58" s="125">
        <f t="shared" si="6"/>
        <v>222495.59239999994</v>
      </c>
      <c r="AT58" s="125">
        <f t="shared" si="0"/>
        <v>-29107.75119999999</v>
      </c>
      <c r="AU58" s="125">
        <f>AH58*Valores!$C$74</f>
        <v>-7144.629839999998</v>
      </c>
      <c r="AV58" s="125">
        <f>AH58*Valores!$C$75</f>
        <v>-793.8477599999998</v>
      </c>
      <c r="AW58" s="125">
        <f t="shared" si="4"/>
        <v>227569.69119999994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3137.93</v>
      </c>
      <c r="G59" s="192">
        <v>2251</v>
      </c>
      <c r="H59" s="125">
        <f>ROUND(G59*Valores!$C$2,2)</f>
        <v>79364.86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16874.25</v>
      </c>
      <c r="N59" s="125">
        <f t="shared" si="1"/>
        <v>0</v>
      </c>
      <c r="O59" s="125">
        <f>Valores!$C$9</f>
        <v>44305.44</v>
      </c>
      <c r="P59" s="125">
        <f>Valores!$D$5</f>
        <v>18023.69</v>
      </c>
      <c r="Q59" s="125">
        <f>Valores!$C$22</f>
        <v>16079.99</v>
      </c>
      <c r="R59" s="125">
        <f>IF($F$4="NO",Valores!$C$45,Valores!$C$45/2)</f>
        <v>13220.87</v>
      </c>
      <c r="S59" s="125">
        <f>Valores!$C$19</f>
        <v>16771.31</v>
      </c>
      <c r="T59" s="125">
        <f t="shared" si="7"/>
        <v>16771.31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31457.27</v>
      </c>
      <c r="AA59" s="125">
        <f>Valores!$C$25</f>
        <v>737.18</v>
      </c>
      <c r="AB59" s="214">
        <v>0</v>
      </c>
      <c r="AC59" s="125">
        <f t="shared" si="2"/>
        <v>0</v>
      </c>
      <c r="AD59" s="125">
        <f>Valores!$C$26</f>
        <v>737.18</v>
      </c>
      <c r="AE59" s="192">
        <v>0</v>
      </c>
      <c r="AF59" s="125">
        <f>ROUND(AE59*Valores!$C$2,2)</f>
        <v>0</v>
      </c>
      <c r="AG59" s="125">
        <f>ROUND(IF($F$4="NO",Valores!$C$63,Valores!$C$63/2),2)</f>
        <v>8427.87</v>
      </c>
      <c r="AH59" s="125">
        <f t="shared" si="5"/>
        <v>249137.83999999994</v>
      </c>
      <c r="AI59" s="125">
        <f>Valores!$C$31</f>
        <v>0</v>
      </c>
      <c r="AJ59" s="125">
        <f>Valores!$C$88</f>
        <v>0</v>
      </c>
      <c r="AK59" s="125">
        <f>Valores!C$38*B59</f>
        <v>0</v>
      </c>
      <c r="AL59" s="125">
        <f>IF($F$3="NO",0,Valores!$C$56)</f>
        <v>0</v>
      </c>
      <c r="AM59" s="125">
        <f t="shared" si="3"/>
        <v>0</v>
      </c>
      <c r="AN59" s="125">
        <f>AH59*Valores!$C$71</f>
        <v>-27405.162399999994</v>
      </c>
      <c r="AO59" s="125">
        <f>AH59*-Valores!$C$72</f>
        <v>0</v>
      </c>
      <c r="AP59" s="125">
        <f>AH59*Valores!$C$73</f>
        <v>-11211.202799999997</v>
      </c>
      <c r="AQ59" s="125">
        <f>Valores!$C$100</f>
        <v>-554.86</v>
      </c>
      <c r="AR59" s="125">
        <f>IF($F$5=0,Valores!$C$101,(Valores!$C$101+$F$5*(Valores!$C$101)))</f>
        <v>-550</v>
      </c>
      <c r="AS59" s="125">
        <f t="shared" si="6"/>
        <v>209416.61479999995</v>
      </c>
      <c r="AT59" s="125">
        <f t="shared" si="0"/>
        <v>-27405.162399999994</v>
      </c>
      <c r="AU59" s="125">
        <f>AH59*Valores!$C$74</f>
        <v>-6726.721679999998</v>
      </c>
      <c r="AV59" s="125">
        <f>AH59*Valores!$C$75</f>
        <v>-747.4135199999998</v>
      </c>
      <c r="AW59" s="125">
        <f t="shared" si="4"/>
        <v>214258.54239999995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2996.9</v>
      </c>
      <c r="G60" s="192">
        <v>2255</v>
      </c>
      <c r="H60" s="125">
        <f>ROUND(G60*Valores!$C$2,2)</f>
        <v>79505.89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16874.25</v>
      </c>
      <c r="N60" s="125">
        <f t="shared" si="1"/>
        <v>0</v>
      </c>
      <c r="O60" s="125">
        <f>Valores!$C$9</f>
        <v>44305.44</v>
      </c>
      <c r="P60" s="125">
        <f>Valores!$D$5</f>
        <v>18023.69</v>
      </c>
      <c r="Q60" s="125">
        <f>Valores!$C$22</f>
        <v>16079.99</v>
      </c>
      <c r="R60" s="125">
        <f>IF($F$4="NO",Valores!$C$45,Valores!$C$45/2)</f>
        <v>13220.87</v>
      </c>
      <c r="S60" s="125">
        <f>Valores!$C$19</f>
        <v>16771.31</v>
      </c>
      <c r="T60" s="125">
        <f t="shared" si="7"/>
        <v>16771.31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31457.27</v>
      </c>
      <c r="AA60" s="125">
        <f>Valores!$C$25</f>
        <v>737.18</v>
      </c>
      <c r="AB60" s="214">
        <v>0</v>
      </c>
      <c r="AC60" s="125">
        <f t="shared" si="2"/>
        <v>0</v>
      </c>
      <c r="AD60" s="125">
        <f>Valores!$C$26</f>
        <v>737.18</v>
      </c>
      <c r="AE60" s="192">
        <v>94</v>
      </c>
      <c r="AF60" s="125">
        <f>ROUND(AE60*Valores!$C$2,2)</f>
        <v>3314.21</v>
      </c>
      <c r="AG60" s="125">
        <f>ROUND(IF($F$4="NO",Valores!$C$63,Valores!$C$63/2),2)</f>
        <v>8427.87</v>
      </c>
      <c r="AH60" s="125">
        <f t="shared" si="5"/>
        <v>252452.04999999993</v>
      </c>
      <c r="AI60" s="125">
        <f>Valores!$C$31</f>
        <v>0</v>
      </c>
      <c r="AJ60" s="125">
        <f>Valores!$C$88</f>
        <v>0</v>
      </c>
      <c r="AK60" s="125">
        <f>Valores!C$38*B60</f>
        <v>0</v>
      </c>
      <c r="AL60" s="125">
        <f>IF($F$3="NO",0,Valores!$C$56)</f>
        <v>0</v>
      </c>
      <c r="AM60" s="125">
        <f t="shared" si="3"/>
        <v>0</v>
      </c>
      <c r="AN60" s="125">
        <f>AH60*Valores!$C$71</f>
        <v>-27769.725499999993</v>
      </c>
      <c r="AO60" s="125">
        <f>AH60*-Valores!$C$72</f>
        <v>0</v>
      </c>
      <c r="AP60" s="125">
        <f>AH60*Valores!$C$73</f>
        <v>-11360.342249999996</v>
      </c>
      <c r="AQ60" s="125">
        <f>Valores!$C$100</f>
        <v>-554.86</v>
      </c>
      <c r="AR60" s="125">
        <f>IF($F$5=0,Valores!$C$101,(Valores!$C$101+$F$5*(Valores!$C$101)))</f>
        <v>-550</v>
      </c>
      <c r="AS60" s="125">
        <f t="shared" si="6"/>
        <v>212217.12224999996</v>
      </c>
      <c r="AT60" s="125">
        <f t="shared" si="0"/>
        <v>-27769.725499999993</v>
      </c>
      <c r="AU60" s="125">
        <f>AH60*Valores!$C$74</f>
        <v>-6816.205349999998</v>
      </c>
      <c r="AV60" s="125">
        <f>AH60*Valores!$C$75</f>
        <v>-757.3561499999998</v>
      </c>
      <c r="AW60" s="125">
        <f t="shared" si="4"/>
        <v>217108.76299999995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3525.76</v>
      </c>
      <c r="G61" s="192">
        <v>3180</v>
      </c>
      <c r="H61" s="125">
        <f>ROUND(G61*Valores!$C$2,2)</f>
        <v>112119.17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22268.74</v>
      </c>
      <c r="N61" s="125">
        <f t="shared" si="1"/>
        <v>0</v>
      </c>
      <c r="O61" s="125">
        <f>Valores!$C$9</f>
        <v>44305.44</v>
      </c>
      <c r="P61" s="125">
        <f>Valores!$D$5</f>
        <v>18023.69</v>
      </c>
      <c r="Q61" s="125">
        <f>Valores!$C$22</f>
        <v>16079.99</v>
      </c>
      <c r="R61" s="125">
        <f>IF($F$4="NO",Valores!$C$48,Valores!$C$48/2)</f>
        <v>16042.01</v>
      </c>
      <c r="S61" s="125">
        <f>Valores!$C$19</f>
        <v>16771.31</v>
      </c>
      <c r="T61" s="125">
        <f t="shared" si="7"/>
        <v>16771.31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31457.27</v>
      </c>
      <c r="AA61" s="125">
        <f>Valores!$C$25</f>
        <v>737.18</v>
      </c>
      <c r="AB61" s="214">
        <v>0</v>
      </c>
      <c r="AC61" s="125">
        <f t="shared" si="2"/>
        <v>0</v>
      </c>
      <c r="AD61" s="125">
        <f>Valores!$C$26</f>
        <v>737.18</v>
      </c>
      <c r="AE61" s="192">
        <v>0</v>
      </c>
      <c r="AF61" s="125">
        <f>ROUND(AE61*Valores!$C$2,2)</f>
        <v>0</v>
      </c>
      <c r="AG61" s="125">
        <f>ROUND(IF($F$4="NO",Valores!$C$63,Valores!$C$63/2),2)</f>
        <v>8427.87</v>
      </c>
      <c r="AH61" s="125">
        <f t="shared" si="5"/>
        <v>290495.61</v>
      </c>
      <c r="AI61" s="125">
        <f>Valores!$C$31</f>
        <v>0</v>
      </c>
      <c r="AJ61" s="125">
        <f>Valores!$C$88</f>
        <v>0</v>
      </c>
      <c r="AK61" s="125">
        <f>Valores!C$38*B61</f>
        <v>0</v>
      </c>
      <c r="AL61" s="125">
        <f>IF($F$3="NO",0,Valores!$C$56)</f>
        <v>0</v>
      </c>
      <c r="AM61" s="125">
        <f t="shared" si="3"/>
        <v>0</v>
      </c>
      <c r="AN61" s="125">
        <f>AH61*Valores!$C$71</f>
        <v>-31954.517099999997</v>
      </c>
      <c r="AO61" s="125">
        <f>AH61*-Valores!$C$72</f>
        <v>0</v>
      </c>
      <c r="AP61" s="125">
        <f>AH61*Valores!$C$73</f>
        <v>-13072.30245</v>
      </c>
      <c r="AQ61" s="125">
        <f>Valores!$C$100</f>
        <v>-554.86</v>
      </c>
      <c r="AR61" s="125">
        <f>IF($F$5=0,Valores!$C$101,(Valores!$C$101+$F$5*(Valores!$C$101)))</f>
        <v>-550</v>
      </c>
      <c r="AS61" s="125">
        <f t="shared" si="6"/>
        <v>244363.93044999999</v>
      </c>
      <c r="AT61" s="125">
        <f t="shared" si="0"/>
        <v>-31954.517099999997</v>
      </c>
      <c r="AU61" s="125">
        <f>AH61*Valores!$C$74</f>
        <v>-7843.381469999999</v>
      </c>
      <c r="AV61" s="125">
        <f>AH61*Valores!$C$75</f>
        <v>-871.4868299999999</v>
      </c>
      <c r="AW61" s="125">
        <f t="shared" si="4"/>
        <v>249826.2246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2926.38</v>
      </c>
      <c r="G62" s="192">
        <v>2352</v>
      </c>
      <c r="H62" s="125">
        <f>ROUND(G62*Valores!$C$2,2)</f>
        <v>82925.88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17376.67</v>
      </c>
      <c r="N62" s="125">
        <f t="shared" si="1"/>
        <v>0</v>
      </c>
      <c r="O62" s="125">
        <f>Valores!$C$9</f>
        <v>44305.44</v>
      </c>
      <c r="P62" s="125">
        <f>Valores!$D$5</f>
        <v>18023.69</v>
      </c>
      <c r="Q62" s="125">
        <f>Valores!$C$22</f>
        <v>16079.99</v>
      </c>
      <c r="R62" s="125">
        <f>IF($F$4="NO",Valores!$C$45,Valores!$C$45/2)</f>
        <v>13220.87</v>
      </c>
      <c r="S62" s="125">
        <f>Valores!$C$19</f>
        <v>16771.31</v>
      </c>
      <c r="T62" s="125">
        <f t="shared" si="7"/>
        <v>16771.31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31457.27</v>
      </c>
      <c r="AA62" s="125">
        <f>Valores!$C$25</f>
        <v>737.18</v>
      </c>
      <c r="AB62" s="214">
        <v>0</v>
      </c>
      <c r="AC62" s="125">
        <f t="shared" si="2"/>
        <v>0</v>
      </c>
      <c r="AD62" s="125">
        <f>Valores!$C$26</f>
        <v>737.18</v>
      </c>
      <c r="AE62" s="192">
        <v>0</v>
      </c>
      <c r="AF62" s="125">
        <f>ROUND(AE62*Valores!$C$2,2)</f>
        <v>0</v>
      </c>
      <c r="AG62" s="125">
        <f>ROUND(IF($F$4="NO",Valores!$C$63,Valores!$C$63/2),2)</f>
        <v>8427.87</v>
      </c>
      <c r="AH62" s="125">
        <f t="shared" si="5"/>
        <v>252989.72999999995</v>
      </c>
      <c r="AI62" s="125">
        <f>Valores!$C$31</f>
        <v>0</v>
      </c>
      <c r="AJ62" s="125">
        <f>Valores!$C$88</f>
        <v>0</v>
      </c>
      <c r="AK62" s="125">
        <f>Valores!C$38*B62</f>
        <v>0</v>
      </c>
      <c r="AL62" s="125">
        <f>IF($F$3="NO",0,Valores!$C$56)</f>
        <v>0</v>
      </c>
      <c r="AM62" s="125">
        <f t="shared" si="3"/>
        <v>0</v>
      </c>
      <c r="AN62" s="125">
        <f>AH62*Valores!$C$71</f>
        <v>-27828.870299999995</v>
      </c>
      <c r="AO62" s="125">
        <f>AH62*-Valores!$C$72</f>
        <v>0</v>
      </c>
      <c r="AP62" s="125">
        <f>AH62*Valores!$C$73</f>
        <v>-11384.537849999997</v>
      </c>
      <c r="AQ62" s="125">
        <f>Valores!$C$100</f>
        <v>-554.86</v>
      </c>
      <c r="AR62" s="125">
        <f>IF($F$5=0,Valores!$C$101,(Valores!$C$101+$F$5*(Valores!$C$101)))</f>
        <v>-550</v>
      </c>
      <c r="AS62" s="125">
        <f t="shared" si="6"/>
        <v>212671.46184999996</v>
      </c>
      <c r="AT62" s="125">
        <f t="shared" si="0"/>
        <v>-27828.870299999995</v>
      </c>
      <c r="AU62" s="125">
        <f>AH62*Valores!$C$74</f>
        <v>-6830.722709999998</v>
      </c>
      <c r="AV62" s="125">
        <f>AH62*Valores!$C$75</f>
        <v>-758.9691899999999</v>
      </c>
      <c r="AW62" s="125">
        <f t="shared" si="4"/>
        <v>217571.16779999994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2855.87</v>
      </c>
      <c r="G63" s="192">
        <v>2354</v>
      </c>
      <c r="H63" s="125">
        <f>ROUND(G63*Valores!$C$2,2)</f>
        <v>82996.39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17376.67</v>
      </c>
      <c r="N63" s="125">
        <f t="shared" si="1"/>
        <v>0</v>
      </c>
      <c r="O63" s="125">
        <f>Valores!$C$9</f>
        <v>44305.44</v>
      </c>
      <c r="P63" s="125">
        <f>Valores!$D$5</f>
        <v>18023.69</v>
      </c>
      <c r="Q63" s="125">
        <f>Valores!$C$22</f>
        <v>16079.99</v>
      </c>
      <c r="R63" s="125">
        <f>IF($F$4="NO",Valores!$C$45,Valores!$C$45/2)</f>
        <v>13220.87</v>
      </c>
      <c r="S63" s="125">
        <f>Valores!$C$19</f>
        <v>16771.31</v>
      </c>
      <c r="T63" s="125">
        <f t="shared" si="7"/>
        <v>16771.31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31457.27</v>
      </c>
      <c r="AA63" s="125">
        <f>Valores!$C$25</f>
        <v>737.18</v>
      </c>
      <c r="AB63" s="214">
        <v>0</v>
      </c>
      <c r="AC63" s="125">
        <f t="shared" si="2"/>
        <v>0</v>
      </c>
      <c r="AD63" s="125">
        <f>Valores!$C$26</f>
        <v>737.18</v>
      </c>
      <c r="AE63" s="192">
        <v>94</v>
      </c>
      <c r="AF63" s="125">
        <f>ROUND(AE63*Valores!$C$2,2)</f>
        <v>3314.21</v>
      </c>
      <c r="AG63" s="125">
        <f>ROUND(IF($F$4="NO",Valores!$C$63,Valores!$C$63/2),2)</f>
        <v>8427.87</v>
      </c>
      <c r="AH63" s="125">
        <f t="shared" si="5"/>
        <v>256303.93999999994</v>
      </c>
      <c r="AI63" s="125">
        <f>Valores!$C$31</f>
        <v>0</v>
      </c>
      <c r="AJ63" s="125">
        <f>Valores!$C$88</f>
        <v>0</v>
      </c>
      <c r="AK63" s="125">
        <f>Valores!C$38*B63</f>
        <v>0</v>
      </c>
      <c r="AL63" s="125">
        <f>IF($F$3="NO",0,Valores!$C$56)</f>
        <v>0</v>
      </c>
      <c r="AM63" s="125">
        <f t="shared" si="3"/>
        <v>0</v>
      </c>
      <c r="AN63" s="125">
        <f>AH63*Valores!$C$71</f>
        <v>-28193.433399999994</v>
      </c>
      <c r="AO63" s="125">
        <f>AH63*-Valores!$C$72</f>
        <v>0</v>
      </c>
      <c r="AP63" s="125">
        <f>AH63*Valores!$C$73</f>
        <v>-11533.677299999998</v>
      </c>
      <c r="AQ63" s="125">
        <f>Valores!$C$100</f>
        <v>-554.86</v>
      </c>
      <c r="AR63" s="125">
        <f>IF($F$5=0,Valores!$C$101,(Valores!$C$101+$F$5*(Valores!$C$101)))</f>
        <v>-550</v>
      </c>
      <c r="AS63" s="125">
        <f t="shared" si="6"/>
        <v>215471.96929999994</v>
      </c>
      <c r="AT63" s="125">
        <f t="shared" si="0"/>
        <v>-28193.433399999994</v>
      </c>
      <c r="AU63" s="125">
        <f>AH63*Valores!$C$74</f>
        <v>-6920.206379999999</v>
      </c>
      <c r="AV63" s="125">
        <f>AH63*Valores!$C$75</f>
        <v>-768.9118199999998</v>
      </c>
      <c r="AW63" s="125">
        <f t="shared" si="4"/>
        <v>220421.38839999994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2855.87</v>
      </c>
      <c r="G64" s="192">
        <v>2094</v>
      </c>
      <c r="H64" s="125">
        <f>ROUND(G64*Valores!$C$2,2)</f>
        <v>73829.41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16001.62</v>
      </c>
      <c r="N64" s="125">
        <f t="shared" si="1"/>
        <v>0</v>
      </c>
      <c r="O64" s="125">
        <f>Valores!$C$9</f>
        <v>44305.44</v>
      </c>
      <c r="P64" s="125">
        <f>Valores!$D$5</f>
        <v>18023.69</v>
      </c>
      <c r="Q64" s="125">
        <f>Valores!$C$22</f>
        <v>16079.99</v>
      </c>
      <c r="R64" s="125">
        <f>IF($F$4="NO",Valores!$C$45,Valores!$C$45/2)</f>
        <v>13220.87</v>
      </c>
      <c r="S64" s="125">
        <f>Valores!$C$19</f>
        <v>16771.31</v>
      </c>
      <c r="T64" s="125">
        <f t="shared" si="7"/>
        <v>16771.31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31457.27</v>
      </c>
      <c r="AA64" s="125">
        <f>Valores!$C$25</f>
        <v>737.18</v>
      </c>
      <c r="AB64" s="214">
        <v>0</v>
      </c>
      <c r="AC64" s="125">
        <f t="shared" si="2"/>
        <v>0</v>
      </c>
      <c r="AD64" s="125">
        <f>Valores!$C$26</f>
        <v>737.18</v>
      </c>
      <c r="AE64" s="192">
        <v>0</v>
      </c>
      <c r="AF64" s="125">
        <f>ROUND(AE64*Valores!$C$2,2)</f>
        <v>0</v>
      </c>
      <c r="AG64" s="125">
        <f>ROUND(IF($F$4="NO",Valores!$C$63,Valores!$C$63/2),2)</f>
        <v>8427.87</v>
      </c>
      <c r="AH64" s="125">
        <f t="shared" si="5"/>
        <v>242447.69999999995</v>
      </c>
      <c r="AI64" s="125">
        <f>Valores!$C$31</f>
        <v>0</v>
      </c>
      <c r="AJ64" s="125">
        <f>Valores!$C$88</f>
        <v>0</v>
      </c>
      <c r="AK64" s="125">
        <f>Valores!C$38*B64</f>
        <v>0</v>
      </c>
      <c r="AL64" s="125">
        <f>IF($F$3="NO",0,Valores!$C$56)</f>
        <v>0</v>
      </c>
      <c r="AM64" s="125">
        <f t="shared" si="3"/>
        <v>0</v>
      </c>
      <c r="AN64" s="125">
        <f>AH64*Valores!$C$71</f>
        <v>-26669.246999999996</v>
      </c>
      <c r="AO64" s="125">
        <f>AH64*-Valores!$C$72</f>
        <v>0</v>
      </c>
      <c r="AP64" s="125">
        <f>AH64*Valores!$C$73</f>
        <v>-10910.146499999997</v>
      </c>
      <c r="AQ64" s="125">
        <f>Valores!$C$100</f>
        <v>-554.86</v>
      </c>
      <c r="AR64" s="125">
        <f>IF($F$5=0,Valores!$C$101,(Valores!$C$101+$F$5*(Valores!$C$101)))</f>
        <v>-550</v>
      </c>
      <c r="AS64" s="125">
        <f t="shared" si="6"/>
        <v>203763.44649999996</v>
      </c>
      <c r="AT64" s="125">
        <f t="shared" si="0"/>
        <v>-26669.246999999996</v>
      </c>
      <c r="AU64" s="125">
        <f>AH64*Valores!$C$74</f>
        <v>-6546.087899999999</v>
      </c>
      <c r="AV64" s="125">
        <f>AH64*Valores!$C$75</f>
        <v>-727.3430999999998</v>
      </c>
      <c r="AW64" s="125">
        <f t="shared" si="4"/>
        <v>208505.02199999997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2820.61</v>
      </c>
      <c r="G65" s="192">
        <v>2095</v>
      </c>
      <c r="H65" s="125">
        <f>ROUND(G65*Valores!$C$2,2)</f>
        <v>73864.67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16001.62</v>
      </c>
      <c r="N65" s="125">
        <f t="shared" si="1"/>
        <v>0</v>
      </c>
      <c r="O65" s="125">
        <f>Valores!$C$9</f>
        <v>44305.44</v>
      </c>
      <c r="P65" s="125">
        <f>Valores!$D$5</f>
        <v>18023.69</v>
      </c>
      <c r="Q65" s="125">
        <f>Valores!$C$22</f>
        <v>16079.99</v>
      </c>
      <c r="R65" s="125">
        <f>IF($F$4="NO",Valores!$C$45,Valores!$C$45/2)</f>
        <v>13220.87</v>
      </c>
      <c r="S65" s="125">
        <f>Valores!$C$19</f>
        <v>16771.31</v>
      </c>
      <c r="T65" s="125">
        <f t="shared" si="7"/>
        <v>16771.31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31457.27</v>
      </c>
      <c r="AA65" s="125">
        <f>Valores!$C$25</f>
        <v>737.18</v>
      </c>
      <c r="AB65" s="214">
        <v>0</v>
      </c>
      <c r="AC65" s="125">
        <f t="shared" si="2"/>
        <v>0</v>
      </c>
      <c r="AD65" s="125">
        <f>Valores!$C$26</f>
        <v>737.18</v>
      </c>
      <c r="AE65" s="192">
        <v>94</v>
      </c>
      <c r="AF65" s="125">
        <f>ROUND(AE65*Valores!$C$2,2)</f>
        <v>3314.21</v>
      </c>
      <c r="AG65" s="125">
        <f>ROUND(IF($F$4="NO",Valores!$C$63,Valores!$C$63/2),2)</f>
        <v>8427.87</v>
      </c>
      <c r="AH65" s="125">
        <f t="shared" si="5"/>
        <v>245761.90999999995</v>
      </c>
      <c r="AI65" s="125">
        <f>Valores!$C$31</f>
        <v>0</v>
      </c>
      <c r="AJ65" s="125">
        <f>Valores!$C$88</f>
        <v>0</v>
      </c>
      <c r="AK65" s="125">
        <f>Valores!C$38*B65</f>
        <v>0</v>
      </c>
      <c r="AL65" s="125">
        <f>IF($F$3="NO",0,Valores!$C$56)</f>
        <v>0</v>
      </c>
      <c r="AM65" s="125">
        <f t="shared" si="3"/>
        <v>0</v>
      </c>
      <c r="AN65" s="125">
        <f>AH65*Valores!$C$71</f>
        <v>-27033.810099999995</v>
      </c>
      <c r="AO65" s="125">
        <f>AH65*-Valores!$C$72</f>
        <v>0</v>
      </c>
      <c r="AP65" s="125">
        <f>AH65*Valores!$C$73</f>
        <v>-11059.285949999998</v>
      </c>
      <c r="AQ65" s="125">
        <f>Valores!$C$100</f>
        <v>-554.86</v>
      </c>
      <c r="AR65" s="125">
        <f>IF($F$5=0,Valores!$C$101,(Valores!$C$101+$F$5*(Valores!$C$101)))</f>
        <v>-550</v>
      </c>
      <c r="AS65" s="125">
        <f t="shared" si="6"/>
        <v>206563.95394999994</v>
      </c>
      <c r="AT65" s="125">
        <f t="shared" si="0"/>
        <v>-27033.810099999995</v>
      </c>
      <c r="AU65" s="125">
        <f>AH65*Valores!$C$74</f>
        <v>-6635.571569999998</v>
      </c>
      <c r="AV65" s="125">
        <f>AH65*Valores!$C$75</f>
        <v>-737.2857299999998</v>
      </c>
      <c r="AW65" s="125">
        <f t="shared" si="4"/>
        <v>211355.24259999994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2785.35</v>
      </c>
      <c r="G66" s="192">
        <v>1944</v>
      </c>
      <c r="H66" s="125">
        <f>ROUND(G66*Valores!$C$2,2)</f>
        <v>68540.77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15197.75</v>
      </c>
      <c r="N66" s="125">
        <f t="shared" si="1"/>
        <v>0</v>
      </c>
      <c r="O66" s="125">
        <f>Valores!$C$9</f>
        <v>44305.44</v>
      </c>
      <c r="P66" s="125">
        <f>Valores!$D$5</f>
        <v>18023.69</v>
      </c>
      <c r="Q66" s="125">
        <f>Valores!$C$22</f>
        <v>16079.99</v>
      </c>
      <c r="R66" s="125">
        <f>IF($F$4="NO",Valores!$C$45,Valores!$C$45/2)</f>
        <v>13220.87</v>
      </c>
      <c r="S66" s="125">
        <f>Valores!$C$19</f>
        <v>16771.31</v>
      </c>
      <c r="T66" s="125">
        <f t="shared" si="7"/>
        <v>16771.31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31457.27</v>
      </c>
      <c r="AA66" s="125">
        <f>Valores!$C$25</f>
        <v>737.18</v>
      </c>
      <c r="AB66" s="214">
        <v>0</v>
      </c>
      <c r="AC66" s="125">
        <f t="shared" si="2"/>
        <v>0</v>
      </c>
      <c r="AD66" s="125">
        <f>Valores!$C$26</f>
        <v>737.18</v>
      </c>
      <c r="AE66" s="192">
        <v>0</v>
      </c>
      <c r="AF66" s="125">
        <f>ROUND(AE66*Valores!$C$2,2)</f>
        <v>0</v>
      </c>
      <c r="AG66" s="125">
        <f>ROUND(IF($F$4="NO",Valores!$C$63,Valores!$C$63/2),2)</f>
        <v>8427.87</v>
      </c>
      <c r="AH66" s="125">
        <f t="shared" si="5"/>
        <v>236284.66999999995</v>
      </c>
      <c r="AI66" s="125">
        <f>Valores!$C$31</f>
        <v>0</v>
      </c>
      <c r="AJ66" s="125">
        <f>Valores!$C$88</f>
        <v>0</v>
      </c>
      <c r="AK66" s="125">
        <f>Valores!C$38*B66</f>
        <v>0</v>
      </c>
      <c r="AL66" s="125">
        <f>IF($F$3="NO",0,Valores!$C$56)</f>
        <v>0</v>
      </c>
      <c r="AM66" s="125">
        <f t="shared" si="3"/>
        <v>0</v>
      </c>
      <c r="AN66" s="125">
        <f>AH66*Valores!$C$71</f>
        <v>-25991.313699999995</v>
      </c>
      <c r="AO66" s="125">
        <f>AH66*-Valores!$C$72</f>
        <v>0</v>
      </c>
      <c r="AP66" s="125">
        <f>AH66*Valores!$C$73</f>
        <v>-10632.810149999998</v>
      </c>
      <c r="AQ66" s="125">
        <f>Valores!$C$100</f>
        <v>-554.86</v>
      </c>
      <c r="AR66" s="125">
        <f>IF($F$5=0,Valores!$C$101,(Valores!$C$101+$F$5*(Valores!$C$101)))</f>
        <v>-550</v>
      </c>
      <c r="AS66" s="125">
        <f t="shared" si="6"/>
        <v>198555.68614999996</v>
      </c>
      <c r="AT66" s="125">
        <f t="shared" si="0"/>
        <v>-25991.313699999995</v>
      </c>
      <c r="AU66" s="125">
        <f>AH66*Valores!$C$74</f>
        <v>-6379.686089999998</v>
      </c>
      <c r="AV66" s="125">
        <f>AH66*Valores!$C$75</f>
        <v>-708.8540099999999</v>
      </c>
      <c r="AW66" s="125">
        <f t="shared" si="4"/>
        <v>203204.81619999994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2785.35</v>
      </c>
      <c r="G67" s="192">
        <v>1944</v>
      </c>
      <c r="H67" s="125">
        <f>ROUND(G67*Valores!$C$2,2)</f>
        <v>68540.77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15197.75</v>
      </c>
      <c r="N67" s="125">
        <f t="shared" si="1"/>
        <v>0</v>
      </c>
      <c r="O67" s="125">
        <f>Valores!$C$9</f>
        <v>44305.44</v>
      </c>
      <c r="P67" s="125">
        <f>Valores!$D$5</f>
        <v>18023.69</v>
      </c>
      <c r="Q67" s="125">
        <f>Valores!$C$22</f>
        <v>16079.99</v>
      </c>
      <c r="R67" s="125">
        <f>IF($F$4="NO",Valores!$C$45,Valores!$C$45/2)</f>
        <v>13220.87</v>
      </c>
      <c r="S67" s="125">
        <f>Valores!$C$19</f>
        <v>16771.31</v>
      </c>
      <c r="T67" s="125">
        <f t="shared" si="7"/>
        <v>16771.31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31457.27</v>
      </c>
      <c r="AA67" s="125">
        <f>Valores!$C$25</f>
        <v>737.18</v>
      </c>
      <c r="AB67" s="214">
        <v>0</v>
      </c>
      <c r="AC67" s="125">
        <f t="shared" si="2"/>
        <v>0</v>
      </c>
      <c r="AD67" s="125">
        <f>Valores!$C$26</f>
        <v>737.18</v>
      </c>
      <c r="AE67" s="192">
        <v>94</v>
      </c>
      <c r="AF67" s="125">
        <f>ROUND(AE67*Valores!$C$2,2)</f>
        <v>3314.21</v>
      </c>
      <c r="AG67" s="125">
        <f>ROUND(IF($F$4="NO",Valores!$C$63,Valores!$C$63/2),2)</f>
        <v>8427.87</v>
      </c>
      <c r="AH67" s="125">
        <f t="shared" si="5"/>
        <v>239598.87999999995</v>
      </c>
      <c r="AI67" s="125">
        <f>Valores!$C$31</f>
        <v>0</v>
      </c>
      <c r="AJ67" s="125">
        <f>Valores!$C$88</f>
        <v>0</v>
      </c>
      <c r="AK67" s="125">
        <f>Valores!C$38*B67</f>
        <v>0</v>
      </c>
      <c r="AL67" s="125">
        <f>IF($F$3="NO",0,Valores!$C$56)</f>
        <v>0</v>
      </c>
      <c r="AM67" s="125">
        <f t="shared" si="3"/>
        <v>0</v>
      </c>
      <c r="AN67" s="125">
        <f>AH67*Valores!$C$71</f>
        <v>-26355.876799999995</v>
      </c>
      <c r="AO67" s="125">
        <f>AH67*-Valores!$C$72</f>
        <v>0</v>
      </c>
      <c r="AP67" s="125">
        <f>AH67*Valores!$C$73</f>
        <v>-10781.949599999998</v>
      </c>
      <c r="AQ67" s="125">
        <f>Valores!$C$100</f>
        <v>-554.86</v>
      </c>
      <c r="AR67" s="125">
        <f>IF($F$5=0,Valores!$C$101,(Valores!$C$101+$F$5*(Valores!$C$101)))</f>
        <v>-550</v>
      </c>
      <c r="AS67" s="125">
        <f t="shared" si="6"/>
        <v>201356.19359999994</v>
      </c>
      <c r="AT67" s="125">
        <f t="shared" si="0"/>
        <v>-26355.876799999995</v>
      </c>
      <c r="AU67" s="125">
        <f>AH67*Valores!$C$74</f>
        <v>-6469.169759999999</v>
      </c>
      <c r="AV67" s="125">
        <f>AH67*Valores!$C$75</f>
        <v>-718.7966399999998</v>
      </c>
      <c r="AW67" s="125">
        <f t="shared" si="4"/>
        <v>206055.03679999994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3525.76</v>
      </c>
      <c r="G68" s="192">
        <v>2864</v>
      </c>
      <c r="H68" s="125">
        <f>ROUND(G68*Valores!$C$2,2)</f>
        <v>100977.77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20069.36</v>
      </c>
      <c r="N68" s="125">
        <f t="shared" si="1"/>
        <v>0</v>
      </c>
      <c r="O68" s="125">
        <f>Valores!$C$9</f>
        <v>44305.44</v>
      </c>
      <c r="P68" s="125">
        <f>Valores!$D$5</f>
        <v>18023.69</v>
      </c>
      <c r="Q68" s="125">
        <v>0</v>
      </c>
      <c r="R68" s="125">
        <f>IF($F$4="NO",Valores!$C$44,Valores!$C$44/2)</f>
        <v>12520.87</v>
      </c>
      <c r="S68" s="125">
        <f>Valores!$C$19</f>
        <v>16771.31</v>
      </c>
      <c r="T68" s="125">
        <f t="shared" si="7"/>
        <v>16771.31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26214.39</v>
      </c>
      <c r="AA68" s="125">
        <f>Valores!$C$25</f>
        <v>737.18</v>
      </c>
      <c r="AB68" s="214">
        <v>0</v>
      </c>
      <c r="AC68" s="125">
        <f t="shared" si="2"/>
        <v>0</v>
      </c>
      <c r="AD68" s="125">
        <f>Valores!$C$26</f>
        <v>737.18</v>
      </c>
      <c r="AE68" s="192">
        <v>0</v>
      </c>
      <c r="AF68" s="125">
        <f>ROUND(AE68*Valores!$C$2,2)</f>
        <v>0</v>
      </c>
      <c r="AG68" s="125">
        <f>ROUND(IF($F$4="NO",Valores!$C$63,Valores!$C$63/2),2)</f>
        <v>8427.87</v>
      </c>
      <c r="AH68" s="125">
        <f t="shared" si="5"/>
        <v>252310.82</v>
      </c>
      <c r="AI68" s="125">
        <f>Valores!$C$31</f>
        <v>0</v>
      </c>
      <c r="AJ68" s="125">
        <f>Valores!$C$87</f>
        <v>0</v>
      </c>
      <c r="AK68" s="125">
        <f>Valores!C$38*B68</f>
        <v>0</v>
      </c>
      <c r="AL68" s="125">
        <f>IF($F$3="NO",0,Valores!$C$55)</f>
        <v>0</v>
      </c>
      <c r="AM68" s="125">
        <f t="shared" si="3"/>
        <v>0</v>
      </c>
      <c r="AN68" s="125">
        <f>AH68*Valores!$C$71</f>
        <v>-27754.1902</v>
      </c>
      <c r="AO68" s="125">
        <f>AH68*-Valores!$C$72</f>
        <v>0</v>
      </c>
      <c r="AP68" s="125">
        <f>AH68*Valores!$C$73</f>
        <v>-11353.9869</v>
      </c>
      <c r="AQ68" s="125">
        <f>Valores!$C$100</f>
        <v>-554.86</v>
      </c>
      <c r="AR68" s="125">
        <f>IF($F$5=0,Valores!$C$101,(Valores!$C$101+$F$5*(Valores!$C$101)))</f>
        <v>-550</v>
      </c>
      <c r="AS68" s="125">
        <f t="shared" si="6"/>
        <v>212097.7829</v>
      </c>
      <c r="AT68" s="125">
        <f t="shared" si="0"/>
        <v>-27754.1902</v>
      </c>
      <c r="AU68" s="125">
        <f>AH68*Valores!$C$74</f>
        <v>-6812.39214</v>
      </c>
      <c r="AV68" s="125">
        <f>AH68*Valores!$C$75</f>
        <v>-756.93246</v>
      </c>
      <c r="AW68" s="125">
        <f t="shared" si="4"/>
        <v>216987.3052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2785.35</v>
      </c>
      <c r="G69" s="192">
        <v>2161</v>
      </c>
      <c r="H69" s="125">
        <f>ROUND(G69*Valores!$C$2,2)</f>
        <v>76191.67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16345.38</v>
      </c>
      <c r="N69" s="125">
        <f t="shared" si="1"/>
        <v>0</v>
      </c>
      <c r="O69" s="125">
        <f>Valores!$C$9</f>
        <v>44305.44</v>
      </c>
      <c r="P69" s="125">
        <f>Valores!$D$5</f>
        <v>18023.69</v>
      </c>
      <c r="Q69" s="125">
        <f>Valores!$C$22</f>
        <v>16079.99</v>
      </c>
      <c r="R69" s="125">
        <f>IF($F$4="NO",Valores!$C$45,Valores!$C$45/2)</f>
        <v>13220.87</v>
      </c>
      <c r="S69" s="125">
        <f>Valores!$C$19</f>
        <v>16771.31</v>
      </c>
      <c r="T69" s="125">
        <f t="shared" si="7"/>
        <v>16771.31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31457.27</v>
      </c>
      <c r="AA69" s="125">
        <f>Valores!$C$25</f>
        <v>737.18</v>
      </c>
      <c r="AB69" s="214">
        <v>0</v>
      </c>
      <c r="AC69" s="125">
        <f t="shared" si="2"/>
        <v>0</v>
      </c>
      <c r="AD69" s="125">
        <f>Valores!$C$26</f>
        <v>737.18</v>
      </c>
      <c r="AE69" s="192">
        <v>0</v>
      </c>
      <c r="AF69" s="125">
        <f>ROUND(AE69*Valores!$C$2,2)</f>
        <v>0</v>
      </c>
      <c r="AG69" s="125">
        <f>ROUND(IF($F$4="NO",Valores!$C$63,Valores!$C$63/2),2)</f>
        <v>8427.87</v>
      </c>
      <c r="AH69" s="125">
        <f t="shared" si="5"/>
        <v>245083.19999999998</v>
      </c>
      <c r="AI69" s="125">
        <f>Valores!$C$31</f>
        <v>0</v>
      </c>
      <c r="AJ69" s="125">
        <f>Valores!$C$88</f>
        <v>0</v>
      </c>
      <c r="AK69" s="125">
        <f>Valores!C$38*B69</f>
        <v>0</v>
      </c>
      <c r="AL69" s="125">
        <f>IF($F$3="NO",0,Valores!$C$56)</f>
        <v>0</v>
      </c>
      <c r="AM69" s="125">
        <f t="shared" si="3"/>
        <v>0</v>
      </c>
      <c r="AN69" s="125">
        <f>AH69*Valores!$C$71</f>
        <v>-26959.152</v>
      </c>
      <c r="AO69" s="125">
        <f>AH69*-Valores!$C$72</f>
        <v>0</v>
      </c>
      <c r="AP69" s="125">
        <f>AH69*Valores!$C$73</f>
        <v>-11028.743999999999</v>
      </c>
      <c r="AQ69" s="125">
        <f>Valores!$C$100</f>
        <v>-554.86</v>
      </c>
      <c r="AR69" s="125">
        <f>IF($F$5=0,Valores!$C$101,(Valores!$C$101+$F$5*(Valores!$C$101)))</f>
        <v>-550</v>
      </c>
      <c r="AS69" s="125">
        <f t="shared" si="6"/>
        <v>205990.444</v>
      </c>
      <c r="AT69" s="125">
        <f t="shared" si="0"/>
        <v>-26959.152</v>
      </c>
      <c r="AU69" s="125">
        <f>AH69*Valores!$C$74</f>
        <v>-6617.246399999999</v>
      </c>
      <c r="AV69" s="125">
        <f>AH69*Valores!$C$75</f>
        <v>-735.2496</v>
      </c>
      <c r="AW69" s="125">
        <f t="shared" si="4"/>
        <v>210771.55199999997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3173.18</v>
      </c>
      <c r="G70" s="192">
        <v>3010</v>
      </c>
      <c r="H70" s="125">
        <f>ROUND(G70*Valores!$C$2,2)</f>
        <v>106125.38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21316.78</v>
      </c>
      <c r="N70" s="125">
        <f t="shared" si="1"/>
        <v>0</v>
      </c>
      <c r="O70" s="125">
        <f>Valores!$C$9</f>
        <v>44305.44</v>
      </c>
      <c r="P70" s="125">
        <f>Valores!$D$5</f>
        <v>18023.69</v>
      </c>
      <c r="Q70" s="125">
        <f>Valores!$C$22</f>
        <v>16079.99</v>
      </c>
      <c r="R70" s="125">
        <f>IF($F$4="NO",Valores!$C$48,Valores!$C$48/2)</f>
        <v>16042.01</v>
      </c>
      <c r="S70" s="125">
        <f>Valores!$C$19</f>
        <v>16771.31</v>
      </c>
      <c r="T70" s="125">
        <f t="shared" si="7"/>
        <v>16771.31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31457.27</v>
      </c>
      <c r="AA70" s="125">
        <f>Valores!$C$25</f>
        <v>737.18</v>
      </c>
      <c r="AB70" s="214">
        <v>0</v>
      </c>
      <c r="AC70" s="125">
        <f t="shared" si="2"/>
        <v>0</v>
      </c>
      <c r="AD70" s="125">
        <f>Valores!$C$26</f>
        <v>737.18</v>
      </c>
      <c r="AE70" s="192">
        <v>0</v>
      </c>
      <c r="AF70" s="125">
        <f>ROUND(AE70*Valores!$C$2,2)</f>
        <v>0</v>
      </c>
      <c r="AG70" s="125">
        <f>ROUND(IF($F$4="NO",Valores!$C$63,Valores!$C$63/2),2)</f>
        <v>8427.87</v>
      </c>
      <c r="AH70" s="125">
        <f t="shared" si="5"/>
        <v>283197.27999999997</v>
      </c>
      <c r="AI70" s="125">
        <f>Valores!$C$31</f>
        <v>0</v>
      </c>
      <c r="AJ70" s="125">
        <f>Valores!$C$88</f>
        <v>0</v>
      </c>
      <c r="AK70" s="125">
        <f>Valores!C$38*B70</f>
        <v>0</v>
      </c>
      <c r="AL70" s="125">
        <f>IF($F$3="NO",0,Valores!$C$56)</f>
        <v>0</v>
      </c>
      <c r="AM70" s="125">
        <f t="shared" si="3"/>
        <v>0</v>
      </c>
      <c r="AN70" s="125">
        <f>AH70*Valores!$C$71</f>
        <v>-31151.700799999995</v>
      </c>
      <c r="AO70" s="125">
        <f>AH70*-Valores!$C$72</f>
        <v>0</v>
      </c>
      <c r="AP70" s="125">
        <f>AH70*Valores!$C$73</f>
        <v>-12743.877599999998</v>
      </c>
      <c r="AQ70" s="125">
        <f>Valores!$C$100</f>
        <v>-554.86</v>
      </c>
      <c r="AR70" s="125">
        <f>IF($F$5=0,Valores!$C$101,(Valores!$C$101+$F$5*(Valores!$C$101)))</f>
        <v>-550</v>
      </c>
      <c r="AS70" s="125">
        <f t="shared" si="6"/>
        <v>238196.84159999999</v>
      </c>
      <c r="AT70" s="125">
        <f t="shared" si="0"/>
        <v>-31151.700799999995</v>
      </c>
      <c r="AU70" s="125">
        <f>AH70*Valores!$C$74</f>
        <v>-7646.3265599999995</v>
      </c>
      <c r="AV70" s="125">
        <f>AH70*Valores!$C$75</f>
        <v>-849.5918399999999</v>
      </c>
      <c r="AW70" s="125">
        <f t="shared" si="4"/>
        <v>243549.66079999998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2750.09</v>
      </c>
      <c r="G71" s="192">
        <v>2162</v>
      </c>
      <c r="H71" s="125">
        <f>ROUND(G71*Valores!$C$2,2)</f>
        <v>76226.93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16345.38</v>
      </c>
      <c r="N71" s="125">
        <f t="shared" si="1"/>
        <v>0</v>
      </c>
      <c r="O71" s="125">
        <f>Valores!$C$9</f>
        <v>44305.44</v>
      </c>
      <c r="P71" s="125">
        <f>Valores!$D$5</f>
        <v>18023.69</v>
      </c>
      <c r="Q71" s="125">
        <f>Valores!$C$22</f>
        <v>16079.99</v>
      </c>
      <c r="R71" s="125">
        <f>IF($F$4="NO",Valores!$C$45,Valores!$C$45/2)</f>
        <v>13220.87</v>
      </c>
      <c r="S71" s="125">
        <f>Valores!$C$19</f>
        <v>16771.31</v>
      </c>
      <c r="T71" s="125">
        <f t="shared" si="7"/>
        <v>16771.31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31457.27</v>
      </c>
      <c r="AA71" s="125">
        <f>Valores!$C$25</f>
        <v>737.18</v>
      </c>
      <c r="AB71" s="214">
        <v>0</v>
      </c>
      <c r="AC71" s="125">
        <f t="shared" si="2"/>
        <v>0</v>
      </c>
      <c r="AD71" s="125">
        <f>Valores!$C$26</f>
        <v>737.18</v>
      </c>
      <c r="AE71" s="192">
        <v>0</v>
      </c>
      <c r="AF71" s="125">
        <f>ROUND(AE71*Valores!$C$2,2)</f>
        <v>0</v>
      </c>
      <c r="AG71" s="125">
        <f>ROUND(IF($F$4="NO",Valores!$C$63,Valores!$C$63/2),2)</f>
        <v>8427.87</v>
      </c>
      <c r="AH71" s="125">
        <f t="shared" si="5"/>
        <v>245083.19999999995</v>
      </c>
      <c r="AI71" s="125">
        <f>Valores!$C$31</f>
        <v>0</v>
      </c>
      <c r="AJ71" s="125">
        <f>Valores!$C$88</f>
        <v>0</v>
      </c>
      <c r="AK71" s="125">
        <f>Valores!C$38*B71</f>
        <v>0</v>
      </c>
      <c r="AL71" s="125">
        <f>IF($F$3="NO",0,Valores!$C$56)</f>
        <v>0</v>
      </c>
      <c r="AM71" s="125">
        <f t="shared" si="3"/>
        <v>0</v>
      </c>
      <c r="AN71" s="125">
        <f>AH71*Valores!$C$71</f>
        <v>-26959.151999999995</v>
      </c>
      <c r="AO71" s="125">
        <f>AH71*-Valores!$C$72</f>
        <v>0</v>
      </c>
      <c r="AP71" s="125">
        <f>AH71*Valores!$C$73</f>
        <v>-11028.743999999997</v>
      </c>
      <c r="AQ71" s="125">
        <f>Valores!$C$100</f>
        <v>-554.86</v>
      </c>
      <c r="AR71" s="125">
        <f>IF($F$5=0,Valores!$C$101,(Valores!$C$101+$F$5*(Valores!$C$101)))</f>
        <v>-550</v>
      </c>
      <c r="AS71" s="125">
        <f t="shared" si="6"/>
        <v>205990.44399999996</v>
      </c>
      <c r="AT71" s="125">
        <f aca="true" t="shared" si="10" ref="AT71:AT133">AN71</f>
        <v>-26959.151999999995</v>
      </c>
      <c r="AU71" s="125">
        <f>AH71*Valores!$C$74</f>
        <v>-6617.246399999999</v>
      </c>
      <c r="AV71" s="125">
        <f>AH71*Valores!$C$75</f>
        <v>-735.2495999999999</v>
      </c>
      <c r="AW71" s="125">
        <f t="shared" si="4"/>
        <v>210771.55199999997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3173.18</v>
      </c>
      <c r="G72" s="192">
        <v>2800</v>
      </c>
      <c r="H72" s="125">
        <f>ROUND(G72*Valores!$C$2,2)</f>
        <v>98721.28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20206.17</v>
      </c>
      <c r="N72" s="125">
        <f aca="true" t="shared" si="11" ref="N72:N135">ROUND(SUM(F72,H72,J72,L72,X72,R72)*$H$2,2)</f>
        <v>0</v>
      </c>
      <c r="O72" s="125">
        <f>Valores!$C$9</f>
        <v>44305.44</v>
      </c>
      <c r="P72" s="125">
        <f>Valores!$D$5</f>
        <v>18023.69</v>
      </c>
      <c r="Q72" s="125">
        <v>0</v>
      </c>
      <c r="R72" s="125">
        <f>IF($F$4="NO",Valores!$C$48,Valores!$C$48/2)</f>
        <v>16042.01</v>
      </c>
      <c r="S72" s="125">
        <f>Valores!$C$19</f>
        <v>16771.31</v>
      </c>
      <c r="T72" s="125">
        <f t="shared" si="7"/>
        <v>16771.31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31457.27</v>
      </c>
      <c r="AA72" s="125">
        <f>Valores!$C$25</f>
        <v>737.18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737.18</v>
      </c>
      <c r="AE72" s="192">
        <v>0</v>
      </c>
      <c r="AF72" s="125">
        <f>ROUND(AE72*Valores!$C$2,2)</f>
        <v>0</v>
      </c>
      <c r="AG72" s="125">
        <f>ROUND(IF($F$4="NO",Valores!$C$63,Valores!$C$63/2),2)</f>
        <v>8427.87</v>
      </c>
      <c r="AH72" s="125">
        <f t="shared" si="5"/>
        <v>258602.58</v>
      </c>
      <c r="AI72" s="125">
        <f>Valores!$C$31</f>
        <v>0</v>
      </c>
      <c r="AJ72" s="125">
        <f>Valores!$C$88</f>
        <v>0</v>
      </c>
      <c r="AK72" s="125">
        <f>Valores!C$38*B72</f>
        <v>0</v>
      </c>
      <c r="AL72" s="125">
        <f>IF($F$3="NO",0,Valores!$C$56)</f>
        <v>0</v>
      </c>
      <c r="AM72" s="125">
        <f aca="true" t="shared" si="13" ref="AM72:AM135">SUM(AI72:AL72)</f>
        <v>0</v>
      </c>
      <c r="AN72" s="125">
        <f>AH72*Valores!$C$71</f>
        <v>-28446.283799999997</v>
      </c>
      <c r="AO72" s="125">
        <f>AH72*-Valores!$C$72</f>
        <v>0</v>
      </c>
      <c r="AP72" s="125">
        <f>AH72*Valores!$C$73</f>
        <v>-11637.1161</v>
      </c>
      <c r="AQ72" s="125">
        <f>Valores!$C$100</f>
        <v>-554.86</v>
      </c>
      <c r="AR72" s="125">
        <f>IF($F$5=0,Valores!$C$101,(Valores!$C$101+$F$5*(Valores!$C$101)))</f>
        <v>-550</v>
      </c>
      <c r="AS72" s="125">
        <f t="shared" si="6"/>
        <v>217414.32009999998</v>
      </c>
      <c r="AT72" s="125">
        <f t="shared" si="10"/>
        <v>-28446.283799999997</v>
      </c>
      <c r="AU72" s="125">
        <f>AH72*Valores!$C$74</f>
        <v>-6982.26966</v>
      </c>
      <c r="AV72" s="125">
        <f>AH72*Valores!$C$75</f>
        <v>-775.80774</v>
      </c>
      <c r="AW72" s="125">
        <f aca="true" t="shared" si="14" ref="AW72:AW135">AH72+AM72+SUM(AT72:AV72)</f>
        <v>222398.2188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2785.35</v>
      </c>
      <c r="G73" s="192">
        <v>2161</v>
      </c>
      <c r="H73" s="125">
        <f>ROUND(G73*Valores!$C$2,2)</f>
        <v>76191.67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16345.38</v>
      </c>
      <c r="N73" s="125">
        <f t="shared" si="11"/>
        <v>0</v>
      </c>
      <c r="O73" s="125">
        <f>Valores!$C$9</f>
        <v>44305.44</v>
      </c>
      <c r="P73" s="125">
        <f>Valores!$D$5</f>
        <v>18023.69</v>
      </c>
      <c r="Q73" s="125">
        <f>Valores!$C$22</f>
        <v>16079.99</v>
      </c>
      <c r="R73" s="125">
        <f>IF($F$4="NO",Valores!$C$45,Valores!$C$45/2)</f>
        <v>13220.87</v>
      </c>
      <c r="S73" s="125">
        <f>Valores!$C$19</f>
        <v>16771.31</v>
      </c>
      <c r="T73" s="125">
        <f t="shared" si="7"/>
        <v>16771.31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31457.27</v>
      </c>
      <c r="AA73" s="125">
        <f>Valores!$C$25</f>
        <v>737.18</v>
      </c>
      <c r="AB73" s="214">
        <v>0</v>
      </c>
      <c r="AC73" s="125">
        <f t="shared" si="12"/>
        <v>0</v>
      </c>
      <c r="AD73" s="125">
        <f>Valores!$C$26</f>
        <v>737.18</v>
      </c>
      <c r="AE73" s="192">
        <v>0</v>
      </c>
      <c r="AF73" s="125">
        <f>ROUND(AE73*Valores!$C$2,2)</f>
        <v>0</v>
      </c>
      <c r="AG73" s="125">
        <f>ROUND(IF($F$4="NO",Valores!$C$63,Valores!$C$63/2),2)</f>
        <v>8427.87</v>
      </c>
      <c r="AH73" s="125">
        <f aca="true" t="shared" si="15" ref="AH73:AH136">SUM(F73,H73,J73,L73,M73,N73,O73,P73,Q73,R73,T73,U73,V73,X73,Y73,Z73,AA73,AC73,AD73,AF73,AG73)</f>
        <v>245083.19999999998</v>
      </c>
      <c r="AI73" s="125">
        <f>Valores!$C$31</f>
        <v>0</v>
      </c>
      <c r="AJ73" s="125">
        <f>Valores!$C$88</f>
        <v>0</v>
      </c>
      <c r="AK73" s="125">
        <f>Valores!C$38*B73</f>
        <v>0</v>
      </c>
      <c r="AL73" s="125">
        <f>IF($F$3="NO",0,Valores!$C$56)</f>
        <v>0</v>
      </c>
      <c r="AM73" s="125">
        <f t="shared" si="13"/>
        <v>0</v>
      </c>
      <c r="AN73" s="125">
        <f>AH73*Valores!$C$71</f>
        <v>-26959.152</v>
      </c>
      <c r="AO73" s="125">
        <f>AH73*-Valores!$C$72</f>
        <v>0</v>
      </c>
      <c r="AP73" s="125">
        <f>AH73*Valores!$C$73</f>
        <v>-11028.743999999999</v>
      </c>
      <c r="AQ73" s="125">
        <f>Valores!$C$100</f>
        <v>-554.86</v>
      </c>
      <c r="AR73" s="125">
        <f>IF($F$5=0,Valores!$C$101,(Valores!$C$101+$F$5*(Valores!$C$101)))</f>
        <v>-550</v>
      </c>
      <c r="AS73" s="125">
        <f aca="true" t="shared" si="16" ref="AS73:AS136">AH73+SUM(AM73:AR73)</f>
        <v>205990.444</v>
      </c>
      <c r="AT73" s="125">
        <f t="shared" si="10"/>
        <v>-26959.152</v>
      </c>
      <c r="AU73" s="125">
        <f>AH73*Valores!$C$74</f>
        <v>-6617.246399999999</v>
      </c>
      <c r="AV73" s="125">
        <f>AH73*Valores!$C$75</f>
        <v>-735.2496</v>
      </c>
      <c r="AW73" s="125">
        <f t="shared" si="14"/>
        <v>210771.55199999997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3173.18</v>
      </c>
      <c r="G74" s="192">
        <v>2720</v>
      </c>
      <c r="H74" s="125">
        <f>ROUND(G74*Valores!$C$2,2)</f>
        <v>95900.67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19783.08</v>
      </c>
      <c r="N74" s="125">
        <f t="shared" si="11"/>
        <v>0</v>
      </c>
      <c r="O74" s="125">
        <f>Valores!$C$9</f>
        <v>44305.44</v>
      </c>
      <c r="P74" s="125">
        <f>Valores!$D$5</f>
        <v>18023.69</v>
      </c>
      <c r="Q74" s="125">
        <v>0</v>
      </c>
      <c r="R74" s="125">
        <f>IF($F$4="NO",Valores!$C$48,Valores!$C$476/2)</f>
        <v>16042.01</v>
      </c>
      <c r="S74" s="125">
        <f>Valores!$C$19</f>
        <v>16771.31</v>
      </c>
      <c r="T74" s="125">
        <f t="shared" si="7"/>
        <v>16771.31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31457.27</v>
      </c>
      <c r="AA74" s="125">
        <f>Valores!$C$25</f>
        <v>737.18</v>
      </c>
      <c r="AB74" s="214">
        <v>0</v>
      </c>
      <c r="AC74" s="125">
        <f t="shared" si="12"/>
        <v>0</v>
      </c>
      <c r="AD74" s="125">
        <f>Valores!$C$26</f>
        <v>737.18</v>
      </c>
      <c r="AE74" s="192">
        <v>0</v>
      </c>
      <c r="AF74" s="125">
        <f>ROUND(AE74*Valores!$C$2,2)</f>
        <v>0</v>
      </c>
      <c r="AG74" s="125">
        <f>ROUND(IF($F$4="NO",Valores!$C$63,Valores!$C$63/2),2)</f>
        <v>8427.87</v>
      </c>
      <c r="AH74" s="125">
        <f t="shared" si="15"/>
        <v>255358.87999999998</v>
      </c>
      <c r="AI74" s="125">
        <f>Valores!$C$31</f>
        <v>0</v>
      </c>
      <c r="AJ74" s="125">
        <f>Valores!$C$88</f>
        <v>0</v>
      </c>
      <c r="AK74" s="125">
        <f>Valores!C$38*B74</f>
        <v>0</v>
      </c>
      <c r="AL74" s="125">
        <f>IF($F$3="NO",0,Valores!$C$56)</f>
        <v>0</v>
      </c>
      <c r="AM74" s="125">
        <f t="shared" si="13"/>
        <v>0</v>
      </c>
      <c r="AN74" s="125">
        <f>AH74*Valores!$C$71</f>
        <v>-28089.476799999997</v>
      </c>
      <c r="AO74" s="125">
        <f>AH74*-Valores!$C$72</f>
        <v>0</v>
      </c>
      <c r="AP74" s="125">
        <f>AH74*Valores!$C$73</f>
        <v>-11491.149599999999</v>
      </c>
      <c r="AQ74" s="125">
        <f>Valores!$C$100</f>
        <v>-554.86</v>
      </c>
      <c r="AR74" s="125">
        <f>IF($F$5=0,Valores!$C$101,(Valores!$C$101+$F$5*(Valores!$C$101)))</f>
        <v>-550</v>
      </c>
      <c r="AS74" s="125">
        <f t="shared" si="16"/>
        <v>214673.39359999998</v>
      </c>
      <c r="AT74" s="125">
        <f t="shared" si="10"/>
        <v>-28089.476799999997</v>
      </c>
      <c r="AU74" s="125">
        <f>AH74*Valores!$C$74</f>
        <v>-6894.689759999999</v>
      </c>
      <c r="AV74" s="125">
        <f>AH74*Valores!$C$75</f>
        <v>-766.07664</v>
      </c>
      <c r="AW74" s="125">
        <f t="shared" si="14"/>
        <v>219608.63679999998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2750.09</v>
      </c>
      <c r="G75" s="192">
        <v>1284</v>
      </c>
      <c r="H75" s="125">
        <f>ROUND(G75*Valores!$C$2,2)</f>
        <v>45270.76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11571.23</v>
      </c>
      <c r="N75" s="125">
        <f t="shared" si="11"/>
        <v>0</v>
      </c>
      <c r="O75" s="125">
        <f>Valores!$C$8</f>
        <v>44191.25</v>
      </c>
      <c r="P75" s="125">
        <f>Valores!$D$5</f>
        <v>18023.69</v>
      </c>
      <c r="Q75" s="125">
        <f>Valores!$C$22</f>
        <v>16079.99</v>
      </c>
      <c r="R75" s="125">
        <f>IF($F$4="NO",Valores!$C$44,Valores!$C$44/2)</f>
        <v>12520.87</v>
      </c>
      <c r="S75" s="125">
        <f>Valores!$C$20</f>
        <v>16599.84</v>
      </c>
      <c r="T75" s="125">
        <f aca="true" t="shared" si="17" ref="T75:T138">ROUND(S75*(1+$H$2),2)</f>
        <v>16599.84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26214.39</v>
      </c>
      <c r="AA75" s="125">
        <f>Valores!$C$25</f>
        <v>737.18</v>
      </c>
      <c r="AB75" s="214">
        <v>0</v>
      </c>
      <c r="AC75" s="125">
        <f t="shared" si="12"/>
        <v>0</v>
      </c>
      <c r="AD75" s="125">
        <f>Valores!$C$26</f>
        <v>737.18</v>
      </c>
      <c r="AE75" s="192">
        <v>0</v>
      </c>
      <c r="AF75" s="125">
        <f>ROUND(AE75*Valores!$C$2,2)</f>
        <v>0</v>
      </c>
      <c r="AG75" s="125">
        <f>ROUND(IF($F$4="NO",Valores!$C$63,Valores!$C$63/2),2)</f>
        <v>8427.87</v>
      </c>
      <c r="AH75" s="125">
        <f t="shared" si="15"/>
        <v>203124.33999999997</v>
      </c>
      <c r="AI75" s="125">
        <f>Valores!$C$31</f>
        <v>0</v>
      </c>
      <c r="AJ75" s="125">
        <f>Valores!$C$87</f>
        <v>0</v>
      </c>
      <c r="AK75" s="125">
        <f>Valores!C$38*B75</f>
        <v>0</v>
      </c>
      <c r="AL75" s="125">
        <f>IF($F$3="NO",0,Valores!$C$56)</f>
        <v>0</v>
      </c>
      <c r="AM75" s="125">
        <f t="shared" si="13"/>
        <v>0</v>
      </c>
      <c r="AN75" s="125">
        <f>AH75*Valores!$C$71</f>
        <v>-22343.677399999997</v>
      </c>
      <c r="AO75" s="125">
        <f>AH75*-Valores!$C$72</f>
        <v>0</v>
      </c>
      <c r="AP75" s="125">
        <f>AH75*Valores!$C$73</f>
        <v>-9140.595299999999</v>
      </c>
      <c r="AQ75" s="125">
        <f>Valores!$C$100</f>
        <v>-554.86</v>
      </c>
      <c r="AR75" s="125">
        <f>IF($F$5=0,Valores!$C$101,(Valores!$C$101+$F$5*(Valores!$C$101)))</f>
        <v>-550</v>
      </c>
      <c r="AS75" s="125">
        <f t="shared" si="16"/>
        <v>170535.20729999998</v>
      </c>
      <c r="AT75" s="125">
        <f t="shared" si="10"/>
        <v>-22343.677399999997</v>
      </c>
      <c r="AU75" s="125">
        <f>AH75*Valores!$C$74</f>
        <v>-5484.357179999999</v>
      </c>
      <c r="AV75" s="125">
        <f>AH75*Valores!$C$75</f>
        <v>-609.3730199999999</v>
      </c>
      <c r="AW75" s="125">
        <f t="shared" si="14"/>
        <v>174686.93239999996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2750.09</v>
      </c>
      <c r="G76" s="192">
        <v>1284</v>
      </c>
      <c r="H76" s="125">
        <f>ROUND(G76*Valores!$C$2,2)</f>
        <v>45270.76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11571.23</v>
      </c>
      <c r="N76" s="125">
        <f t="shared" si="11"/>
        <v>0</v>
      </c>
      <c r="O76" s="125">
        <f>Valores!$C$8</f>
        <v>44191.25</v>
      </c>
      <c r="P76" s="125">
        <f>Valores!$D$5</f>
        <v>18023.69</v>
      </c>
      <c r="Q76" s="125">
        <f>Valores!$C$22</f>
        <v>16079.99</v>
      </c>
      <c r="R76" s="125">
        <f>IF($F$4="NO",Valores!$C$44,Valores!$C$44/2)</f>
        <v>12520.87</v>
      </c>
      <c r="S76" s="125">
        <f>Valores!$C$20</f>
        <v>16599.84</v>
      </c>
      <c r="T76" s="125">
        <f t="shared" si="17"/>
        <v>16599.84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26214.39</v>
      </c>
      <c r="AA76" s="125">
        <f>Valores!$C$25</f>
        <v>737.18</v>
      </c>
      <c r="AB76" s="214">
        <v>0</v>
      </c>
      <c r="AC76" s="125">
        <f t="shared" si="12"/>
        <v>0</v>
      </c>
      <c r="AD76" s="125">
        <f>Valores!$C$26</f>
        <v>737.18</v>
      </c>
      <c r="AE76" s="192">
        <v>0</v>
      </c>
      <c r="AF76" s="125">
        <f>ROUND(AE76*Valores!$C$2,2)</f>
        <v>0</v>
      </c>
      <c r="AG76" s="125">
        <f>ROUND(IF($F$4="NO",Valores!$C$63,Valores!$C$63/2),2)</f>
        <v>8427.87</v>
      </c>
      <c r="AH76" s="125">
        <f t="shared" si="15"/>
        <v>203124.33999999997</v>
      </c>
      <c r="AI76" s="125">
        <f>Valores!$C$31</f>
        <v>0</v>
      </c>
      <c r="AJ76" s="125">
        <f>Valores!$C$87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AH76*Valores!$C$71</f>
        <v>-22343.677399999997</v>
      </c>
      <c r="AO76" s="125">
        <f>AH76*-Valores!$C$72</f>
        <v>0</v>
      </c>
      <c r="AP76" s="125">
        <f>AH76*Valores!$C$73</f>
        <v>-9140.595299999999</v>
      </c>
      <c r="AQ76" s="125">
        <f>Valores!$C$100</f>
        <v>-554.86</v>
      </c>
      <c r="AR76" s="125">
        <f>IF($F$5=0,Valores!$C$101,(Valores!$C$101+$F$5*(Valores!$C$101)))</f>
        <v>-550</v>
      </c>
      <c r="AS76" s="125">
        <f t="shared" si="16"/>
        <v>170535.20729999998</v>
      </c>
      <c r="AT76" s="125">
        <f t="shared" si="10"/>
        <v>-22343.677399999997</v>
      </c>
      <c r="AU76" s="125">
        <f>AH76*Valores!$C$74</f>
        <v>-5484.357179999999</v>
      </c>
      <c r="AV76" s="125">
        <f>AH76*Valores!$C$75</f>
        <v>-609.3730199999999</v>
      </c>
      <c r="AW76" s="125">
        <f t="shared" si="14"/>
        <v>174686.93239999996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2750.09</v>
      </c>
      <c r="G77" s="192">
        <v>1284</v>
      </c>
      <c r="H77" s="125">
        <f>ROUND(G77*Valores!$C$2,2)</f>
        <v>45270.76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9081.26</v>
      </c>
      <c r="N77" s="125">
        <f t="shared" si="11"/>
        <v>0</v>
      </c>
      <c r="O77" s="125">
        <f>Valores!$C$14</f>
        <v>35109.44</v>
      </c>
      <c r="P77" s="125">
        <f>Valores!$D$5</f>
        <v>18023.69</v>
      </c>
      <c r="Q77" s="125">
        <f>Valores!$C$22</f>
        <v>16079.99</v>
      </c>
      <c r="R77" s="125">
        <f>IF($F$4="NO",Valores!$C$44,Valores!$C$44/2)</f>
        <v>12520.87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26214.39</v>
      </c>
      <c r="AA77" s="125">
        <f>Valores!$C$25</f>
        <v>737.18</v>
      </c>
      <c r="AB77" s="214">
        <v>0</v>
      </c>
      <c r="AC77" s="125">
        <f t="shared" si="12"/>
        <v>0</v>
      </c>
      <c r="AD77" s="125">
        <f>Valores!$C$26</f>
        <v>737.18</v>
      </c>
      <c r="AE77" s="192">
        <v>0</v>
      </c>
      <c r="AF77" s="125">
        <f>ROUND(AE77*Valores!$C$2,2)</f>
        <v>0</v>
      </c>
      <c r="AG77" s="125">
        <f>ROUND(IF($F$4="NO",Valores!$C$63,Valores!$C$63/2),2)</f>
        <v>8427.87</v>
      </c>
      <c r="AH77" s="125">
        <f t="shared" si="15"/>
        <v>174952.72000000003</v>
      </c>
      <c r="AI77" s="125">
        <f>Valores!$C$31</f>
        <v>0</v>
      </c>
      <c r="AJ77" s="125">
        <f>Valores!$C$87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AH77*Valores!$C$71</f>
        <v>-19244.799200000005</v>
      </c>
      <c r="AO77" s="125">
        <f>AH77*-Valores!$C$72</f>
        <v>0</v>
      </c>
      <c r="AP77" s="125">
        <f>AH77*Valores!$C$73</f>
        <v>-7872.872400000001</v>
      </c>
      <c r="AQ77" s="125">
        <f>Valores!$C$100</f>
        <v>-554.86</v>
      </c>
      <c r="AR77" s="125">
        <f>IF($F$5=0,Valores!$C$101,(Valores!$C$101+$F$5*(Valores!$C$101)))</f>
        <v>-550</v>
      </c>
      <c r="AS77" s="125">
        <f t="shared" si="16"/>
        <v>146730.1884</v>
      </c>
      <c r="AT77" s="125">
        <f t="shared" si="10"/>
        <v>-19244.799200000005</v>
      </c>
      <c r="AU77" s="125">
        <f>AH77*Valores!$C$74</f>
        <v>-4723.723440000001</v>
      </c>
      <c r="AV77" s="125">
        <f>AH77*Valores!$C$75</f>
        <v>-524.8581600000001</v>
      </c>
      <c r="AW77" s="125">
        <f t="shared" si="14"/>
        <v>150459.33920000002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2891.12</v>
      </c>
      <c r="G78" s="192">
        <v>2038</v>
      </c>
      <c r="H78" s="125">
        <f>ROUND(G78*Valores!$C$2,2)</f>
        <v>71854.99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15605.74</v>
      </c>
      <c r="N78" s="125">
        <f t="shared" si="11"/>
        <v>0</v>
      </c>
      <c r="O78" s="125">
        <f>Valores!$C$9</f>
        <v>44305.44</v>
      </c>
      <c r="P78" s="125">
        <f>Valores!$D$5</f>
        <v>18023.69</v>
      </c>
      <c r="Q78" s="125">
        <f>Valores!$C$22</f>
        <v>16079.99</v>
      </c>
      <c r="R78" s="125">
        <f>IF($F$4="NO",Valores!$C$44,Valores!$C$44/2)</f>
        <v>12520.87</v>
      </c>
      <c r="S78" s="125">
        <f>Valores!$C$19</f>
        <v>16771.31</v>
      </c>
      <c r="T78" s="125">
        <f t="shared" si="17"/>
        <v>16771.31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26214.39</v>
      </c>
      <c r="AA78" s="125">
        <f>Valores!$C$25</f>
        <v>737.18</v>
      </c>
      <c r="AB78" s="214">
        <v>0</v>
      </c>
      <c r="AC78" s="125">
        <f t="shared" si="12"/>
        <v>0</v>
      </c>
      <c r="AD78" s="125">
        <f>Valores!$C$26</f>
        <v>737.18</v>
      </c>
      <c r="AE78" s="192">
        <v>0</v>
      </c>
      <c r="AF78" s="125">
        <f>ROUND(AE78*Valores!$C$2,2)</f>
        <v>0</v>
      </c>
      <c r="AG78" s="125">
        <f>ROUND(IF($F$4="NO",Valores!$C$63,Valores!$C$63/2),2)</f>
        <v>8427.87</v>
      </c>
      <c r="AH78" s="125">
        <f t="shared" si="15"/>
        <v>234169.76999999996</v>
      </c>
      <c r="AI78" s="125">
        <f>Valores!$C$31</f>
        <v>0</v>
      </c>
      <c r="AJ78" s="125">
        <f>Valores!$C$87</f>
        <v>0</v>
      </c>
      <c r="AK78" s="125">
        <f>Valores!C$38*B78</f>
        <v>0</v>
      </c>
      <c r="AL78" s="125">
        <f>IF($F$3="NO",0,Valores!$C$56)</f>
        <v>0</v>
      </c>
      <c r="AM78" s="125">
        <f t="shared" si="13"/>
        <v>0</v>
      </c>
      <c r="AN78" s="125">
        <f>AH78*Valores!$C$71</f>
        <v>-25758.674699999996</v>
      </c>
      <c r="AO78" s="125">
        <f>AH78*-Valores!$C$72</f>
        <v>0</v>
      </c>
      <c r="AP78" s="125">
        <f>AH78*Valores!$C$73</f>
        <v>-10537.639649999997</v>
      </c>
      <c r="AQ78" s="125">
        <f>Valores!$C$100</f>
        <v>-554.86</v>
      </c>
      <c r="AR78" s="125">
        <f>IF($F$5=0,Valores!$C$101,(Valores!$C$101+$F$5*(Valores!$C$101)))</f>
        <v>-550</v>
      </c>
      <c r="AS78" s="125">
        <f t="shared" si="16"/>
        <v>196768.59564999997</v>
      </c>
      <c r="AT78" s="125">
        <f t="shared" si="10"/>
        <v>-25758.674699999996</v>
      </c>
      <c r="AU78" s="125">
        <f>AH78*Valores!$C$74</f>
        <v>-6322.583789999999</v>
      </c>
      <c r="AV78" s="125">
        <f>AH78*Valores!$C$75</f>
        <v>-702.5093099999999</v>
      </c>
      <c r="AW78" s="125">
        <f t="shared" si="14"/>
        <v>201386.00219999996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2750.09</v>
      </c>
      <c r="G79" s="192">
        <v>2072</v>
      </c>
      <c r="H79" s="125">
        <f>ROUND(G79*Valores!$C$2,2)</f>
        <v>73053.75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15869.4</v>
      </c>
      <c r="N79" s="125">
        <f t="shared" si="11"/>
        <v>0</v>
      </c>
      <c r="O79" s="125">
        <f>Valores!$C$9</f>
        <v>44305.44</v>
      </c>
      <c r="P79" s="125">
        <f>Valores!$D$5</f>
        <v>18023.69</v>
      </c>
      <c r="Q79" s="125">
        <f>Valores!$C$22</f>
        <v>16079.99</v>
      </c>
      <c r="R79" s="125">
        <f>IF($F$4="NO",Valores!$C$45,Valores!$C$45/2)</f>
        <v>13220.87</v>
      </c>
      <c r="S79" s="125">
        <f>Valores!$C$19</f>
        <v>16771.31</v>
      </c>
      <c r="T79" s="125">
        <f t="shared" si="17"/>
        <v>16771.31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31457.27</v>
      </c>
      <c r="AA79" s="125">
        <f>Valores!$C$25</f>
        <v>737.18</v>
      </c>
      <c r="AB79" s="214">
        <v>0</v>
      </c>
      <c r="AC79" s="125">
        <f t="shared" si="12"/>
        <v>0</v>
      </c>
      <c r="AD79" s="125">
        <f>Valores!$C$26</f>
        <v>737.18</v>
      </c>
      <c r="AE79" s="192">
        <v>0</v>
      </c>
      <c r="AF79" s="125">
        <f>ROUND(AE79*Valores!$C$2,2)</f>
        <v>0</v>
      </c>
      <c r="AG79" s="125">
        <f>ROUND(IF($F$4="NO",Valores!$C$63,Valores!$C$63/2),2)</f>
        <v>8427.87</v>
      </c>
      <c r="AH79" s="125">
        <f t="shared" si="15"/>
        <v>241434.03999999995</v>
      </c>
      <c r="AI79" s="125">
        <f>Valores!$C$31</f>
        <v>0</v>
      </c>
      <c r="AJ79" s="125">
        <f>Valores!$C$88</f>
        <v>0</v>
      </c>
      <c r="AK79" s="125">
        <f>Valores!C$38*B79</f>
        <v>0</v>
      </c>
      <c r="AL79" s="125">
        <f>IF($F$3="NO",0,Valores!$C$56)</f>
        <v>0</v>
      </c>
      <c r="AM79" s="125">
        <f t="shared" si="13"/>
        <v>0</v>
      </c>
      <c r="AN79" s="125">
        <f>AH79*Valores!$C$71</f>
        <v>-26557.744399999996</v>
      </c>
      <c r="AO79" s="125">
        <f>AH79*-Valores!$C$72</f>
        <v>0</v>
      </c>
      <c r="AP79" s="125">
        <f>AH79*Valores!$C$73</f>
        <v>-10864.531799999997</v>
      </c>
      <c r="AQ79" s="125">
        <f>Valores!$C$100</f>
        <v>-554.86</v>
      </c>
      <c r="AR79" s="125">
        <f>IF($F$5=0,Valores!$C$101,(Valores!$C$101+$F$5*(Valores!$C$101)))</f>
        <v>-550</v>
      </c>
      <c r="AS79" s="125">
        <f t="shared" si="16"/>
        <v>202906.90379999997</v>
      </c>
      <c r="AT79" s="125">
        <f t="shared" si="10"/>
        <v>-26557.744399999996</v>
      </c>
      <c r="AU79" s="125">
        <f>AH79*Valores!$C$74</f>
        <v>-6518.719079999999</v>
      </c>
      <c r="AV79" s="125">
        <f>AH79*Valores!$C$75</f>
        <v>-724.3021199999998</v>
      </c>
      <c r="AW79" s="125">
        <f t="shared" si="14"/>
        <v>207633.27439999997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2750.09</v>
      </c>
      <c r="G80" s="192">
        <v>1770</v>
      </c>
      <c r="H80" s="125">
        <f>ROUND(G80*Valores!$C$2,2)</f>
        <v>62405.95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14272.23</v>
      </c>
      <c r="N80" s="125">
        <f t="shared" si="11"/>
        <v>0</v>
      </c>
      <c r="O80" s="125">
        <f>Valores!$C$9</f>
        <v>44305.44</v>
      </c>
      <c r="P80" s="125">
        <f>Valores!$D$5</f>
        <v>18023.69</v>
      </c>
      <c r="Q80" s="125">
        <f>Valores!$C$22</f>
        <v>16079.99</v>
      </c>
      <c r="R80" s="125">
        <f>IF($F$4="NO",Valores!$C$45,Valores!$C$45/2)</f>
        <v>13220.87</v>
      </c>
      <c r="S80" s="125">
        <f>Valores!$C$19</f>
        <v>16771.31</v>
      </c>
      <c r="T80" s="125">
        <f t="shared" si="17"/>
        <v>16771.31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31457.27</v>
      </c>
      <c r="AA80" s="125">
        <f>Valores!$C$25</f>
        <v>737.18</v>
      </c>
      <c r="AB80" s="214">
        <v>0</v>
      </c>
      <c r="AC80" s="125">
        <f t="shared" si="12"/>
        <v>0</v>
      </c>
      <c r="AD80" s="125">
        <f>Valores!$C$26</f>
        <v>737.18</v>
      </c>
      <c r="AE80" s="192">
        <v>0</v>
      </c>
      <c r="AF80" s="125">
        <f>ROUND(AE80*Valores!$C$2,2)</f>
        <v>0</v>
      </c>
      <c r="AG80" s="125">
        <f>ROUND(IF($F$4="NO",Valores!$C$63,Valores!$C$63/2),2)</f>
        <v>8427.87</v>
      </c>
      <c r="AH80" s="125">
        <f t="shared" si="15"/>
        <v>229189.06999999995</v>
      </c>
      <c r="AI80" s="125">
        <f>Valores!$C$31</f>
        <v>0</v>
      </c>
      <c r="AJ80" s="125">
        <f>Valores!$C$88</f>
        <v>0</v>
      </c>
      <c r="AK80" s="125">
        <f>Valores!C$38*B80</f>
        <v>0</v>
      </c>
      <c r="AL80" s="125">
        <f>IF($F$3="NO",0,Valores!$C$56)</f>
        <v>0</v>
      </c>
      <c r="AM80" s="125">
        <f t="shared" si="13"/>
        <v>0</v>
      </c>
      <c r="AN80" s="125">
        <f>AH80*Valores!$C$71</f>
        <v>-25210.797699999996</v>
      </c>
      <c r="AO80" s="125">
        <f>AH80*-Valores!$C$72</f>
        <v>0</v>
      </c>
      <c r="AP80" s="125">
        <f>AH80*Valores!$C$73</f>
        <v>-10313.508149999998</v>
      </c>
      <c r="AQ80" s="125">
        <f>Valores!$C$100</f>
        <v>-554.86</v>
      </c>
      <c r="AR80" s="125">
        <f>IF($F$5=0,Valores!$C$101,(Valores!$C$101+$F$5*(Valores!$C$101)))</f>
        <v>-550</v>
      </c>
      <c r="AS80" s="125">
        <f t="shared" si="16"/>
        <v>192559.90414999996</v>
      </c>
      <c r="AT80" s="125">
        <f t="shared" si="10"/>
        <v>-25210.797699999996</v>
      </c>
      <c r="AU80" s="125">
        <f>AH80*Valores!$C$74</f>
        <v>-6188.104889999999</v>
      </c>
      <c r="AV80" s="125">
        <f>AH80*Valores!$C$75</f>
        <v>-687.5672099999998</v>
      </c>
      <c r="AW80" s="125">
        <f t="shared" si="14"/>
        <v>197102.60019999996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2714.84</v>
      </c>
      <c r="G81" s="192">
        <v>2073</v>
      </c>
      <c r="H81" s="125">
        <f>ROUND(G81*Valores!$C$2,2)</f>
        <v>73089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15869.4</v>
      </c>
      <c r="N81" s="125">
        <f t="shared" si="11"/>
        <v>0</v>
      </c>
      <c r="O81" s="125">
        <f>Valores!$C$9</f>
        <v>44305.44</v>
      </c>
      <c r="P81" s="125">
        <f>Valores!$D$5</f>
        <v>18023.69</v>
      </c>
      <c r="Q81" s="125">
        <f>Valores!$C$22</f>
        <v>16079.99</v>
      </c>
      <c r="R81" s="125">
        <f>IF($F$4="NO",Valores!$C$45,Valores!$C$45/2)</f>
        <v>13220.87</v>
      </c>
      <c r="S81" s="125">
        <f>Valores!$C$19</f>
        <v>16771.31</v>
      </c>
      <c r="T81" s="125">
        <f t="shared" si="17"/>
        <v>16771.31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31457.27</v>
      </c>
      <c r="AA81" s="125">
        <f>Valores!$C$25</f>
        <v>737.18</v>
      </c>
      <c r="AB81" s="214">
        <v>0</v>
      </c>
      <c r="AC81" s="125">
        <f t="shared" si="12"/>
        <v>0</v>
      </c>
      <c r="AD81" s="125">
        <f>Valores!$C$26</f>
        <v>737.18</v>
      </c>
      <c r="AE81" s="192">
        <v>0</v>
      </c>
      <c r="AF81" s="125">
        <f>ROUND(AE81*Valores!$C$2,2)</f>
        <v>0</v>
      </c>
      <c r="AG81" s="125">
        <f>ROUND(IF($F$4="NO",Valores!$C$63,Valores!$C$63/2),2)</f>
        <v>8427.87</v>
      </c>
      <c r="AH81" s="125">
        <f t="shared" si="15"/>
        <v>241434.03999999995</v>
      </c>
      <c r="AI81" s="125">
        <f>Valores!$C$31</f>
        <v>0</v>
      </c>
      <c r="AJ81" s="125">
        <f>Valores!$C$88</f>
        <v>0</v>
      </c>
      <c r="AK81" s="125">
        <f>Valores!C$38*B81</f>
        <v>0</v>
      </c>
      <c r="AL81" s="125">
        <f>IF($F$3="NO",0,Valores!$C$56)</f>
        <v>0</v>
      </c>
      <c r="AM81" s="125">
        <f t="shared" si="13"/>
        <v>0</v>
      </c>
      <c r="AN81" s="125">
        <f>AH81*Valores!$C$71</f>
        <v>-26557.744399999996</v>
      </c>
      <c r="AO81" s="125">
        <f>AH81*-Valores!$C$72</f>
        <v>0</v>
      </c>
      <c r="AP81" s="125">
        <f>AH81*Valores!$C$73</f>
        <v>-10864.531799999997</v>
      </c>
      <c r="AQ81" s="125">
        <f>Valores!$C$100</f>
        <v>-554.86</v>
      </c>
      <c r="AR81" s="125">
        <f>IF($F$5=0,Valores!$C$101,(Valores!$C$101+$F$5*(Valores!$C$101)))</f>
        <v>-550</v>
      </c>
      <c r="AS81" s="125">
        <f t="shared" si="16"/>
        <v>202906.90379999997</v>
      </c>
      <c r="AT81" s="125">
        <f t="shared" si="10"/>
        <v>-26557.744399999996</v>
      </c>
      <c r="AU81" s="125">
        <f>AH81*Valores!$C$74</f>
        <v>-6518.719079999999</v>
      </c>
      <c r="AV81" s="125">
        <f>AH81*Valores!$C$75</f>
        <v>-724.3021199999998</v>
      </c>
      <c r="AW81" s="125">
        <f t="shared" si="14"/>
        <v>207633.27439999997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2679.58</v>
      </c>
      <c r="G82" s="192">
        <v>1872</v>
      </c>
      <c r="H82" s="125">
        <f>ROUND(G82*Valores!$C$2,2)</f>
        <v>66002.23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14801.1</v>
      </c>
      <c r="N82" s="125">
        <f t="shared" si="11"/>
        <v>0</v>
      </c>
      <c r="O82" s="125">
        <f>Valores!$C$9</f>
        <v>44305.44</v>
      </c>
      <c r="P82" s="125">
        <f>Valores!$D$5</f>
        <v>18023.69</v>
      </c>
      <c r="Q82" s="125">
        <v>0</v>
      </c>
      <c r="R82" s="125">
        <f>IF($F$4="NO",Valores!$C$45,Valores!$C$45/2)</f>
        <v>13220.87</v>
      </c>
      <c r="S82" s="125">
        <f>Valores!$C$19</f>
        <v>16771.31</v>
      </c>
      <c r="T82" s="125">
        <f t="shared" si="17"/>
        <v>16771.31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31457.27</v>
      </c>
      <c r="AA82" s="125">
        <f>Valores!$C$25</f>
        <v>737.18</v>
      </c>
      <c r="AB82" s="214">
        <v>0</v>
      </c>
      <c r="AC82" s="125">
        <f t="shared" si="12"/>
        <v>0</v>
      </c>
      <c r="AD82" s="125">
        <f>Valores!$C$26</f>
        <v>737.18</v>
      </c>
      <c r="AE82" s="192">
        <v>0</v>
      </c>
      <c r="AF82" s="125">
        <f>ROUND(AE82*Valores!$C$2,2)</f>
        <v>0</v>
      </c>
      <c r="AG82" s="125">
        <f>ROUND(IF($F$4="NO",Valores!$C$63,Valores!$C$63/2),2)</f>
        <v>8427.87</v>
      </c>
      <c r="AH82" s="125">
        <f t="shared" si="15"/>
        <v>217163.71999999997</v>
      </c>
      <c r="AI82" s="125">
        <f>Valores!$C$31</f>
        <v>0</v>
      </c>
      <c r="AJ82" s="125">
        <f>Valores!$C$88</f>
        <v>0</v>
      </c>
      <c r="AK82" s="125">
        <f>Valores!C$38*B82</f>
        <v>0</v>
      </c>
      <c r="AL82" s="125">
        <f>IF($F$3="NO",0,Valores!$C$56)</f>
        <v>0</v>
      </c>
      <c r="AM82" s="125">
        <f t="shared" si="13"/>
        <v>0</v>
      </c>
      <c r="AN82" s="125">
        <f>AH82*Valores!$C$71</f>
        <v>-23888.009199999997</v>
      </c>
      <c r="AO82" s="125">
        <f>AH82*-Valores!$C$72</f>
        <v>0</v>
      </c>
      <c r="AP82" s="125">
        <f>AH82*Valores!$C$73</f>
        <v>-9772.3674</v>
      </c>
      <c r="AQ82" s="125">
        <f>Valores!$C$100</f>
        <v>-554.86</v>
      </c>
      <c r="AR82" s="125">
        <f>IF($F$5=0,Valores!$C$101,(Valores!$C$101+$F$5*(Valores!$C$101)))</f>
        <v>-550</v>
      </c>
      <c r="AS82" s="125">
        <f t="shared" si="16"/>
        <v>182398.48339999997</v>
      </c>
      <c r="AT82" s="125">
        <f t="shared" si="10"/>
        <v>-23888.009199999997</v>
      </c>
      <c r="AU82" s="125">
        <f>AH82*Valores!$C$74</f>
        <v>-5863.420439999999</v>
      </c>
      <c r="AV82" s="125">
        <f>AH82*Valores!$C$75</f>
        <v>-651.4911599999999</v>
      </c>
      <c r="AW82" s="125">
        <f t="shared" si="14"/>
        <v>186760.79919999998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2644.32</v>
      </c>
      <c r="G83" s="192">
        <v>1873</v>
      </c>
      <c r="H83" s="125">
        <f>ROUND(G83*Valores!$C$2,2)</f>
        <v>66037.48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14801.1</v>
      </c>
      <c r="N83" s="125">
        <f t="shared" si="11"/>
        <v>0</v>
      </c>
      <c r="O83" s="125">
        <f>Valores!$C$9</f>
        <v>44305.44</v>
      </c>
      <c r="P83" s="125">
        <f>Valores!$D$5</f>
        <v>18023.69</v>
      </c>
      <c r="Q83" s="125">
        <f>Valores!$C$22</f>
        <v>16079.99</v>
      </c>
      <c r="R83" s="125">
        <f>IF($F$4="NO",Valores!$C$45,Valores!$C$45/2)</f>
        <v>13220.87</v>
      </c>
      <c r="S83" s="125">
        <f>Valores!$C$19</f>
        <v>16771.31</v>
      </c>
      <c r="T83" s="125">
        <f t="shared" si="17"/>
        <v>16771.31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31457.27</v>
      </c>
      <c r="AA83" s="125">
        <f>Valores!$C$25</f>
        <v>737.18</v>
      </c>
      <c r="AB83" s="214">
        <v>0</v>
      </c>
      <c r="AC83" s="125">
        <f t="shared" si="12"/>
        <v>0</v>
      </c>
      <c r="AD83" s="125">
        <f>Valores!$C$26</f>
        <v>737.18</v>
      </c>
      <c r="AE83" s="192">
        <v>0</v>
      </c>
      <c r="AF83" s="125">
        <f>ROUND(AE83*Valores!$C$2,2)</f>
        <v>0</v>
      </c>
      <c r="AG83" s="125">
        <f>ROUND(IF($F$4="NO",Valores!$C$63,Valores!$C$63/2),2)</f>
        <v>8427.87</v>
      </c>
      <c r="AH83" s="125">
        <f t="shared" si="15"/>
        <v>233243.69999999995</v>
      </c>
      <c r="AI83" s="125">
        <f>Valores!$C$31</f>
        <v>0</v>
      </c>
      <c r="AJ83" s="125">
        <f>Valores!$C$88</f>
        <v>0</v>
      </c>
      <c r="AK83" s="125">
        <f>Valores!C$38*B83</f>
        <v>0</v>
      </c>
      <c r="AL83" s="125">
        <f>IF($F$3="NO",0,Valores!$C$56)</f>
        <v>0</v>
      </c>
      <c r="AM83" s="125">
        <f t="shared" si="13"/>
        <v>0</v>
      </c>
      <c r="AN83" s="125">
        <f>AH83*Valores!$C$71</f>
        <v>-25656.806999999993</v>
      </c>
      <c r="AO83" s="125">
        <f>AH83*-Valores!$C$72</f>
        <v>0</v>
      </c>
      <c r="AP83" s="125">
        <f>AH83*Valores!$C$73</f>
        <v>-10495.966499999997</v>
      </c>
      <c r="AQ83" s="125">
        <f>Valores!$C$100</f>
        <v>-554.86</v>
      </c>
      <c r="AR83" s="125">
        <f>IF($F$5=0,Valores!$C$101,(Valores!$C$101+$F$5*(Valores!$C$101)))</f>
        <v>-550</v>
      </c>
      <c r="AS83" s="125">
        <f t="shared" si="16"/>
        <v>195986.06649999996</v>
      </c>
      <c r="AT83" s="125">
        <f t="shared" si="10"/>
        <v>-25656.806999999993</v>
      </c>
      <c r="AU83" s="125">
        <f>AH83*Valores!$C$74</f>
        <v>-6297.579899999999</v>
      </c>
      <c r="AV83" s="125">
        <f>AH83*Valores!$C$75</f>
        <v>-699.7310999999999</v>
      </c>
      <c r="AW83" s="125">
        <f t="shared" si="14"/>
        <v>200589.58199999997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2679.58</v>
      </c>
      <c r="G84" s="192">
        <v>1752</v>
      </c>
      <c r="H84" s="125">
        <f>ROUND(G84*Valores!$C$2,2)</f>
        <v>61771.32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14061.46</v>
      </c>
      <c r="N84" s="125">
        <f t="shared" si="11"/>
        <v>0</v>
      </c>
      <c r="O84" s="125">
        <f>Valores!$C$8</f>
        <v>44191.25</v>
      </c>
      <c r="P84" s="125">
        <f>Valores!$D$5</f>
        <v>18023.69</v>
      </c>
      <c r="Q84" s="125">
        <f>Valores!$C$22</f>
        <v>16079.99</v>
      </c>
      <c r="R84" s="125">
        <f>IF($F$4="NO",Valores!$C$44,Valores!$C$44/2)</f>
        <v>12520.87</v>
      </c>
      <c r="S84" s="125">
        <f>Valores!$C$19</f>
        <v>16771.31</v>
      </c>
      <c r="T84" s="125">
        <f t="shared" si="17"/>
        <v>16771.31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26214.39</v>
      </c>
      <c r="AA84" s="125">
        <f>Valores!$C$25</f>
        <v>737.18</v>
      </c>
      <c r="AB84" s="214">
        <v>0</v>
      </c>
      <c r="AC84" s="125">
        <f t="shared" si="12"/>
        <v>0</v>
      </c>
      <c r="AD84" s="125">
        <f>Valores!$C$26</f>
        <v>737.18</v>
      </c>
      <c r="AE84" s="192">
        <v>0</v>
      </c>
      <c r="AF84" s="125">
        <f>ROUND(AE84*Valores!$C$2,2)</f>
        <v>0</v>
      </c>
      <c r="AG84" s="125">
        <f>ROUND(IF($F$4="NO",Valores!$C$63,Valores!$C$63/2),2)</f>
        <v>8427.87</v>
      </c>
      <c r="AH84" s="125">
        <f t="shared" si="15"/>
        <v>222216.08999999997</v>
      </c>
      <c r="AI84" s="125">
        <f>Valores!$C$31</f>
        <v>0</v>
      </c>
      <c r="AJ84" s="125">
        <f>Valores!$C$87</f>
        <v>0</v>
      </c>
      <c r="AK84" s="125">
        <f>Valores!C$38*B84</f>
        <v>0</v>
      </c>
      <c r="AL84" s="125">
        <f>IF($F$3="NO",0,Valores!$C$56)</f>
        <v>0</v>
      </c>
      <c r="AM84" s="125">
        <f t="shared" si="13"/>
        <v>0</v>
      </c>
      <c r="AN84" s="125">
        <f>AH84*Valores!$C$71</f>
        <v>-24443.769899999996</v>
      </c>
      <c r="AO84" s="125">
        <f>AH84*-Valores!$C$72</f>
        <v>0</v>
      </c>
      <c r="AP84" s="125">
        <f>AH84*Valores!$C$73</f>
        <v>-9999.724049999999</v>
      </c>
      <c r="AQ84" s="125">
        <f>Valores!$C$100</f>
        <v>-554.86</v>
      </c>
      <c r="AR84" s="125">
        <f>IF($F$5=0,Valores!$C$101,(Valores!$C$101+$F$5*(Valores!$C$101)))</f>
        <v>-550</v>
      </c>
      <c r="AS84" s="125">
        <f t="shared" si="16"/>
        <v>186667.73604999998</v>
      </c>
      <c r="AT84" s="125">
        <f t="shared" si="10"/>
        <v>-24443.769899999996</v>
      </c>
      <c r="AU84" s="125">
        <f>AH84*Valores!$C$74</f>
        <v>-5999.834429999999</v>
      </c>
      <c r="AV84" s="125">
        <f>AH84*Valores!$C$75</f>
        <v>-666.6482699999999</v>
      </c>
      <c r="AW84" s="125">
        <f t="shared" si="14"/>
        <v>191105.83739999996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2750.09</v>
      </c>
      <c r="G85" s="192">
        <v>1770</v>
      </c>
      <c r="H85" s="125">
        <f>ROUND(G85*Valores!$C$2,2)</f>
        <v>62405.95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14061.41</v>
      </c>
      <c r="N85" s="125">
        <f t="shared" si="11"/>
        <v>0</v>
      </c>
      <c r="O85" s="125">
        <f>Valores!$C$10</f>
        <v>36080.5</v>
      </c>
      <c r="P85" s="125">
        <f>Valores!$D$5</f>
        <v>18023.69</v>
      </c>
      <c r="Q85" s="125">
        <f>Valores!$C$22</f>
        <v>16079.99</v>
      </c>
      <c r="R85" s="125">
        <f>IF($F$4="NO",Valores!$C$43,Valores!$C$43/2)</f>
        <v>11815.4</v>
      </c>
      <c r="S85" s="125">
        <f>Valores!$C$19</f>
        <v>16771.31</v>
      </c>
      <c r="T85" s="125">
        <f t="shared" si="17"/>
        <v>16771.31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26214.39</v>
      </c>
      <c r="AA85" s="125">
        <f>Valores!$C$25</f>
        <v>737.18</v>
      </c>
      <c r="AB85" s="214">
        <v>0</v>
      </c>
      <c r="AC85" s="125">
        <f t="shared" si="12"/>
        <v>0</v>
      </c>
      <c r="AD85" s="125">
        <f>Valores!$C$26</f>
        <v>737.18</v>
      </c>
      <c r="AE85" s="192">
        <v>0</v>
      </c>
      <c r="AF85" s="125">
        <f>ROUND(AE85*Valores!$C$2,2)</f>
        <v>0</v>
      </c>
      <c r="AG85" s="125">
        <f>ROUND(IF($F$4="NO",Valores!$C$63,Valores!$C$63/2),2)</f>
        <v>8427.87</v>
      </c>
      <c r="AH85" s="125">
        <f t="shared" si="15"/>
        <v>214104.95999999996</v>
      </c>
      <c r="AI85" s="125">
        <f>Valores!$C$31</f>
        <v>0</v>
      </c>
      <c r="AJ85" s="125">
        <f>Valores!$C$87</f>
        <v>0</v>
      </c>
      <c r="AK85" s="125">
        <f>Valores!C$38*B85</f>
        <v>0</v>
      </c>
      <c r="AL85" s="125">
        <f>IF($F$3="NO",0,Valores!$C$56)</f>
        <v>0</v>
      </c>
      <c r="AM85" s="125">
        <f t="shared" si="13"/>
        <v>0</v>
      </c>
      <c r="AN85" s="125">
        <f>AH85*Valores!$C$71</f>
        <v>-23551.545599999998</v>
      </c>
      <c r="AO85" s="125">
        <f>AH85*-Valores!$C$72</f>
        <v>0</v>
      </c>
      <c r="AP85" s="125">
        <f>AH85*Valores!$C$73</f>
        <v>-9634.723199999999</v>
      </c>
      <c r="AQ85" s="125">
        <f>Valores!$C$100</f>
        <v>-554.86</v>
      </c>
      <c r="AR85" s="125">
        <f>IF($F$5=0,Valores!$C$101,(Valores!$C$101+$F$5*(Valores!$C$101)))</f>
        <v>-550</v>
      </c>
      <c r="AS85" s="125">
        <f t="shared" si="16"/>
        <v>179813.83119999996</v>
      </c>
      <c r="AT85" s="125">
        <f t="shared" si="10"/>
        <v>-23551.545599999998</v>
      </c>
      <c r="AU85" s="125">
        <f>AH85*Valores!$C$74</f>
        <v>-5780.833919999999</v>
      </c>
      <c r="AV85" s="125">
        <f>AH85*Valores!$C$75</f>
        <v>-642.3148799999999</v>
      </c>
      <c r="AW85" s="125">
        <f t="shared" si="14"/>
        <v>184130.26559999998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2679.58</v>
      </c>
      <c r="G86" s="192">
        <v>1872</v>
      </c>
      <c r="H86" s="125">
        <f>ROUND(G86*Valores!$C$2,2)</f>
        <v>66002.23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14590.28</v>
      </c>
      <c r="N86" s="125">
        <f t="shared" si="11"/>
        <v>0</v>
      </c>
      <c r="O86" s="125">
        <f>Valores!$C$10</f>
        <v>36080.5</v>
      </c>
      <c r="P86" s="125">
        <f>Valores!$D$5</f>
        <v>18023.69</v>
      </c>
      <c r="Q86" s="125">
        <v>0</v>
      </c>
      <c r="R86" s="125">
        <f>IF($F$4="NO",Valores!$C$43,Valores!$C$43/2)</f>
        <v>11815.4</v>
      </c>
      <c r="S86" s="125">
        <f>Valores!$C$19</f>
        <v>16771.31</v>
      </c>
      <c r="T86" s="125">
        <f t="shared" si="17"/>
        <v>16771.31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26214.39</v>
      </c>
      <c r="AA86" s="125">
        <f>Valores!$C$25</f>
        <v>737.18</v>
      </c>
      <c r="AB86" s="214">
        <v>0</v>
      </c>
      <c r="AC86" s="125">
        <f t="shared" si="12"/>
        <v>0</v>
      </c>
      <c r="AD86" s="125">
        <f>Valores!$C$26</f>
        <v>737.18</v>
      </c>
      <c r="AE86" s="192">
        <v>0</v>
      </c>
      <c r="AF86" s="125">
        <f>ROUND(AE86*Valores!$C$2,2)</f>
        <v>0</v>
      </c>
      <c r="AG86" s="125">
        <f>ROUND(IF($F$4="NO",Valores!$C$63,Valores!$C$63/2),2)</f>
        <v>8427.87</v>
      </c>
      <c r="AH86" s="125">
        <f t="shared" si="15"/>
        <v>202079.61</v>
      </c>
      <c r="AI86" s="125">
        <f>Valores!$C$31</f>
        <v>0</v>
      </c>
      <c r="AJ86" s="125">
        <f>Valores!$C$87</f>
        <v>0</v>
      </c>
      <c r="AK86" s="125">
        <f>Valores!C$38*B86</f>
        <v>0</v>
      </c>
      <c r="AL86" s="125">
        <f>IF($F$3="NO",0,Valores!$C$56)</f>
        <v>0</v>
      </c>
      <c r="AM86" s="125">
        <f t="shared" si="13"/>
        <v>0</v>
      </c>
      <c r="AN86" s="125">
        <f>AH86*Valores!$C$71</f>
        <v>-22228.7571</v>
      </c>
      <c r="AO86" s="125">
        <f>AH86*-Valores!$C$72</f>
        <v>0</v>
      </c>
      <c r="AP86" s="125">
        <f>AH86*Valores!$C$73</f>
        <v>-9093.58245</v>
      </c>
      <c r="AQ86" s="125">
        <f>Valores!$C$100</f>
        <v>-554.86</v>
      </c>
      <c r="AR86" s="125">
        <f>IF($F$5=0,Valores!$C$101,(Valores!$C$101+$F$5*(Valores!$C$101)))</f>
        <v>-550</v>
      </c>
      <c r="AS86" s="125">
        <f t="shared" si="16"/>
        <v>169652.41045</v>
      </c>
      <c r="AT86" s="125">
        <f t="shared" si="10"/>
        <v>-22228.7571</v>
      </c>
      <c r="AU86" s="125">
        <f>AH86*Valores!$C$74</f>
        <v>-5456.149469999999</v>
      </c>
      <c r="AV86" s="125">
        <f>AH86*Valores!$C$75</f>
        <v>-606.23883</v>
      </c>
      <c r="AW86" s="125">
        <f t="shared" si="14"/>
        <v>173788.46459999998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5958.53</v>
      </c>
      <c r="G87" s="192">
        <f>1997</f>
        <v>1997</v>
      </c>
      <c r="H87" s="125">
        <f>ROUND(G87*Valores!$C$2,2)</f>
        <v>70409.43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15849.02</v>
      </c>
      <c r="N87" s="125">
        <f t="shared" si="11"/>
        <v>0</v>
      </c>
      <c r="O87" s="125">
        <f>Valores!$C$9</f>
        <v>44305.44</v>
      </c>
      <c r="P87" s="125">
        <f>Valores!$D$5</f>
        <v>18023.69</v>
      </c>
      <c r="Q87" s="125">
        <f>Valores!$C$22</f>
        <v>16079.99</v>
      </c>
      <c r="R87" s="125">
        <f>IF($F$4="NO",Valores!$C$44,Valores!$C$44/2)</f>
        <v>12520.87</v>
      </c>
      <c r="S87" s="125">
        <f>Valores!$C$19</f>
        <v>16771.31</v>
      </c>
      <c r="T87" s="125">
        <f t="shared" si="17"/>
        <v>16771.31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26214.39</v>
      </c>
      <c r="AA87" s="125">
        <f>Valores!$C$25</f>
        <v>737.18</v>
      </c>
      <c r="AB87" s="214">
        <v>0</v>
      </c>
      <c r="AC87" s="125">
        <f t="shared" si="12"/>
        <v>0</v>
      </c>
      <c r="AD87" s="125">
        <f>Valores!$C$26</f>
        <v>737.18</v>
      </c>
      <c r="AE87" s="192">
        <v>0</v>
      </c>
      <c r="AF87" s="125">
        <f>ROUND(AE87*Valores!$C$2,2)</f>
        <v>0</v>
      </c>
      <c r="AG87" s="125">
        <f>ROUND(IF($F$4="NO",Valores!$C$63,Valores!$C$63/2),2)</f>
        <v>8427.87</v>
      </c>
      <c r="AH87" s="125">
        <f t="shared" si="15"/>
        <v>236034.89999999997</v>
      </c>
      <c r="AI87" s="125">
        <f>Valores!$C$31</f>
        <v>0</v>
      </c>
      <c r="AJ87" s="125">
        <f>Valores!$C$87</f>
        <v>0</v>
      </c>
      <c r="AK87" s="125">
        <f>Valores!C$38*B87</f>
        <v>0</v>
      </c>
      <c r="AL87" s="125">
        <f>IF($F$3="NO",0,Valores!$C$56)</f>
        <v>0</v>
      </c>
      <c r="AM87" s="125">
        <f t="shared" si="13"/>
        <v>0</v>
      </c>
      <c r="AN87" s="125">
        <f>AH87*Valores!$C$71</f>
        <v>-25963.838999999996</v>
      </c>
      <c r="AO87" s="125">
        <f>AH87*-Valores!$C$72</f>
        <v>0</v>
      </c>
      <c r="AP87" s="125">
        <f>AH87*Valores!$C$73</f>
        <v>-10621.570499999998</v>
      </c>
      <c r="AQ87" s="125">
        <f>Valores!$C$100</f>
        <v>-554.86</v>
      </c>
      <c r="AR87" s="125">
        <f>IF($F$5=0,Valores!$C$101,(Valores!$C$101+$F$5*(Valores!$C$101)))</f>
        <v>-550</v>
      </c>
      <c r="AS87" s="125">
        <f t="shared" si="16"/>
        <v>198344.63049999997</v>
      </c>
      <c r="AT87" s="125">
        <f t="shared" si="10"/>
        <v>-25963.838999999996</v>
      </c>
      <c r="AU87" s="125">
        <f>AH87*Valores!$C$74</f>
        <v>-6372.942299999999</v>
      </c>
      <c r="AV87" s="125">
        <f>AH87*Valores!$C$75</f>
        <v>-708.1046999999999</v>
      </c>
      <c r="AW87" s="125">
        <f t="shared" si="14"/>
        <v>202990.01399999997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7686.16</v>
      </c>
      <c r="G88" s="192">
        <f>1997</f>
        <v>1997</v>
      </c>
      <c r="H88" s="125">
        <f>ROUND(G88*Valores!$C$2,2)</f>
        <v>70409.43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16108.17</v>
      </c>
      <c r="N88" s="125">
        <f t="shared" si="11"/>
        <v>0</v>
      </c>
      <c r="O88" s="125">
        <f>Valores!$C$15</f>
        <v>50944.6</v>
      </c>
      <c r="P88" s="125">
        <f>Valores!$D$5</f>
        <v>18023.69</v>
      </c>
      <c r="Q88" s="125">
        <f>Valores!$C$22</f>
        <v>16079.99</v>
      </c>
      <c r="R88" s="125">
        <f>IF($F$4="NO",Valores!$C$44,Valores!$C$44/2)</f>
        <v>12520.87</v>
      </c>
      <c r="S88" s="125">
        <f>Valores!$C$19</f>
        <v>16771.31</v>
      </c>
      <c r="T88" s="125">
        <f t="shared" si="17"/>
        <v>16771.31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26214.39</v>
      </c>
      <c r="AA88" s="125">
        <f>Valores!$C$25</f>
        <v>737.18</v>
      </c>
      <c r="AB88" s="214">
        <v>0</v>
      </c>
      <c r="AC88" s="125">
        <f t="shared" si="12"/>
        <v>0</v>
      </c>
      <c r="AD88" s="125">
        <f>Valores!$C$26</f>
        <v>737.18</v>
      </c>
      <c r="AE88" s="192">
        <v>0</v>
      </c>
      <c r="AF88" s="125">
        <f>ROUND(AE88*Valores!$C$2,2)</f>
        <v>0</v>
      </c>
      <c r="AG88" s="125">
        <f>ROUND(IF($F$4="NO",Valores!$C$63,Valores!$C$63/2),2)</f>
        <v>8427.87</v>
      </c>
      <c r="AH88" s="125">
        <f t="shared" si="15"/>
        <v>244660.83999999997</v>
      </c>
      <c r="AI88" s="125">
        <f>Valores!$C$31</f>
        <v>0</v>
      </c>
      <c r="AJ88" s="125">
        <f>Valores!$C$87</f>
        <v>0</v>
      </c>
      <c r="AK88" s="125">
        <f>Valores!C$38*B88</f>
        <v>0</v>
      </c>
      <c r="AL88" s="125">
        <f>IF($F$3="NO",0,Valores!$C$56)</f>
        <v>0</v>
      </c>
      <c r="AM88" s="125">
        <f t="shared" si="13"/>
        <v>0</v>
      </c>
      <c r="AN88" s="125">
        <f>AH88*Valores!$C$71</f>
        <v>-26912.692399999996</v>
      </c>
      <c r="AO88" s="125">
        <f>AH88*-Valores!$C$72</f>
        <v>0</v>
      </c>
      <c r="AP88" s="125">
        <f>AH88*Valores!$C$73</f>
        <v>-11009.737799999999</v>
      </c>
      <c r="AQ88" s="125">
        <f>Valores!$C$100</f>
        <v>-554.86</v>
      </c>
      <c r="AR88" s="125">
        <f>IF($F$5=0,Valores!$C$101,(Valores!$C$101+$F$5*(Valores!$C$101)))</f>
        <v>-550</v>
      </c>
      <c r="AS88" s="125">
        <f t="shared" si="16"/>
        <v>205633.54979999998</v>
      </c>
      <c r="AT88" s="125">
        <f t="shared" si="10"/>
        <v>-26912.692399999996</v>
      </c>
      <c r="AU88" s="125">
        <f>AH88*Valores!$C$74</f>
        <v>-6605.842679999999</v>
      </c>
      <c r="AV88" s="125">
        <f>AH88*Valores!$C$75</f>
        <v>-733.9825199999999</v>
      </c>
      <c r="AW88" s="125">
        <f t="shared" si="14"/>
        <v>210408.32239999998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7686.16</v>
      </c>
      <c r="G89" s="192">
        <f>1997</f>
        <v>1997</v>
      </c>
      <c r="H89" s="125">
        <f>ROUND(G89*Valores!$C$2,2)</f>
        <v>70409.43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16108.17</v>
      </c>
      <c r="N89" s="125">
        <f t="shared" si="11"/>
        <v>0</v>
      </c>
      <c r="O89" s="125">
        <f>Valores!$C$15</f>
        <v>50944.6</v>
      </c>
      <c r="P89" s="125">
        <f>Valores!$D$5</f>
        <v>18023.69</v>
      </c>
      <c r="Q89" s="125">
        <f>Valores!$C$22</f>
        <v>16079.99</v>
      </c>
      <c r="R89" s="125">
        <f>IF($F$4="NO",Valores!$C$44,Valores!$C$44/2)</f>
        <v>12520.87</v>
      </c>
      <c r="S89" s="125">
        <f>Valores!$C$19</f>
        <v>16771.31</v>
      </c>
      <c r="T89" s="125">
        <f t="shared" si="17"/>
        <v>16771.31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26214.39</v>
      </c>
      <c r="AA89" s="125">
        <f>Valores!$C$25</f>
        <v>737.18</v>
      </c>
      <c r="AB89" s="214">
        <v>0</v>
      </c>
      <c r="AC89" s="125">
        <f t="shared" si="12"/>
        <v>0</v>
      </c>
      <c r="AD89" s="125">
        <f>Valores!$C$26</f>
        <v>737.18</v>
      </c>
      <c r="AE89" s="192">
        <v>19</v>
      </c>
      <c r="AF89" s="125">
        <f>ROUND(AE89*Valores!$C$2,2)</f>
        <v>669.89</v>
      </c>
      <c r="AG89" s="125">
        <f>ROUND(IF($F$4="NO",Valores!$C$63,Valores!$C$63/2),2)</f>
        <v>8427.87</v>
      </c>
      <c r="AH89" s="125">
        <f t="shared" si="15"/>
        <v>245330.72999999998</v>
      </c>
      <c r="AI89" s="125">
        <f>Valores!$C$31</f>
        <v>0</v>
      </c>
      <c r="AJ89" s="125">
        <f>Valores!$C$87</f>
        <v>0</v>
      </c>
      <c r="AK89" s="125">
        <f>Valores!C$38*B89</f>
        <v>0</v>
      </c>
      <c r="AL89" s="125">
        <f>IF($F$3="NO",0,Valores!$C$56)</f>
        <v>0</v>
      </c>
      <c r="AM89" s="125">
        <f t="shared" si="13"/>
        <v>0</v>
      </c>
      <c r="AN89" s="125">
        <f>AH89*Valores!$C$71</f>
        <v>-26986.380299999997</v>
      </c>
      <c r="AO89" s="125">
        <f>AH89*-Valores!$C$72</f>
        <v>0</v>
      </c>
      <c r="AP89" s="125">
        <f>AH89*Valores!$C$73</f>
        <v>-11039.882849999998</v>
      </c>
      <c r="AQ89" s="125">
        <f>Valores!$C$100</f>
        <v>-554.86</v>
      </c>
      <c r="AR89" s="125">
        <f>IF($F$5=0,Valores!$C$101,(Valores!$C$101+$F$5*(Valores!$C$101)))</f>
        <v>-550</v>
      </c>
      <c r="AS89" s="125">
        <f t="shared" si="16"/>
        <v>206199.60684999998</v>
      </c>
      <c r="AT89" s="125">
        <f t="shared" si="10"/>
        <v>-26986.380299999997</v>
      </c>
      <c r="AU89" s="125">
        <f>AH89*Valores!$C$74</f>
        <v>-6623.929709999999</v>
      </c>
      <c r="AV89" s="125">
        <f>AH89*Valores!$C$75</f>
        <v>-735.9921899999999</v>
      </c>
      <c r="AW89" s="125">
        <f t="shared" si="14"/>
        <v>210984.4278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6593.17</v>
      </c>
      <c r="G90" s="192">
        <v>1704</v>
      </c>
      <c r="H90" s="125">
        <f>ROUND(G90*Valores!$C$2,2)</f>
        <v>60078.95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14394.65</v>
      </c>
      <c r="N90" s="125">
        <f t="shared" si="11"/>
        <v>0</v>
      </c>
      <c r="O90" s="125">
        <f>Valores!$C$9</f>
        <v>44305.44</v>
      </c>
      <c r="P90" s="125">
        <f>Valores!$D$5</f>
        <v>18023.69</v>
      </c>
      <c r="Q90" s="125">
        <f>Valores!$C$22</f>
        <v>16079.99</v>
      </c>
      <c r="R90" s="125">
        <f>IF($F$4="NO",Valores!$C$44,Valores!$C$44/2)</f>
        <v>12520.87</v>
      </c>
      <c r="S90" s="125">
        <f>Valores!$C$19</f>
        <v>16771.31</v>
      </c>
      <c r="T90" s="125">
        <f t="shared" si="17"/>
        <v>16771.31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26214.39</v>
      </c>
      <c r="AA90" s="125">
        <f>Valores!$C$25</f>
        <v>737.18</v>
      </c>
      <c r="AB90" s="214">
        <v>0</v>
      </c>
      <c r="AC90" s="125">
        <f t="shared" si="12"/>
        <v>0</v>
      </c>
      <c r="AD90" s="125">
        <f>Valores!$C$26</f>
        <v>737.18</v>
      </c>
      <c r="AE90" s="192">
        <v>0</v>
      </c>
      <c r="AF90" s="125">
        <f>ROUND(AE90*Valores!$C$2,2)</f>
        <v>0</v>
      </c>
      <c r="AG90" s="125">
        <f>ROUND(IF($F$4="NO",Valores!$C$63,Valores!$C$63/2),2)</f>
        <v>8427.87</v>
      </c>
      <c r="AH90" s="125">
        <f t="shared" si="15"/>
        <v>224884.68999999994</v>
      </c>
      <c r="AI90" s="125">
        <f>Valores!$C$31</f>
        <v>0</v>
      </c>
      <c r="AJ90" s="125">
        <f>Valores!$C$87</f>
        <v>0</v>
      </c>
      <c r="AK90" s="125">
        <f>Valores!C$38*B90</f>
        <v>0</v>
      </c>
      <c r="AL90" s="125">
        <f>IF($F$3="NO",0,Valores!$C$56)</f>
        <v>0</v>
      </c>
      <c r="AM90" s="125">
        <f t="shared" si="13"/>
        <v>0</v>
      </c>
      <c r="AN90" s="125">
        <f>AH90*Valores!$C$71</f>
        <v>-24737.315899999994</v>
      </c>
      <c r="AO90" s="125">
        <f>AH90*-Valores!$C$72</f>
        <v>0</v>
      </c>
      <c r="AP90" s="125">
        <f>AH90*Valores!$C$73</f>
        <v>-10119.811049999997</v>
      </c>
      <c r="AQ90" s="125">
        <f>Valores!$C$100</f>
        <v>-554.86</v>
      </c>
      <c r="AR90" s="125">
        <f>IF($F$5=0,Valores!$C$101,(Valores!$C$101+$F$5*(Valores!$C$101)))</f>
        <v>-550</v>
      </c>
      <c r="AS90" s="125">
        <f t="shared" si="16"/>
        <v>188922.70304999995</v>
      </c>
      <c r="AT90" s="125">
        <f t="shared" si="10"/>
        <v>-24737.315899999994</v>
      </c>
      <c r="AU90" s="125">
        <f>AH90*Valores!$C$74</f>
        <v>-6071.886629999998</v>
      </c>
      <c r="AV90" s="125">
        <f>AH90*Valores!$C$75</f>
        <v>-674.6540699999998</v>
      </c>
      <c r="AW90" s="125">
        <f t="shared" si="14"/>
        <v>193400.83339999994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6593.17</v>
      </c>
      <c r="G91" s="192">
        <v>1704</v>
      </c>
      <c r="H91" s="125">
        <f>ROUND(G91*Valores!$C$2,2)</f>
        <v>60078.95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14394.65</v>
      </c>
      <c r="N91" s="125">
        <f t="shared" si="11"/>
        <v>0</v>
      </c>
      <c r="O91" s="125">
        <f>Valores!$C$9</f>
        <v>44305.44</v>
      </c>
      <c r="P91" s="125">
        <f>Valores!$D$5</f>
        <v>18023.69</v>
      </c>
      <c r="Q91" s="125">
        <f>Valores!$C$22</f>
        <v>16079.99</v>
      </c>
      <c r="R91" s="125">
        <f>IF($F$4="NO",Valores!$C$44,Valores!$C$44/2)</f>
        <v>12520.87</v>
      </c>
      <c r="S91" s="125">
        <f>Valores!$C$19</f>
        <v>16771.31</v>
      </c>
      <c r="T91" s="125">
        <f t="shared" si="17"/>
        <v>16771.31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26214.39</v>
      </c>
      <c r="AA91" s="125">
        <f>Valores!$C$25</f>
        <v>737.18</v>
      </c>
      <c r="AB91" s="214">
        <v>0</v>
      </c>
      <c r="AC91" s="125">
        <f t="shared" si="12"/>
        <v>0</v>
      </c>
      <c r="AD91" s="125">
        <f>Valores!$C$26</f>
        <v>737.18</v>
      </c>
      <c r="AE91" s="192">
        <v>19</v>
      </c>
      <c r="AF91" s="125">
        <f>ROUND(AE91*Valores!$C$2,2)</f>
        <v>669.89</v>
      </c>
      <c r="AG91" s="125">
        <f>ROUND(IF($F$4="NO",Valores!$C$63,Valores!$C$63/2),2)</f>
        <v>8427.87</v>
      </c>
      <c r="AH91" s="125">
        <f t="shared" si="15"/>
        <v>225554.57999999996</v>
      </c>
      <c r="AI91" s="125">
        <f>Valores!$C$31</f>
        <v>0</v>
      </c>
      <c r="AJ91" s="125">
        <f>Valores!$C$87</f>
        <v>0</v>
      </c>
      <c r="AK91" s="125">
        <f>Valores!C$38*B91</f>
        <v>0</v>
      </c>
      <c r="AL91" s="125">
        <f>IF($F$3="NO",0,Valores!$C$56)</f>
        <v>0</v>
      </c>
      <c r="AM91" s="125">
        <f t="shared" si="13"/>
        <v>0</v>
      </c>
      <c r="AN91" s="125">
        <f>AH91*Valores!$C$71</f>
        <v>-24811.003799999995</v>
      </c>
      <c r="AO91" s="125">
        <f>AH91*-Valores!$C$72</f>
        <v>0</v>
      </c>
      <c r="AP91" s="125">
        <f>AH91*Valores!$C$73</f>
        <v>-10149.956099999998</v>
      </c>
      <c r="AQ91" s="125">
        <f>Valores!$C$100</f>
        <v>-554.86</v>
      </c>
      <c r="AR91" s="125">
        <f>IF($F$5=0,Valores!$C$101,(Valores!$C$101+$F$5*(Valores!$C$101)))</f>
        <v>-550</v>
      </c>
      <c r="AS91" s="125">
        <f t="shared" si="16"/>
        <v>189488.76009999996</v>
      </c>
      <c r="AT91" s="125">
        <f t="shared" si="10"/>
        <v>-24811.003799999995</v>
      </c>
      <c r="AU91" s="125">
        <f>AH91*Valores!$C$74</f>
        <v>-6089.973659999999</v>
      </c>
      <c r="AV91" s="125">
        <f>AH91*Valores!$C$75</f>
        <v>-676.6637399999998</v>
      </c>
      <c r="AW91" s="125">
        <f t="shared" si="14"/>
        <v>193976.93879999997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5676.47</v>
      </c>
      <c r="G92" s="192">
        <f>1480</f>
        <v>1480</v>
      </c>
      <c r="H92" s="125">
        <f>ROUND(G92*Valores!$C$2,2)</f>
        <v>52181.25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13072.49</v>
      </c>
      <c r="N92" s="125">
        <f t="shared" si="11"/>
        <v>0</v>
      </c>
      <c r="O92" s="125">
        <f>Valores!$C$9</f>
        <v>44305.44</v>
      </c>
      <c r="P92" s="125">
        <f>Valores!$D$5</f>
        <v>18023.69</v>
      </c>
      <c r="Q92" s="125">
        <f>Valores!$C$22</f>
        <v>16079.99</v>
      </c>
      <c r="R92" s="125">
        <f>IF($F$4="NO",Valores!$C$44,Valores!$C$44/2)</f>
        <v>12520.87</v>
      </c>
      <c r="S92" s="125">
        <f>Valores!$C$19</f>
        <v>16771.31</v>
      </c>
      <c r="T92" s="125">
        <f t="shared" si="17"/>
        <v>16771.31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26214.39</v>
      </c>
      <c r="AA92" s="125">
        <f>Valores!$C$25</f>
        <v>737.18</v>
      </c>
      <c r="AB92" s="214">
        <v>0</v>
      </c>
      <c r="AC92" s="125">
        <f t="shared" si="12"/>
        <v>0</v>
      </c>
      <c r="AD92" s="125">
        <f>Valores!$C$26</f>
        <v>737.18</v>
      </c>
      <c r="AE92" s="192">
        <v>0</v>
      </c>
      <c r="AF92" s="125">
        <f>ROUND(AE92*Valores!$C$2,2)</f>
        <v>0</v>
      </c>
      <c r="AG92" s="125">
        <f>ROUND(IF($F$4="NO",Valores!$C$63,Valores!$C$63/2),2)</f>
        <v>8427.87</v>
      </c>
      <c r="AH92" s="125">
        <f t="shared" si="15"/>
        <v>214748.12999999995</v>
      </c>
      <c r="AI92" s="125">
        <f>Valores!$C$31</f>
        <v>0</v>
      </c>
      <c r="AJ92" s="125">
        <f>Valores!$C$87</f>
        <v>0</v>
      </c>
      <c r="AK92" s="125">
        <f>Valores!C$38*B92</f>
        <v>0</v>
      </c>
      <c r="AL92" s="125">
        <f>IF($F$3="NO",0,Valores!$C$56)</f>
        <v>0</v>
      </c>
      <c r="AM92" s="125">
        <f t="shared" si="13"/>
        <v>0</v>
      </c>
      <c r="AN92" s="125">
        <f>AH92*Valores!$C$71</f>
        <v>-23622.294299999994</v>
      </c>
      <c r="AO92" s="125">
        <f>AH92*-Valores!$C$72</f>
        <v>0</v>
      </c>
      <c r="AP92" s="125">
        <f>AH92*Valores!$C$73</f>
        <v>-9663.665849999998</v>
      </c>
      <c r="AQ92" s="125">
        <f>Valores!$C$100</f>
        <v>-554.86</v>
      </c>
      <c r="AR92" s="125">
        <f>IF($F$5=0,Valores!$C$101,(Valores!$C$101+$F$5*(Valores!$C$101)))</f>
        <v>-550</v>
      </c>
      <c r="AS92" s="125">
        <f t="shared" si="16"/>
        <v>180357.30984999996</v>
      </c>
      <c r="AT92" s="125">
        <f t="shared" si="10"/>
        <v>-23622.294299999994</v>
      </c>
      <c r="AU92" s="125">
        <f>AH92*Valores!$C$74</f>
        <v>-5798.199509999999</v>
      </c>
      <c r="AV92" s="125">
        <f>AH92*Valores!$C$75</f>
        <v>-644.2443899999998</v>
      </c>
      <c r="AW92" s="125">
        <f t="shared" si="14"/>
        <v>184683.39179999995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5676.47</v>
      </c>
      <c r="G93" s="192">
        <f>1480</f>
        <v>1480</v>
      </c>
      <c r="H93" s="125">
        <f>ROUND(G93*Valores!$C$2,2)</f>
        <v>52181.25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13072.49</v>
      </c>
      <c r="N93" s="125">
        <f t="shared" si="11"/>
        <v>0</v>
      </c>
      <c r="O93" s="125">
        <f>Valores!$C$9</f>
        <v>44305.44</v>
      </c>
      <c r="P93" s="125">
        <f>Valores!$D$5</f>
        <v>18023.69</v>
      </c>
      <c r="Q93" s="125">
        <f>Valores!$C$22</f>
        <v>16079.99</v>
      </c>
      <c r="R93" s="125">
        <f>IF($F$4="NO",Valores!$C$44,Valores!$C$44/2)</f>
        <v>12520.87</v>
      </c>
      <c r="S93" s="125">
        <f>Valores!$C$19</f>
        <v>16771.31</v>
      </c>
      <c r="T93" s="125">
        <f t="shared" si="17"/>
        <v>16771.31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26214.39</v>
      </c>
      <c r="AA93" s="125">
        <f>Valores!$C$25</f>
        <v>737.18</v>
      </c>
      <c r="AB93" s="214">
        <v>0</v>
      </c>
      <c r="AC93" s="125">
        <f t="shared" si="12"/>
        <v>0</v>
      </c>
      <c r="AD93" s="125">
        <f>Valores!$C$26</f>
        <v>737.18</v>
      </c>
      <c r="AE93" s="192">
        <v>19</v>
      </c>
      <c r="AF93" s="125">
        <f>ROUND(AE93*Valores!$C$2,2)</f>
        <v>669.89</v>
      </c>
      <c r="AG93" s="125">
        <f>ROUND(IF($F$4="NO",Valores!$C$63,Valores!$C$63/2),2)</f>
        <v>8427.87</v>
      </c>
      <c r="AH93" s="125">
        <f t="shared" si="15"/>
        <v>215418.01999999996</v>
      </c>
      <c r="AI93" s="125">
        <f>Valores!$C$31</f>
        <v>0</v>
      </c>
      <c r="AJ93" s="125">
        <f>Valores!$C$87</f>
        <v>0</v>
      </c>
      <c r="AK93" s="125">
        <f>Valores!C$38*B93</f>
        <v>0</v>
      </c>
      <c r="AL93" s="125">
        <f>IF($F$3="NO",0,Valores!$C$56)</f>
        <v>0</v>
      </c>
      <c r="AM93" s="125">
        <f t="shared" si="13"/>
        <v>0</v>
      </c>
      <c r="AN93" s="125">
        <f>AH93*Valores!$C$71</f>
        <v>-23695.982199999995</v>
      </c>
      <c r="AO93" s="125">
        <f>AH93*-Valores!$C$72</f>
        <v>0</v>
      </c>
      <c r="AP93" s="125">
        <f>AH93*Valores!$C$73</f>
        <v>-9693.810899999999</v>
      </c>
      <c r="AQ93" s="125">
        <f>Valores!$C$100</f>
        <v>-554.86</v>
      </c>
      <c r="AR93" s="125">
        <f>IF($F$5=0,Valores!$C$101,(Valores!$C$101+$F$5*(Valores!$C$101)))</f>
        <v>-550</v>
      </c>
      <c r="AS93" s="125">
        <f t="shared" si="16"/>
        <v>180923.36689999996</v>
      </c>
      <c r="AT93" s="125">
        <f t="shared" si="10"/>
        <v>-23695.982199999995</v>
      </c>
      <c r="AU93" s="125">
        <f>AH93*Valores!$C$74</f>
        <v>-5816.286539999999</v>
      </c>
      <c r="AV93" s="125">
        <f>AH93*Valores!$C$75</f>
        <v>-646.2540599999999</v>
      </c>
      <c r="AW93" s="125">
        <f t="shared" si="14"/>
        <v>185259.49719999998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6311.11</v>
      </c>
      <c r="G94" s="192">
        <v>1712</v>
      </c>
      <c r="H94" s="125">
        <f>ROUND(G94*Valores!$C$2,2)</f>
        <v>60361.01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14394.65</v>
      </c>
      <c r="N94" s="125">
        <f t="shared" si="11"/>
        <v>0</v>
      </c>
      <c r="O94" s="125">
        <f>Valores!$C$9</f>
        <v>44305.44</v>
      </c>
      <c r="P94" s="125">
        <f>Valores!$D$5</f>
        <v>18023.69</v>
      </c>
      <c r="Q94" s="125">
        <f>Valores!$C$22</f>
        <v>16079.99</v>
      </c>
      <c r="R94" s="125">
        <f>IF($F$4="NO",Valores!$C$44,Valores!$C$44/2)</f>
        <v>12520.87</v>
      </c>
      <c r="S94" s="125">
        <f>Valores!$C$19</f>
        <v>16771.31</v>
      </c>
      <c r="T94" s="125">
        <f t="shared" si="17"/>
        <v>16771.31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26214.39</v>
      </c>
      <c r="AA94" s="125">
        <f>Valores!$C$25</f>
        <v>737.18</v>
      </c>
      <c r="AB94" s="214">
        <v>0</v>
      </c>
      <c r="AC94" s="125">
        <f t="shared" si="12"/>
        <v>0</v>
      </c>
      <c r="AD94" s="125">
        <f>Valores!$C$26</f>
        <v>737.18</v>
      </c>
      <c r="AE94" s="192">
        <v>0</v>
      </c>
      <c r="AF94" s="125">
        <f>ROUND(AE94*Valores!$C$2,2)</f>
        <v>0</v>
      </c>
      <c r="AG94" s="125">
        <f>ROUND(IF($F$4="NO",Valores!$C$63,Valores!$C$63/2),2)</f>
        <v>8427.87</v>
      </c>
      <c r="AH94" s="125">
        <f t="shared" si="15"/>
        <v>224884.68999999994</v>
      </c>
      <c r="AI94" s="125">
        <f>Valores!$C$31</f>
        <v>0</v>
      </c>
      <c r="AJ94" s="125">
        <f>Valores!$C$87</f>
        <v>0</v>
      </c>
      <c r="AK94" s="125">
        <f>Valores!C$38*B94</f>
        <v>0</v>
      </c>
      <c r="AL94" s="125">
        <f>IF($F$3="NO",0,Valores!$C$56)</f>
        <v>0</v>
      </c>
      <c r="AM94" s="125">
        <f t="shared" si="13"/>
        <v>0</v>
      </c>
      <c r="AN94" s="125">
        <f>AH94*Valores!$C$71</f>
        <v>-24737.315899999994</v>
      </c>
      <c r="AO94" s="125">
        <f>AH94*-Valores!$C$72</f>
        <v>0</v>
      </c>
      <c r="AP94" s="125">
        <f>AH94*Valores!$C$73</f>
        <v>-10119.811049999997</v>
      </c>
      <c r="AQ94" s="125">
        <f>Valores!$C$100</f>
        <v>-554.86</v>
      </c>
      <c r="AR94" s="125">
        <f>IF($F$5=0,Valores!$C$101,(Valores!$C$101+$F$5*(Valores!$C$101)))</f>
        <v>-550</v>
      </c>
      <c r="AS94" s="125">
        <f t="shared" si="16"/>
        <v>188922.70304999995</v>
      </c>
      <c r="AT94" s="125">
        <f t="shared" si="10"/>
        <v>-24737.315899999994</v>
      </c>
      <c r="AU94" s="125">
        <f>AH94*Valores!$C$74</f>
        <v>-6071.886629999998</v>
      </c>
      <c r="AV94" s="125">
        <f>AH94*Valores!$C$75</f>
        <v>-674.6540699999998</v>
      </c>
      <c r="AW94" s="125">
        <f t="shared" si="14"/>
        <v>193400.83339999994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2256.49</v>
      </c>
      <c r="G95" s="192">
        <v>2086</v>
      </c>
      <c r="H95" s="125">
        <f>ROUND(G95*Valores!$C$2,2)</f>
        <v>73547.35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15869.4</v>
      </c>
      <c r="N95" s="125">
        <f t="shared" si="11"/>
        <v>0</v>
      </c>
      <c r="O95" s="125">
        <f>Valores!$C$9</f>
        <v>44305.44</v>
      </c>
      <c r="P95" s="125">
        <f>Valores!$D$5</f>
        <v>18023.69</v>
      </c>
      <c r="Q95" s="125">
        <f>Valores!$C$22</f>
        <v>16079.99</v>
      </c>
      <c r="R95" s="125">
        <f>IF($F$4="NO",Valores!$C$45,Valores!$C$45/2)</f>
        <v>13220.87</v>
      </c>
      <c r="S95" s="125">
        <f>Valores!$C$19</f>
        <v>16771.31</v>
      </c>
      <c r="T95" s="125">
        <f t="shared" si="17"/>
        <v>16771.31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31457.27</v>
      </c>
      <c r="AA95" s="125">
        <f>Valores!$C$25</f>
        <v>737.18</v>
      </c>
      <c r="AB95" s="214">
        <v>0</v>
      </c>
      <c r="AC95" s="125">
        <f t="shared" si="12"/>
        <v>0</v>
      </c>
      <c r="AD95" s="125">
        <f>Valores!$C$26</f>
        <v>737.18</v>
      </c>
      <c r="AE95" s="192">
        <v>0</v>
      </c>
      <c r="AF95" s="125">
        <f>ROUND(AE95*Valores!$C$2,2)</f>
        <v>0</v>
      </c>
      <c r="AG95" s="125">
        <f>ROUND(IF($F$4="NO",Valores!$C$63,Valores!$C$63/2),2)</f>
        <v>8427.87</v>
      </c>
      <c r="AH95" s="125">
        <f t="shared" si="15"/>
        <v>241434.03999999995</v>
      </c>
      <c r="AI95" s="125">
        <f>Valores!$C$31</f>
        <v>0</v>
      </c>
      <c r="AJ95" s="125">
        <f>Valores!$C$88</f>
        <v>0</v>
      </c>
      <c r="AK95" s="125">
        <f>Valores!C$38*B95</f>
        <v>0</v>
      </c>
      <c r="AL95" s="125">
        <f>IF($F$3="NO",0,Valores!$C$56)</f>
        <v>0</v>
      </c>
      <c r="AM95" s="125">
        <f t="shared" si="13"/>
        <v>0</v>
      </c>
      <c r="AN95" s="125">
        <f>AH95*Valores!$C$71</f>
        <v>-26557.744399999996</v>
      </c>
      <c r="AO95" s="125">
        <f>AH95*-Valores!$C$72</f>
        <v>0</v>
      </c>
      <c r="AP95" s="125">
        <f>AH95*Valores!$C$73</f>
        <v>-10864.531799999997</v>
      </c>
      <c r="AQ95" s="125">
        <f>Valores!$C$100</f>
        <v>-554.86</v>
      </c>
      <c r="AR95" s="125">
        <f>IF($F$5=0,Valores!$C$101,(Valores!$C$101+$F$5*(Valores!$C$101)))</f>
        <v>-550</v>
      </c>
      <c r="AS95" s="125">
        <f t="shared" si="16"/>
        <v>202906.90379999997</v>
      </c>
      <c r="AT95" s="125">
        <f t="shared" si="10"/>
        <v>-26557.744399999996</v>
      </c>
      <c r="AU95" s="125">
        <f>AH95*Valores!$C$74</f>
        <v>-6518.719079999999</v>
      </c>
      <c r="AV95" s="125">
        <f>AH95*Valores!$C$75</f>
        <v>-724.3021199999998</v>
      </c>
      <c r="AW95" s="125">
        <f t="shared" si="14"/>
        <v>207633.27439999997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3137.93</v>
      </c>
      <c r="G96" s="192">
        <v>2481</v>
      </c>
      <c r="H96" s="125">
        <f>ROUND(G96*Valores!$C$2,2)</f>
        <v>87474.11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17985.63</v>
      </c>
      <c r="N96" s="125">
        <f t="shared" si="11"/>
        <v>0</v>
      </c>
      <c r="O96" s="125">
        <f>Valores!$C$8</f>
        <v>44191.25</v>
      </c>
      <c r="P96" s="125">
        <f>Valores!$D$5</f>
        <v>18023.69</v>
      </c>
      <c r="Q96" s="125">
        <v>0</v>
      </c>
      <c r="R96" s="125">
        <f>IF($F$4="NO",Valores!$C$44,Valores!$C$44/2)</f>
        <v>12520.87</v>
      </c>
      <c r="S96" s="125">
        <f>Valores!$C$19</f>
        <v>16771.31</v>
      </c>
      <c r="T96" s="125">
        <f t="shared" si="17"/>
        <v>16771.31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26214.39</v>
      </c>
      <c r="AA96" s="125">
        <f>Valores!$C$25</f>
        <v>737.18</v>
      </c>
      <c r="AB96" s="214">
        <v>0</v>
      </c>
      <c r="AC96" s="125">
        <f t="shared" si="12"/>
        <v>0</v>
      </c>
      <c r="AD96" s="125">
        <f>Valores!$C$26</f>
        <v>737.18</v>
      </c>
      <c r="AE96" s="192">
        <v>0</v>
      </c>
      <c r="AF96" s="125">
        <f>ROUND(AE96*Valores!$C$2,2)</f>
        <v>0</v>
      </c>
      <c r="AG96" s="125">
        <f>ROUND(IF($F$4="NO",Valores!$C$63,Valores!$C$63/2),2)</f>
        <v>8427.87</v>
      </c>
      <c r="AH96" s="125">
        <f t="shared" si="15"/>
        <v>236221.40999999997</v>
      </c>
      <c r="AI96" s="125">
        <f>Valores!$C$31</f>
        <v>0</v>
      </c>
      <c r="AJ96" s="125">
        <f>Valores!$C$87</f>
        <v>0</v>
      </c>
      <c r="AK96" s="125">
        <f>Valores!C$38*B96</f>
        <v>0</v>
      </c>
      <c r="AL96" s="125">
        <f>IF($F$3="NO",0,Valores!$C$56)</f>
        <v>0</v>
      </c>
      <c r="AM96" s="125">
        <f t="shared" si="13"/>
        <v>0</v>
      </c>
      <c r="AN96" s="125">
        <f>AH96*Valores!$C$71</f>
        <v>-25984.355099999997</v>
      </c>
      <c r="AO96" s="125">
        <f>AH96*-Valores!$C$72</f>
        <v>0</v>
      </c>
      <c r="AP96" s="125">
        <f>AH96*Valores!$C$73</f>
        <v>-10629.96345</v>
      </c>
      <c r="AQ96" s="125">
        <f>Valores!$C$100</f>
        <v>-554.86</v>
      </c>
      <c r="AR96" s="125">
        <f>IF($F$5=0,Valores!$C$101,(Valores!$C$101+$F$5*(Valores!$C$101)))</f>
        <v>-550</v>
      </c>
      <c r="AS96" s="125">
        <f t="shared" si="16"/>
        <v>198502.23144999996</v>
      </c>
      <c r="AT96" s="125">
        <f t="shared" si="10"/>
        <v>-25984.355099999997</v>
      </c>
      <c r="AU96" s="125">
        <f>AH96*Valores!$C$74</f>
        <v>-6377.978069999999</v>
      </c>
      <c r="AV96" s="125">
        <f>AH96*Valores!$C$75</f>
        <v>-708.66423</v>
      </c>
      <c r="AW96" s="125">
        <f t="shared" si="14"/>
        <v>203150.41259999998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3137.93</v>
      </c>
      <c r="G97" s="192">
        <v>2381</v>
      </c>
      <c r="H97" s="125">
        <f>ROUND(G97*Valores!$C$2,2)</f>
        <v>83948.35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17456.77</v>
      </c>
      <c r="N97" s="125">
        <f t="shared" si="11"/>
        <v>0</v>
      </c>
      <c r="O97" s="125">
        <f>Valores!$C$16</f>
        <v>30467.13</v>
      </c>
      <c r="P97" s="125">
        <f>Valores!$D$5</f>
        <v>18023.69</v>
      </c>
      <c r="Q97" s="125">
        <f>Valores!$C$22</f>
        <v>16079.99</v>
      </c>
      <c r="R97" s="125">
        <f>IF($F$4="NO",Valores!$C$44,Valores!$C$44/2)</f>
        <v>12520.87</v>
      </c>
      <c r="S97" s="125">
        <f>Valores!$C$19</f>
        <v>16771.31</v>
      </c>
      <c r="T97" s="125">
        <f t="shared" si="17"/>
        <v>16771.31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26214.39</v>
      </c>
      <c r="AA97" s="125">
        <f>Valores!$C$25</f>
        <v>737.18</v>
      </c>
      <c r="AB97" s="214">
        <v>0</v>
      </c>
      <c r="AC97" s="125">
        <f t="shared" si="12"/>
        <v>0</v>
      </c>
      <c r="AD97" s="125">
        <f>Valores!$C$26</f>
        <v>737.18</v>
      </c>
      <c r="AE97" s="192">
        <v>0</v>
      </c>
      <c r="AF97" s="125">
        <f>ROUND(AE97*Valores!$C$2,2)</f>
        <v>0</v>
      </c>
      <c r="AG97" s="125">
        <f>ROUND(IF($F$4="NO",Valores!$C$63,Valores!$C$63/2),2)</f>
        <v>8427.87</v>
      </c>
      <c r="AH97" s="125">
        <f t="shared" si="15"/>
        <v>234522.65999999997</v>
      </c>
      <c r="AI97" s="125">
        <f>Valores!$C$31</f>
        <v>0</v>
      </c>
      <c r="AJ97" s="125">
        <f>Valores!$C$87</f>
        <v>0</v>
      </c>
      <c r="AK97" s="125">
        <f>Valores!C$38*B97</f>
        <v>0</v>
      </c>
      <c r="AL97" s="125">
        <f>IF($F$3="NO",0,Valores!$C$56)</f>
        <v>0</v>
      </c>
      <c r="AM97" s="125">
        <f t="shared" si="13"/>
        <v>0</v>
      </c>
      <c r="AN97" s="125">
        <f>AH97*Valores!$C$71</f>
        <v>-25797.492599999998</v>
      </c>
      <c r="AO97" s="125">
        <f>AH97*-Valores!$C$72</f>
        <v>0</v>
      </c>
      <c r="AP97" s="125">
        <f>AH97*Valores!$C$73</f>
        <v>-10553.519699999999</v>
      </c>
      <c r="AQ97" s="125">
        <f>Valores!$C$100</f>
        <v>-554.86</v>
      </c>
      <c r="AR97" s="125">
        <f>IF($F$5=0,Valores!$C$101,(Valores!$C$101+$F$5*(Valores!$C$101)))</f>
        <v>-550</v>
      </c>
      <c r="AS97" s="125">
        <f t="shared" si="16"/>
        <v>197066.7877</v>
      </c>
      <c r="AT97" s="125">
        <f t="shared" si="10"/>
        <v>-25797.492599999998</v>
      </c>
      <c r="AU97" s="125">
        <f>AH97*Valores!$C$74</f>
        <v>-6332.111819999999</v>
      </c>
      <c r="AV97" s="125">
        <f>AH97*Valores!$C$75</f>
        <v>-703.5679799999999</v>
      </c>
      <c r="AW97" s="125">
        <f t="shared" si="14"/>
        <v>201689.4876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3137.93</v>
      </c>
      <c r="G98" s="192">
        <v>1768</v>
      </c>
      <c r="H98" s="125">
        <f>ROUND(G98*Valores!$C$2,2)</f>
        <v>62335.44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14214.83</v>
      </c>
      <c r="N98" s="125">
        <f t="shared" si="11"/>
        <v>0</v>
      </c>
      <c r="O98" s="125">
        <f>Valores!$C$16</f>
        <v>30467.13</v>
      </c>
      <c r="P98" s="125">
        <f>Valores!$D$5</f>
        <v>18023.69</v>
      </c>
      <c r="Q98" s="125">
        <f>Valores!$C$22</f>
        <v>16079.99</v>
      </c>
      <c r="R98" s="125">
        <f>IF($F$4="NO",Valores!$C$44,Valores!$C$44/2)</f>
        <v>12520.87</v>
      </c>
      <c r="S98" s="125">
        <f>Valores!$C$19</f>
        <v>16771.31</v>
      </c>
      <c r="T98" s="125">
        <f t="shared" si="17"/>
        <v>16771.31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26214.39</v>
      </c>
      <c r="AA98" s="125">
        <f>Valores!$C$25</f>
        <v>737.18</v>
      </c>
      <c r="AB98" s="214">
        <v>0</v>
      </c>
      <c r="AC98" s="125">
        <f t="shared" si="12"/>
        <v>0</v>
      </c>
      <c r="AD98" s="125">
        <f>Valores!$C$26</f>
        <v>737.18</v>
      </c>
      <c r="AE98" s="192">
        <v>0</v>
      </c>
      <c r="AF98" s="125">
        <f>ROUND(AE98*Valores!$C$2,2)</f>
        <v>0</v>
      </c>
      <c r="AG98" s="125">
        <f>ROUND(IF($F$4="NO",Valores!$C$63,Valores!$C$63/2),2)</f>
        <v>8427.87</v>
      </c>
      <c r="AH98" s="125">
        <f t="shared" si="15"/>
        <v>209667.81</v>
      </c>
      <c r="AI98" s="125">
        <f>Valores!$C$31</f>
        <v>0</v>
      </c>
      <c r="AJ98" s="125">
        <f>Valores!$C$87</f>
        <v>0</v>
      </c>
      <c r="AK98" s="125">
        <f>Valores!C$38*B98</f>
        <v>0</v>
      </c>
      <c r="AL98" s="125">
        <f>IF($F$3="NO",0,Valores!$C$56)</f>
        <v>0</v>
      </c>
      <c r="AM98" s="125">
        <f t="shared" si="13"/>
        <v>0</v>
      </c>
      <c r="AN98" s="125">
        <f>AH98*Valores!$C$71</f>
        <v>-23063.4591</v>
      </c>
      <c r="AO98" s="125">
        <f>AH98*-Valores!$C$72</f>
        <v>0</v>
      </c>
      <c r="AP98" s="125">
        <f>AH98*Valores!$C$73</f>
        <v>-9435.051449999999</v>
      </c>
      <c r="AQ98" s="125">
        <f>Valores!$C$100</f>
        <v>-554.86</v>
      </c>
      <c r="AR98" s="125">
        <f>IF($F$5=0,Valores!$C$101,(Valores!$C$101+$F$5*(Valores!$C$101)))</f>
        <v>-550</v>
      </c>
      <c r="AS98" s="125">
        <f t="shared" si="16"/>
        <v>176064.43945</v>
      </c>
      <c r="AT98" s="125">
        <f t="shared" si="10"/>
        <v>-23063.4591</v>
      </c>
      <c r="AU98" s="125">
        <f>AH98*Valores!$C$74</f>
        <v>-5661.03087</v>
      </c>
      <c r="AV98" s="125">
        <f>AH98*Valores!$C$75</f>
        <v>-629.00343</v>
      </c>
      <c r="AW98" s="125">
        <f t="shared" si="14"/>
        <v>180314.3166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3137.93</v>
      </c>
      <c r="G99" s="192">
        <v>1768</v>
      </c>
      <c r="H99" s="125">
        <f>ROUND(G99*Valores!$C$2,2)</f>
        <v>62335.44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14214.83</v>
      </c>
      <c r="N99" s="125">
        <f t="shared" si="11"/>
        <v>0</v>
      </c>
      <c r="O99" s="125">
        <f>Valores!$C$8</f>
        <v>44191.25</v>
      </c>
      <c r="P99" s="125">
        <f>Valores!$D$5</f>
        <v>18023.69</v>
      </c>
      <c r="Q99" s="125">
        <f>Valores!$C$22</f>
        <v>16079.99</v>
      </c>
      <c r="R99" s="125">
        <f>IF($F$4="NO",Valores!$C$44,Valores!$C$44/2)</f>
        <v>12520.87</v>
      </c>
      <c r="S99" s="125">
        <f>Valores!$C$19</f>
        <v>16771.31</v>
      </c>
      <c r="T99" s="125">
        <f t="shared" si="17"/>
        <v>16771.31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26214.39</v>
      </c>
      <c r="AA99" s="125">
        <f>Valores!$C$25</f>
        <v>737.18</v>
      </c>
      <c r="AB99" s="214">
        <v>0</v>
      </c>
      <c r="AC99" s="125">
        <f t="shared" si="12"/>
        <v>0</v>
      </c>
      <c r="AD99" s="125">
        <f>Valores!$C$26</f>
        <v>737.18</v>
      </c>
      <c r="AE99" s="192">
        <v>0</v>
      </c>
      <c r="AF99" s="125">
        <f>ROUND(AE99*Valores!$C$2,2)</f>
        <v>0</v>
      </c>
      <c r="AG99" s="125">
        <f>ROUND(IF($F$4="NO",Valores!$C$63,Valores!$C$63/2),2)</f>
        <v>8427.87</v>
      </c>
      <c r="AH99" s="125">
        <f t="shared" si="15"/>
        <v>223391.92999999993</v>
      </c>
      <c r="AI99" s="125">
        <f>Valores!$C$31</f>
        <v>0</v>
      </c>
      <c r="AJ99" s="125">
        <f>Valores!$C$87</f>
        <v>0</v>
      </c>
      <c r="AK99" s="125">
        <f>Valores!C$38*B99</f>
        <v>0</v>
      </c>
      <c r="AL99" s="125">
        <f>IF($F$3="NO",0,Valores!$C$56)</f>
        <v>0</v>
      </c>
      <c r="AM99" s="125">
        <f t="shared" si="13"/>
        <v>0</v>
      </c>
      <c r="AN99" s="125">
        <f>AH99*Valores!$C$71</f>
        <v>-24573.112299999993</v>
      </c>
      <c r="AO99" s="125">
        <f>AH99*-Valores!$C$72</f>
        <v>0</v>
      </c>
      <c r="AP99" s="125">
        <f>AH99*Valores!$C$73</f>
        <v>-10052.636849999997</v>
      </c>
      <c r="AQ99" s="125">
        <f>Valores!$C$100</f>
        <v>-554.86</v>
      </c>
      <c r="AR99" s="125">
        <f>IF($F$5=0,Valores!$C$101,(Valores!$C$101+$F$5*(Valores!$C$101)))</f>
        <v>-550</v>
      </c>
      <c r="AS99" s="125">
        <f t="shared" si="16"/>
        <v>187661.32084999996</v>
      </c>
      <c r="AT99" s="125">
        <f t="shared" si="10"/>
        <v>-24573.112299999993</v>
      </c>
      <c r="AU99" s="125">
        <f>AH99*Valores!$C$74</f>
        <v>-6031.5821099999985</v>
      </c>
      <c r="AV99" s="125">
        <f>AH99*Valores!$C$75</f>
        <v>-670.1757899999998</v>
      </c>
      <c r="AW99" s="125">
        <f t="shared" si="14"/>
        <v>192117.05979999993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3137.93</v>
      </c>
      <c r="G100" s="192">
        <v>2211</v>
      </c>
      <c r="H100" s="125">
        <f>ROUND(G100*Valores!$C$2,2)</f>
        <v>77954.55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16557.7</v>
      </c>
      <c r="N100" s="125">
        <f t="shared" si="11"/>
        <v>0</v>
      </c>
      <c r="O100" s="125">
        <f>Valores!$C$8</f>
        <v>44191.25</v>
      </c>
      <c r="P100" s="125">
        <f>Valores!$D$5</f>
        <v>18023.69</v>
      </c>
      <c r="Q100" s="125">
        <f>Valores!$C$22</f>
        <v>16079.99</v>
      </c>
      <c r="R100" s="125">
        <f>IF($F$4="NO",Valores!$C$44,Valores!$C$44/2)</f>
        <v>12520.87</v>
      </c>
      <c r="S100" s="125">
        <f>Valores!$C$19</f>
        <v>16771.31</v>
      </c>
      <c r="T100" s="125">
        <f t="shared" si="17"/>
        <v>16771.31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26214.39</v>
      </c>
      <c r="AA100" s="125">
        <f>Valores!$C$25</f>
        <v>737.18</v>
      </c>
      <c r="AB100" s="214">
        <v>0</v>
      </c>
      <c r="AC100" s="125">
        <f t="shared" si="12"/>
        <v>0</v>
      </c>
      <c r="AD100" s="125">
        <f>Valores!$C$26</f>
        <v>737.18</v>
      </c>
      <c r="AE100" s="192">
        <v>0</v>
      </c>
      <c r="AF100" s="125">
        <f>ROUND(AE100*Valores!$C$2,2)</f>
        <v>0</v>
      </c>
      <c r="AG100" s="125">
        <f>ROUND(IF($F$4="NO",Valores!$C$63,Valores!$C$63/2),2)</f>
        <v>8427.87</v>
      </c>
      <c r="AH100" s="125">
        <f t="shared" si="15"/>
        <v>241353.90999999997</v>
      </c>
      <c r="AI100" s="125">
        <f>Valores!$C$31</f>
        <v>0</v>
      </c>
      <c r="AJ100" s="125">
        <f>Valores!$C$87</f>
        <v>0</v>
      </c>
      <c r="AK100" s="125">
        <f>Valores!C$38*B100</f>
        <v>0</v>
      </c>
      <c r="AL100" s="125">
        <f>IF($F$3="NO",0,Valores!$C$56)</f>
        <v>0</v>
      </c>
      <c r="AM100" s="125">
        <f t="shared" si="13"/>
        <v>0</v>
      </c>
      <c r="AN100" s="125">
        <f>AH100*Valores!$C$71</f>
        <v>-26548.930099999998</v>
      </c>
      <c r="AO100" s="125">
        <f>AH100*-Valores!$C$72</f>
        <v>0</v>
      </c>
      <c r="AP100" s="125">
        <f>AH100*Valores!$C$73</f>
        <v>-10860.925949999999</v>
      </c>
      <c r="AQ100" s="125">
        <f>Valores!$C$100</f>
        <v>-554.86</v>
      </c>
      <c r="AR100" s="125">
        <f>IF($F$5=0,Valores!$C$101,(Valores!$C$101+$F$5*(Valores!$C$101)))</f>
        <v>-550</v>
      </c>
      <c r="AS100" s="125">
        <f t="shared" si="16"/>
        <v>202839.19395</v>
      </c>
      <c r="AT100" s="125">
        <f t="shared" si="10"/>
        <v>-26548.930099999998</v>
      </c>
      <c r="AU100" s="125">
        <f>AH100*Valores!$C$74</f>
        <v>-6516.5555699999995</v>
      </c>
      <c r="AV100" s="125">
        <f>AH100*Valores!$C$75</f>
        <v>-724.0617299999999</v>
      </c>
      <c r="AW100" s="125">
        <f t="shared" si="14"/>
        <v>207564.3626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3137.93</v>
      </c>
      <c r="G101" s="192">
        <v>1956</v>
      </c>
      <c r="H101" s="125">
        <f>ROUND(G101*Valores!$C$2,2)</f>
        <v>68963.87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15209.1</v>
      </c>
      <c r="N101" s="125">
        <f t="shared" si="11"/>
        <v>0</v>
      </c>
      <c r="O101" s="125">
        <f>Valores!$C$16</f>
        <v>30467.13</v>
      </c>
      <c r="P101" s="125">
        <f>Valores!$D$5</f>
        <v>18023.69</v>
      </c>
      <c r="Q101" s="125">
        <v>0</v>
      </c>
      <c r="R101" s="125">
        <f>IF($F$4="NO",Valores!$C$44,Valores!$C$44/2)</f>
        <v>12520.87</v>
      </c>
      <c r="S101" s="125">
        <f>Valores!$C$19</f>
        <v>16771.31</v>
      </c>
      <c r="T101" s="125">
        <f t="shared" si="17"/>
        <v>16771.31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26214.39</v>
      </c>
      <c r="AA101" s="125">
        <f>Valores!$C$25</f>
        <v>737.18</v>
      </c>
      <c r="AB101" s="214">
        <v>0</v>
      </c>
      <c r="AC101" s="125">
        <f t="shared" si="12"/>
        <v>0</v>
      </c>
      <c r="AD101" s="125">
        <f>Valores!$C$26</f>
        <v>737.18</v>
      </c>
      <c r="AE101" s="192">
        <v>0</v>
      </c>
      <c r="AF101" s="125">
        <f>ROUND(AE101*Valores!$C$2,2)</f>
        <v>0</v>
      </c>
      <c r="AG101" s="125">
        <f>ROUND(IF($F$4="NO",Valores!$C$63,Valores!$C$63/2),2)</f>
        <v>8427.87</v>
      </c>
      <c r="AH101" s="125">
        <f t="shared" si="15"/>
        <v>201210.51999999996</v>
      </c>
      <c r="AI101" s="125">
        <f>Valores!$C$31</f>
        <v>0</v>
      </c>
      <c r="AJ101" s="125">
        <f>Valores!$C$87</f>
        <v>0</v>
      </c>
      <c r="AK101" s="125">
        <f>Valores!C$38*B101</f>
        <v>0</v>
      </c>
      <c r="AL101" s="125">
        <f>IF($F$3="NO",0,Valores!$C$56)</f>
        <v>0</v>
      </c>
      <c r="AM101" s="125">
        <f t="shared" si="13"/>
        <v>0</v>
      </c>
      <c r="AN101" s="125">
        <f>AH101*Valores!$C$71</f>
        <v>-22133.157199999994</v>
      </c>
      <c r="AO101" s="125">
        <f>AH101*-Valores!$C$72</f>
        <v>0</v>
      </c>
      <c r="AP101" s="125">
        <f>AH101*Valores!$C$73</f>
        <v>-9054.473399999997</v>
      </c>
      <c r="AQ101" s="125">
        <f>Valores!$C$100</f>
        <v>-554.86</v>
      </c>
      <c r="AR101" s="125">
        <f>IF($F$5=0,Valores!$C$101,(Valores!$C$101+$F$5*(Valores!$C$101)))</f>
        <v>-550</v>
      </c>
      <c r="AS101" s="125">
        <f t="shared" si="16"/>
        <v>168918.02939999997</v>
      </c>
      <c r="AT101" s="125">
        <f t="shared" si="10"/>
        <v>-22133.157199999994</v>
      </c>
      <c r="AU101" s="125">
        <f>AH101*Valores!$C$74</f>
        <v>-5432.684039999999</v>
      </c>
      <c r="AV101" s="125">
        <f>AH101*Valores!$C$75</f>
        <v>-603.6315599999999</v>
      </c>
      <c r="AW101" s="125">
        <f t="shared" si="14"/>
        <v>173041.04719999997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3137.93</v>
      </c>
      <c r="G102" s="192">
        <v>1267</v>
      </c>
      <c r="H102" s="125">
        <f>ROUND(G102*Valores!$C$2,2)</f>
        <v>44671.38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11565.22</v>
      </c>
      <c r="N102" s="125">
        <f t="shared" si="11"/>
        <v>0</v>
      </c>
      <c r="O102" s="125">
        <f>Valores!$C$16</f>
        <v>30467.13</v>
      </c>
      <c r="P102" s="125">
        <f>Valores!$D$5</f>
        <v>18023.69</v>
      </c>
      <c r="Q102" s="125">
        <v>0</v>
      </c>
      <c r="R102" s="125">
        <f>IF($F$4="NO",Valores!$C$44,Valores!$C$44/2)</f>
        <v>12520.87</v>
      </c>
      <c r="S102" s="125">
        <f>Valores!$C$19</f>
        <v>16771.31</v>
      </c>
      <c r="T102" s="125">
        <f t="shared" si="17"/>
        <v>16771.31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26214.39</v>
      </c>
      <c r="AA102" s="125">
        <f>Valores!$C$25</f>
        <v>737.18</v>
      </c>
      <c r="AB102" s="214">
        <v>0</v>
      </c>
      <c r="AC102" s="125">
        <f t="shared" si="12"/>
        <v>0</v>
      </c>
      <c r="AD102" s="125">
        <f>Valores!$C$26</f>
        <v>737.18</v>
      </c>
      <c r="AE102" s="192">
        <v>0</v>
      </c>
      <c r="AF102" s="125">
        <f>ROUND(AE102*Valores!$C$2,2)</f>
        <v>0</v>
      </c>
      <c r="AG102" s="125">
        <f>ROUND(IF($F$4="NO",Valores!$C$63,Valores!$C$63/2),2)</f>
        <v>8427.87</v>
      </c>
      <c r="AH102" s="125">
        <f t="shared" si="15"/>
        <v>173274.14999999997</v>
      </c>
      <c r="AI102" s="125">
        <f>Valores!$C$31</f>
        <v>0</v>
      </c>
      <c r="AJ102" s="125">
        <f>Valores!$C$87</f>
        <v>0</v>
      </c>
      <c r="AK102" s="125">
        <f>Valores!C$38*B102</f>
        <v>0</v>
      </c>
      <c r="AL102" s="125">
        <f>IF($F$3="NO",0,Valores!$C$56)</f>
        <v>0</v>
      </c>
      <c r="AM102" s="125">
        <f t="shared" si="13"/>
        <v>0</v>
      </c>
      <c r="AN102" s="125">
        <f>AH102*Valores!$C$71</f>
        <v>-19060.156499999997</v>
      </c>
      <c r="AO102" s="125">
        <f>AH102*-Valores!$C$72</f>
        <v>0</v>
      </c>
      <c r="AP102" s="125">
        <f>AH102*Valores!$C$73</f>
        <v>-7797.336749999999</v>
      </c>
      <c r="AQ102" s="125">
        <f>Valores!$C$100</f>
        <v>-554.86</v>
      </c>
      <c r="AR102" s="125">
        <f>IF($F$5=0,Valores!$C$101,(Valores!$C$101+$F$5*(Valores!$C$101)))</f>
        <v>-550</v>
      </c>
      <c r="AS102" s="125">
        <f t="shared" si="16"/>
        <v>145311.79674999998</v>
      </c>
      <c r="AT102" s="125">
        <f t="shared" si="10"/>
        <v>-19060.156499999997</v>
      </c>
      <c r="AU102" s="125">
        <f>AH102*Valores!$C$74</f>
        <v>-4678.402049999999</v>
      </c>
      <c r="AV102" s="125">
        <f>AH102*Valores!$C$75</f>
        <v>-519.8224499999999</v>
      </c>
      <c r="AW102" s="125">
        <f t="shared" si="14"/>
        <v>149015.76899999997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2362.26</v>
      </c>
      <c r="G103" s="192">
        <v>2108</v>
      </c>
      <c r="H103" s="125">
        <f>ROUND(G103*Valores!$C$2,2)</f>
        <v>74323.02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15659.28</v>
      </c>
      <c r="N103" s="125">
        <f t="shared" si="11"/>
        <v>0</v>
      </c>
      <c r="O103" s="125">
        <f>Valores!$C$14</f>
        <v>35109.44</v>
      </c>
      <c r="P103" s="125">
        <f>Valores!$D$5</f>
        <v>18023.69</v>
      </c>
      <c r="Q103" s="125">
        <v>0</v>
      </c>
      <c r="R103" s="125">
        <f>IF($F$4="NO",Valores!$C$42,Valores!$C$42/2)</f>
        <v>11110.09</v>
      </c>
      <c r="S103" s="125">
        <f>Valores!$C$20</f>
        <v>16599.84</v>
      </c>
      <c r="T103" s="125">
        <f t="shared" si="17"/>
        <v>16599.84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26214.39</v>
      </c>
      <c r="AA103" s="125">
        <f>Valores!$C$25</f>
        <v>737.18</v>
      </c>
      <c r="AB103" s="214">
        <v>0</v>
      </c>
      <c r="AC103" s="125">
        <f t="shared" si="12"/>
        <v>0</v>
      </c>
      <c r="AD103" s="125">
        <f>Valores!$C$26</f>
        <v>737.18</v>
      </c>
      <c r="AE103" s="192">
        <v>0</v>
      </c>
      <c r="AF103" s="125">
        <f>ROUND(AE103*Valores!$C$2,2)</f>
        <v>0</v>
      </c>
      <c r="AG103" s="125">
        <f>ROUND(IF($F$4="NO",Valores!$C$63,Valores!$C$63/2),2)</f>
        <v>8427.87</v>
      </c>
      <c r="AH103" s="125">
        <f t="shared" si="15"/>
        <v>209304.24</v>
      </c>
      <c r="AI103" s="125">
        <f>Valores!$C$31</f>
        <v>0</v>
      </c>
      <c r="AJ103" s="125">
        <f>Valores!$C$87</f>
        <v>0</v>
      </c>
      <c r="AK103" s="125">
        <f>Valores!C$38*B103</f>
        <v>0</v>
      </c>
      <c r="AL103" s="125">
        <f>IF($F$3="NO",0,Valores!$C$56)</f>
        <v>0</v>
      </c>
      <c r="AM103" s="125">
        <f t="shared" si="13"/>
        <v>0</v>
      </c>
      <c r="AN103" s="125">
        <f>AH103*Valores!$C$71</f>
        <v>-23023.466399999998</v>
      </c>
      <c r="AO103" s="125">
        <f>AH103*-Valores!$C$72</f>
        <v>0</v>
      </c>
      <c r="AP103" s="125">
        <f>AH103*Valores!$C$73</f>
        <v>-9418.690799999998</v>
      </c>
      <c r="AQ103" s="125">
        <f>Valores!$C$100</f>
        <v>-554.86</v>
      </c>
      <c r="AR103" s="125">
        <f>IF($F$5=0,Valores!$C$101,(Valores!$C$101+$F$5*(Valores!$C$101)))</f>
        <v>-550</v>
      </c>
      <c r="AS103" s="125">
        <f t="shared" si="16"/>
        <v>175757.2228</v>
      </c>
      <c r="AT103" s="125">
        <f t="shared" si="10"/>
        <v>-23023.466399999998</v>
      </c>
      <c r="AU103" s="125">
        <f>AH103*Valores!$C$74</f>
        <v>-5651.21448</v>
      </c>
      <c r="AV103" s="125">
        <f>AH103*Valores!$C$75</f>
        <v>-627.91272</v>
      </c>
      <c r="AW103" s="125">
        <f t="shared" si="14"/>
        <v>180001.6464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1586.59</v>
      </c>
      <c r="G104" s="192">
        <v>1502</v>
      </c>
      <c r="H104" s="125">
        <f>ROUND(G104*Valores!$C$2,2)</f>
        <v>52956.92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12338.02</v>
      </c>
      <c r="N104" s="125">
        <f t="shared" si="11"/>
        <v>0</v>
      </c>
      <c r="O104" s="125">
        <f>Valores!$C$14</f>
        <v>35109.44</v>
      </c>
      <c r="P104" s="125">
        <f>Valores!$D$5</f>
        <v>18023.69</v>
      </c>
      <c r="Q104" s="125">
        <v>0</v>
      </c>
      <c r="R104" s="125">
        <f>IF($F$4="NO",Valores!$C$42,Valores!$C$42/2)</f>
        <v>11110.09</v>
      </c>
      <c r="S104" s="125">
        <f>Valores!$C$20</f>
        <v>16599.84</v>
      </c>
      <c r="T104" s="125">
        <f t="shared" si="17"/>
        <v>16599.84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26214.39</v>
      </c>
      <c r="AA104" s="125">
        <f>Valores!$C$25</f>
        <v>737.18</v>
      </c>
      <c r="AB104" s="214">
        <v>0</v>
      </c>
      <c r="AC104" s="125">
        <f t="shared" si="12"/>
        <v>0</v>
      </c>
      <c r="AD104" s="125">
        <f>Valores!$C$26</f>
        <v>737.18</v>
      </c>
      <c r="AE104" s="192">
        <v>0</v>
      </c>
      <c r="AF104" s="125">
        <f>ROUND(AE104*Valores!$C$2,2)</f>
        <v>0</v>
      </c>
      <c r="AG104" s="125">
        <f>ROUND(IF($F$4="NO",Valores!$C$63,Valores!$C$63/2),2)</f>
        <v>8427.87</v>
      </c>
      <c r="AH104" s="125">
        <f t="shared" si="15"/>
        <v>183841.20999999996</v>
      </c>
      <c r="AI104" s="125">
        <f>Valores!$C$31</f>
        <v>0</v>
      </c>
      <c r="AJ104" s="125">
        <f>Valores!$C$87</f>
        <v>0</v>
      </c>
      <c r="AK104" s="125">
        <f>Valores!C$38*B104</f>
        <v>0</v>
      </c>
      <c r="AL104" s="125">
        <f>IF($F$3="NO",0,Valores!$C$56)</f>
        <v>0</v>
      </c>
      <c r="AM104" s="125">
        <f t="shared" si="13"/>
        <v>0</v>
      </c>
      <c r="AN104" s="125">
        <f>AH104*Valores!$C$71</f>
        <v>-20222.533099999997</v>
      </c>
      <c r="AO104" s="125">
        <f>AH104*-Valores!$C$72</f>
        <v>0</v>
      </c>
      <c r="AP104" s="125">
        <f>AH104*Valores!$C$73</f>
        <v>-8272.854449999999</v>
      </c>
      <c r="AQ104" s="125">
        <f>Valores!$C$100</f>
        <v>-554.86</v>
      </c>
      <c r="AR104" s="125">
        <f>IF($F$5=0,Valores!$C$101,(Valores!$C$101+$F$5*(Valores!$C$101)))</f>
        <v>-550</v>
      </c>
      <c r="AS104" s="125">
        <f t="shared" si="16"/>
        <v>154240.96244999996</v>
      </c>
      <c r="AT104" s="125">
        <f t="shared" si="10"/>
        <v>-20222.533099999997</v>
      </c>
      <c r="AU104" s="125">
        <f>AH104*Valores!$C$74</f>
        <v>-4963.712669999999</v>
      </c>
      <c r="AV104" s="125">
        <f>AH104*Valores!$C$75</f>
        <v>-551.5236299999999</v>
      </c>
      <c r="AW104" s="125">
        <f t="shared" si="14"/>
        <v>158103.44059999997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2150.71</v>
      </c>
      <c r="G105" s="192">
        <v>2114</v>
      </c>
      <c r="H105" s="125">
        <f>ROUND(G105*Valores!$C$2,2)</f>
        <v>74534.57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15659.28</v>
      </c>
      <c r="N105" s="125">
        <f t="shared" si="11"/>
        <v>0</v>
      </c>
      <c r="O105" s="125">
        <f>Valores!$C$14</f>
        <v>35109.44</v>
      </c>
      <c r="P105" s="125">
        <f>Valores!$D$5</f>
        <v>18023.69</v>
      </c>
      <c r="Q105" s="125">
        <v>0</v>
      </c>
      <c r="R105" s="125">
        <f>IF($F$4="NO",Valores!$C$42,Valores!$C$42/2)</f>
        <v>11110.09</v>
      </c>
      <c r="S105" s="125">
        <f>Valores!$C$20</f>
        <v>16599.84</v>
      </c>
      <c r="T105" s="125">
        <f t="shared" si="17"/>
        <v>16599.84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26214.39</v>
      </c>
      <c r="AA105" s="125">
        <f>Valores!$C$25</f>
        <v>737.18</v>
      </c>
      <c r="AB105" s="214">
        <v>0</v>
      </c>
      <c r="AC105" s="125">
        <f t="shared" si="12"/>
        <v>0</v>
      </c>
      <c r="AD105" s="125">
        <f>Valores!$C$26</f>
        <v>737.18</v>
      </c>
      <c r="AE105" s="192">
        <v>0</v>
      </c>
      <c r="AF105" s="125">
        <f>ROUND(AE105*Valores!$C$2,2)</f>
        <v>0</v>
      </c>
      <c r="AG105" s="125">
        <f>ROUND(IF($F$4="NO",Valores!$C$63,Valores!$C$63/2),2)</f>
        <v>8427.87</v>
      </c>
      <c r="AH105" s="125">
        <f t="shared" si="15"/>
        <v>209304.24</v>
      </c>
      <c r="AI105" s="125">
        <f>Valores!$C$31</f>
        <v>0</v>
      </c>
      <c r="AJ105" s="125">
        <f>Valores!$C$87</f>
        <v>0</v>
      </c>
      <c r="AK105" s="125">
        <f>Valores!C$38*B105</f>
        <v>0</v>
      </c>
      <c r="AL105" s="125">
        <f>IF($F$3="NO",0,Valores!$C$56)</f>
        <v>0</v>
      </c>
      <c r="AM105" s="125">
        <f t="shared" si="13"/>
        <v>0</v>
      </c>
      <c r="AN105" s="125">
        <f>AH105*Valores!$C$71</f>
        <v>-23023.466399999998</v>
      </c>
      <c r="AO105" s="125">
        <f>AH105*-Valores!$C$72</f>
        <v>0</v>
      </c>
      <c r="AP105" s="125">
        <f>AH105*Valores!$C$73</f>
        <v>-9418.690799999998</v>
      </c>
      <c r="AQ105" s="125">
        <f>Valores!$C$100</f>
        <v>-554.86</v>
      </c>
      <c r="AR105" s="125">
        <f>IF($F$5=0,Valores!$C$101,(Valores!$C$101+$F$5*(Valores!$C$101)))</f>
        <v>-550</v>
      </c>
      <c r="AS105" s="125">
        <f t="shared" si="16"/>
        <v>175757.2228</v>
      </c>
      <c r="AT105" s="125">
        <f t="shared" si="10"/>
        <v>-23023.466399999998</v>
      </c>
      <c r="AU105" s="125">
        <f>AH105*Valores!$C$74</f>
        <v>-5651.21448</v>
      </c>
      <c r="AV105" s="125">
        <f>AH105*Valores!$C$75</f>
        <v>-627.91272</v>
      </c>
      <c r="AW105" s="125">
        <f t="shared" si="14"/>
        <v>180001.6464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2080.2</v>
      </c>
      <c r="G106" s="192">
        <v>2013</v>
      </c>
      <c r="H106" s="125">
        <f>ROUND(G106*Valores!$C$2,2)</f>
        <v>70973.55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15114.55</v>
      </c>
      <c r="N106" s="125">
        <f t="shared" si="11"/>
        <v>0</v>
      </c>
      <c r="O106" s="125">
        <f>Valores!$C$14</f>
        <v>35109.44</v>
      </c>
      <c r="P106" s="125">
        <f>Valores!$D$5</f>
        <v>18023.69</v>
      </c>
      <c r="Q106" s="125">
        <v>0</v>
      </c>
      <c r="R106" s="125">
        <f>IF($F$4="NO",Valores!$C$42,Valores!$C$42/2)</f>
        <v>11110.09</v>
      </c>
      <c r="S106" s="125">
        <f>Valores!$C$20</f>
        <v>16599.84</v>
      </c>
      <c r="T106" s="125">
        <f t="shared" si="17"/>
        <v>16599.84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26214.39</v>
      </c>
      <c r="AA106" s="125">
        <f>Valores!$C$25</f>
        <v>737.18</v>
      </c>
      <c r="AB106" s="214">
        <v>0</v>
      </c>
      <c r="AC106" s="125">
        <f t="shared" si="12"/>
        <v>0</v>
      </c>
      <c r="AD106" s="125">
        <f>Valores!$C$26</f>
        <v>737.18</v>
      </c>
      <c r="AE106" s="192">
        <v>0</v>
      </c>
      <c r="AF106" s="125">
        <f>ROUND(AE106*Valores!$C$2,2)</f>
        <v>0</v>
      </c>
      <c r="AG106" s="125">
        <f>ROUND(IF($F$4="NO",Valores!$C$63,Valores!$C$63/2),2)</f>
        <v>8427.87</v>
      </c>
      <c r="AH106" s="125">
        <f t="shared" si="15"/>
        <v>205127.97999999998</v>
      </c>
      <c r="AI106" s="125">
        <f>Valores!$C$31</f>
        <v>0</v>
      </c>
      <c r="AJ106" s="125">
        <f>Valores!$C$87</f>
        <v>0</v>
      </c>
      <c r="AK106" s="125">
        <f>Valores!C$38*B106</f>
        <v>0</v>
      </c>
      <c r="AL106" s="125">
        <f>IF($F$3="NO",0,Valores!$C$56)</f>
        <v>0</v>
      </c>
      <c r="AM106" s="125">
        <f t="shared" si="13"/>
        <v>0</v>
      </c>
      <c r="AN106" s="125">
        <f>AH106*Valores!$C$71</f>
        <v>-22564.0778</v>
      </c>
      <c r="AO106" s="125">
        <f>AH106*-Valores!$C$72</f>
        <v>0</v>
      </c>
      <c r="AP106" s="125">
        <f>AH106*Valores!$C$73</f>
        <v>-9230.7591</v>
      </c>
      <c r="AQ106" s="125">
        <f>Valores!$C$100</f>
        <v>-554.86</v>
      </c>
      <c r="AR106" s="125">
        <f>IF($F$5=0,Valores!$C$101,(Valores!$C$101+$F$5*(Valores!$C$101)))</f>
        <v>-550</v>
      </c>
      <c r="AS106" s="125">
        <f t="shared" si="16"/>
        <v>172228.2831</v>
      </c>
      <c r="AT106" s="125">
        <f t="shared" si="10"/>
        <v>-22564.0778</v>
      </c>
      <c r="AU106" s="125">
        <f>AH106*Valores!$C$74</f>
        <v>-5538.455459999999</v>
      </c>
      <c r="AV106" s="125">
        <f>AH106*Valores!$C$75</f>
        <v>-615.3839399999999</v>
      </c>
      <c r="AW106" s="125">
        <f t="shared" si="14"/>
        <v>176410.06279999999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1974.43</v>
      </c>
      <c r="G107" s="192">
        <v>1720</v>
      </c>
      <c r="H107" s="125">
        <f>ROUND(G107*Valores!$C$2,2)</f>
        <v>60643.07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13549.11</v>
      </c>
      <c r="N107" s="125">
        <f t="shared" si="11"/>
        <v>0</v>
      </c>
      <c r="O107" s="125">
        <f>Valores!$C$14</f>
        <v>35109.44</v>
      </c>
      <c r="P107" s="125">
        <f>Valores!$D$5</f>
        <v>18023.69</v>
      </c>
      <c r="Q107" s="125">
        <v>0</v>
      </c>
      <c r="R107" s="125">
        <f>IF($F$4="NO",Valores!$C$42,Valores!$C$42/2)</f>
        <v>11110.09</v>
      </c>
      <c r="S107" s="125">
        <f>Valores!$C$20</f>
        <v>16599.84</v>
      </c>
      <c r="T107" s="125">
        <f t="shared" si="17"/>
        <v>16599.84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26214.39</v>
      </c>
      <c r="AA107" s="125">
        <f>Valores!$C$25</f>
        <v>737.18</v>
      </c>
      <c r="AB107" s="214">
        <v>0</v>
      </c>
      <c r="AC107" s="125">
        <f t="shared" si="12"/>
        <v>0</v>
      </c>
      <c r="AD107" s="125">
        <f>Valores!$C$26</f>
        <v>737.18</v>
      </c>
      <c r="AE107" s="192">
        <v>0</v>
      </c>
      <c r="AF107" s="125">
        <f>ROUND(AE107*Valores!$C$2,2)</f>
        <v>0</v>
      </c>
      <c r="AG107" s="125">
        <f>ROUND(IF($F$4="NO",Valores!$C$63,Valores!$C$63/2),2)</f>
        <v>8427.87</v>
      </c>
      <c r="AH107" s="125">
        <f t="shared" si="15"/>
        <v>193126.28999999998</v>
      </c>
      <c r="AI107" s="125">
        <f>Valores!$C$31</f>
        <v>0</v>
      </c>
      <c r="AJ107" s="125">
        <f>Valores!$C$87</f>
        <v>0</v>
      </c>
      <c r="AK107" s="125">
        <f>Valores!C$38*B107</f>
        <v>0</v>
      </c>
      <c r="AL107" s="125">
        <f>IF($F$3="NO",0,Valores!$C$56)</f>
        <v>0</v>
      </c>
      <c r="AM107" s="125">
        <f t="shared" si="13"/>
        <v>0</v>
      </c>
      <c r="AN107" s="125">
        <f>AH107*Valores!$C$71</f>
        <v>-21243.8919</v>
      </c>
      <c r="AO107" s="125">
        <f>AH107*-Valores!$C$72</f>
        <v>0</v>
      </c>
      <c r="AP107" s="125">
        <f>AH107*Valores!$C$73</f>
        <v>-8690.68305</v>
      </c>
      <c r="AQ107" s="125">
        <f>Valores!$C$100</f>
        <v>-554.86</v>
      </c>
      <c r="AR107" s="125">
        <f>IF($F$5=0,Valores!$C$101,(Valores!$C$101+$F$5*(Valores!$C$101)))</f>
        <v>-550</v>
      </c>
      <c r="AS107" s="125">
        <f t="shared" si="16"/>
        <v>162086.85504999998</v>
      </c>
      <c r="AT107" s="125">
        <f t="shared" si="10"/>
        <v>-21243.8919</v>
      </c>
      <c r="AU107" s="125">
        <f>AH107*Valores!$C$74</f>
        <v>-5214.40983</v>
      </c>
      <c r="AV107" s="125">
        <f>AH107*Valores!$C$75</f>
        <v>-579.3788699999999</v>
      </c>
      <c r="AW107" s="125">
        <f t="shared" si="14"/>
        <v>166088.6094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1586.59</v>
      </c>
      <c r="G108" s="192">
        <v>1502</v>
      </c>
      <c r="H108" s="125">
        <f>ROUND(G108*Valores!$C$2,2)</f>
        <v>52956.92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12338.02</v>
      </c>
      <c r="N108" s="125">
        <f t="shared" si="11"/>
        <v>0</v>
      </c>
      <c r="O108" s="125">
        <f>Valores!$C$14</f>
        <v>35109.44</v>
      </c>
      <c r="P108" s="125">
        <f>Valores!$D$5</f>
        <v>18023.69</v>
      </c>
      <c r="Q108" s="125">
        <v>0</v>
      </c>
      <c r="R108" s="125">
        <f>IF($F$4="NO",Valores!$C$42,Valores!$C$42/2)</f>
        <v>11110.09</v>
      </c>
      <c r="S108" s="125">
        <f>Valores!$C$20</f>
        <v>16599.84</v>
      </c>
      <c r="T108" s="125">
        <f t="shared" si="17"/>
        <v>16599.84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26214.39</v>
      </c>
      <c r="AA108" s="125">
        <f>Valores!$C$25</f>
        <v>737.18</v>
      </c>
      <c r="AB108" s="214">
        <v>0</v>
      </c>
      <c r="AC108" s="125">
        <f t="shared" si="12"/>
        <v>0</v>
      </c>
      <c r="AD108" s="125">
        <f>Valores!$C$26</f>
        <v>737.18</v>
      </c>
      <c r="AE108" s="192">
        <v>0</v>
      </c>
      <c r="AF108" s="125">
        <f>ROUND(AE108*Valores!$C$2,2)</f>
        <v>0</v>
      </c>
      <c r="AG108" s="125">
        <f>ROUND(IF($F$4="NO",Valores!$C$63,Valores!$C$63/2),2)</f>
        <v>8427.87</v>
      </c>
      <c r="AH108" s="125">
        <f t="shared" si="15"/>
        <v>183841.20999999996</v>
      </c>
      <c r="AI108" s="125">
        <f>Valores!$C$31</f>
        <v>0</v>
      </c>
      <c r="AJ108" s="125">
        <f>Valores!$C$87</f>
        <v>0</v>
      </c>
      <c r="AK108" s="125">
        <f>Valores!C$38*B108</f>
        <v>0</v>
      </c>
      <c r="AL108" s="125">
        <f>IF($F$3="NO",0,Valores!$C$56)</f>
        <v>0</v>
      </c>
      <c r="AM108" s="125">
        <f t="shared" si="13"/>
        <v>0</v>
      </c>
      <c r="AN108" s="125">
        <f>AH108*Valores!$C$71</f>
        <v>-20222.533099999997</v>
      </c>
      <c r="AO108" s="125">
        <f>AH108*-Valores!$C$72</f>
        <v>0</v>
      </c>
      <c r="AP108" s="125">
        <f>AH108*Valores!$C$73</f>
        <v>-8272.854449999999</v>
      </c>
      <c r="AQ108" s="125">
        <f>Valores!$C$100</f>
        <v>-554.86</v>
      </c>
      <c r="AR108" s="125">
        <f>IF($F$5=0,Valores!$C$101,(Valores!$C$101+$F$5*(Valores!$C$101)))</f>
        <v>-550</v>
      </c>
      <c r="AS108" s="125">
        <f t="shared" si="16"/>
        <v>154240.96244999996</v>
      </c>
      <c r="AT108" s="125">
        <f t="shared" si="10"/>
        <v>-20222.533099999997</v>
      </c>
      <c r="AU108" s="125">
        <f>AH108*Valores!$C$74</f>
        <v>-4963.712669999999</v>
      </c>
      <c r="AV108" s="125">
        <f>AH108*Valores!$C$75</f>
        <v>-551.5236299999999</v>
      </c>
      <c r="AW108" s="125">
        <f t="shared" si="14"/>
        <v>158103.44059999997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1586.59</v>
      </c>
      <c r="G109" s="192">
        <v>1139</v>
      </c>
      <c r="H109" s="125">
        <f>ROUND(G109*Valores!$C$2,2)</f>
        <v>40158.41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10418.24</v>
      </c>
      <c r="N109" s="125">
        <f t="shared" si="11"/>
        <v>0</v>
      </c>
      <c r="O109" s="125">
        <f>Valores!$C$14</f>
        <v>35109.44</v>
      </c>
      <c r="P109" s="125">
        <f>Valores!$D$5</f>
        <v>18023.69</v>
      </c>
      <c r="Q109" s="125">
        <v>0</v>
      </c>
      <c r="R109" s="125">
        <f>IF($F$4="NO",Valores!$C$42,Valores!$C$42/2)</f>
        <v>11110.09</v>
      </c>
      <c r="S109" s="125">
        <f>Valores!$C$20</f>
        <v>16599.84</v>
      </c>
      <c r="T109" s="125">
        <f t="shared" si="17"/>
        <v>16599.84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26214.39</v>
      </c>
      <c r="AA109" s="125">
        <f>Valores!$C$25</f>
        <v>737.18</v>
      </c>
      <c r="AB109" s="214">
        <v>0</v>
      </c>
      <c r="AC109" s="125">
        <f t="shared" si="12"/>
        <v>0</v>
      </c>
      <c r="AD109" s="125">
        <f>Valores!$C$26</f>
        <v>737.18</v>
      </c>
      <c r="AE109" s="192">
        <v>0</v>
      </c>
      <c r="AF109" s="125">
        <f>ROUND(AE109*Valores!$C$2,2)</f>
        <v>0</v>
      </c>
      <c r="AG109" s="125">
        <f>ROUND(IF($F$4="NO",Valores!$C$63,Valores!$C$63/2),2)</f>
        <v>8427.87</v>
      </c>
      <c r="AH109" s="125">
        <f t="shared" si="15"/>
        <v>169122.91999999998</v>
      </c>
      <c r="AI109" s="125">
        <f>Valores!$C$31</f>
        <v>0</v>
      </c>
      <c r="AJ109" s="125">
        <f>Valores!$C$87</f>
        <v>0</v>
      </c>
      <c r="AK109" s="125">
        <f>Valores!C$38*B109</f>
        <v>0</v>
      </c>
      <c r="AL109" s="125">
        <f>IF($F$3="NO",0,Valores!$C$56)</f>
        <v>0</v>
      </c>
      <c r="AM109" s="125">
        <f t="shared" si="13"/>
        <v>0</v>
      </c>
      <c r="AN109" s="125">
        <f>AH109*Valores!$C$71</f>
        <v>-18603.5212</v>
      </c>
      <c r="AO109" s="125">
        <f>AH109*-Valores!$C$72</f>
        <v>0</v>
      </c>
      <c r="AP109" s="125">
        <f>AH109*Valores!$C$73</f>
        <v>-7610.531399999999</v>
      </c>
      <c r="AQ109" s="125">
        <f>Valores!$C$100</f>
        <v>-554.86</v>
      </c>
      <c r="AR109" s="125">
        <f>IF($F$5=0,Valores!$C$101,(Valores!$C$101+$F$5*(Valores!$C$101)))</f>
        <v>-550</v>
      </c>
      <c r="AS109" s="125">
        <f t="shared" si="16"/>
        <v>141804.00739999997</v>
      </c>
      <c r="AT109" s="125">
        <f t="shared" si="10"/>
        <v>-18603.5212</v>
      </c>
      <c r="AU109" s="125">
        <f>AH109*Valores!$C$74</f>
        <v>-4566.31884</v>
      </c>
      <c r="AV109" s="125">
        <f>AH109*Valores!$C$75</f>
        <v>-507.36875999999995</v>
      </c>
      <c r="AW109" s="125">
        <f t="shared" si="14"/>
        <v>145445.7112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1621.85</v>
      </c>
      <c r="G110" s="192">
        <v>1102</v>
      </c>
      <c r="H110" s="125">
        <f>ROUND(G110*Valores!$C$2,2)</f>
        <v>38853.88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10227.85</v>
      </c>
      <c r="N110" s="125">
        <f t="shared" si="11"/>
        <v>0</v>
      </c>
      <c r="O110" s="125">
        <f>Valores!$C$14</f>
        <v>35109.44</v>
      </c>
      <c r="P110" s="125">
        <f>Valores!$D$5</f>
        <v>18023.69</v>
      </c>
      <c r="Q110" s="125">
        <v>0</v>
      </c>
      <c r="R110" s="125">
        <f>IF($F$4="NO",Valores!$C$42,Valores!$C$42/2)</f>
        <v>11110.09</v>
      </c>
      <c r="S110" s="125">
        <f>Valores!$C$20</f>
        <v>16599.84</v>
      </c>
      <c r="T110" s="125">
        <f t="shared" si="17"/>
        <v>16599.84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26214.39</v>
      </c>
      <c r="AA110" s="125">
        <f>Valores!$C$25</f>
        <v>737.18</v>
      </c>
      <c r="AB110" s="214">
        <v>0</v>
      </c>
      <c r="AC110" s="125">
        <f t="shared" si="12"/>
        <v>0</v>
      </c>
      <c r="AD110" s="125">
        <f>Valores!$C$26</f>
        <v>737.18</v>
      </c>
      <c r="AE110" s="192">
        <v>0</v>
      </c>
      <c r="AF110" s="125">
        <f>ROUND(AE110*Valores!$C$2,2)</f>
        <v>0</v>
      </c>
      <c r="AG110" s="125">
        <f>ROUND(IF($F$4="NO",Valores!$C$63,Valores!$C$63/2),2)</f>
        <v>8427.87</v>
      </c>
      <c r="AH110" s="125">
        <f t="shared" si="15"/>
        <v>167663.25999999995</v>
      </c>
      <c r="AI110" s="125">
        <f>Valores!$C$31</f>
        <v>0</v>
      </c>
      <c r="AJ110" s="125">
        <f>Valores!$C$87</f>
        <v>0</v>
      </c>
      <c r="AK110" s="125">
        <f>Valores!C$38*B110</f>
        <v>0</v>
      </c>
      <c r="AL110" s="125">
        <f>IF($F$3="NO",0,Valores!$C$56)</f>
        <v>0</v>
      </c>
      <c r="AM110" s="125">
        <f t="shared" si="13"/>
        <v>0</v>
      </c>
      <c r="AN110" s="125">
        <f>AH110*Valores!$C$71</f>
        <v>-18442.958599999994</v>
      </c>
      <c r="AO110" s="125">
        <f>AH110*-Valores!$C$72</f>
        <v>0</v>
      </c>
      <c r="AP110" s="125">
        <f>AH110*Valores!$C$73</f>
        <v>-7544.846699999997</v>
      </c>
      <c r="AQ110" s="125">
        <f>Valores!$C$100</f>
        <v>-554.86</v>
      </c>
      <c r="AR110" s="125">
        <f>IF($F$5=0,Valores!$C$101,(Valores!$C$101+$F$5*(Valores!$C$101)))</f>
        <v>-550</v>
      </c>
      <c r="AS110" s="125">
        <f t="shared" si="16"/>
        <v>140570.59469999996</v>
      </c>
      <c r="AT110" s="125">
        <f t="shared" si="10"/>
        <v>-18442.958599999994</v>
      </c>
      <c r="AU110" s="125">
        <f>AH110*Valores!$C$74</f>
        <v>-4526.908019999999</v>
      </c>
      <c r="AV110" s="125">
        <f>AH110*Valores!$C$75</f>
        <v>-502.9897799999999</v>
      </c>
      <c r="AW110" s="125">
        <f t="shared" si="14"/>
        <v>144190.40359999996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2327</v>
      </c>
      <c r="G111" s="192">
        <v>1911</v>
      </c>
      <c r="H111" s="125">
        <f>ROUND(G111*Valores!$C$2,2)</f>
        <v>67377.27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14612.13</v>
      </c>
      <c r="N111" s="125">
        <f t="shared" si="11"/>
        <v>0</v>
      </c>
      <c r="O111" s="125">
        <f>Valores!$C$14</f>
        <v>35109.44</v>
      </c>
      <c r="P111" s="125">
        <f>Valores!$D$5</f>
        <v>18023.69</v>
      </c>
      <c r="Q111" s="125">
        <f>Valores!$C$22</f>
        <v>16079.99</v>
      </c>
      <c r="R111" s="125">
        <f>IF($F$4="NO",Valores!$C$42,Valores!$C$42/2)</f>
        <v>11110.09</v>
      </c>
      <c r="S111" s="125">
        <f>Valores!$C$20</f>
        <v>16599.84</v>
      </c>
      <c r="T111" s="125">
        <f t="shared" si="17"/>
        <v>16599.84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26214.39</v>
      </c>
      <c r="AA111" s="125">
        <f>Valores!$C$25</f>
        <v>737.18</v>
      </c>
      <c r="AB111" s="214">
        <v>0</v>
      </c>
      <c r="AC111" s="125">
        <f t="shared" si="12"/>
        <v>0</v>
      </c>
      <c r="AD111" s="125">
        <f>Valores!$C$26</f>
        <v>737.18</v>
      </c>
      <c r="AE111" s="192">
        <v>94</v>
      </c>
      <c r="AF111" s="125">
        <f>ROUND(AE111*Valores!$C$2,2)</f>
        <v>3314.21</v>
      </c>
      <c r="AG111" s="125">
        <f>ROUND(IF($F$4="NO",Valores!$C$63,Valores!$C$63/2),2)</f>
        <v>8427.87</v>
      </c>
      <c r="AH111" s="125">
        <f t="shared" si="15"/>
        <v>220670.27999999994</v>
      </c>
      <c r="AI111" s="125">
        <f>Valores!$C$31</f>
        <v>0</v>
      </c>
      <c r="AJ111" s="125">
        <f>Valores!$C$87</f>
        <v>0</v>
      </c>
      <c r="AK111" s="125">
        <f>Valores!C$38*B111</f>
        <v>0</v>
      </c>
      <c r="AL111" s="125">
        <f>IF($F$3="NO",0,Valores!$C$56)</f>
        <v>0</v>
      </c>
      <c r="AM111" s="125">
        <f t="shared" si="13"/>
        <v>0</v>
      </c>
      <c r="AN111" s="125">
        <f>AH111*Valores!$C$71</f>
        <v>-24273.730799999994</v>
      </c>
      <c r="AO111" s="125">
        <f>AH111*-Valores!$C$72</f>
        <v>0</v>
      </c>
      <c r="AP111" s="125">
        <f>AH111*Valores!$C$73</f>
        <v>-9930.162599999998</v>
      </c>
      <c r="AQ111" s="125">
        <f>Valores!$C$100</f>
        <v>-554.86</v>
      </c>
      <c r="AR111" s="125">
        <f>IF($F$5=0,Valores!$C$101,(Valores!$C$101+$F$5*(Valores!$C$101)))</f>
        <v>-550</v>
      </c>
      <c r="AS111" s="125">
        <f t="shared" si="16"/>
        <v>185361.52659999995</v>
      </c>
      <c r="AT111" s="125">
        <f t="shared" si="10"/>
        <v>-24273.730799999994</v>
      </c>
      <c r="AU111" s="125">
        <f>AH111*Valores!$C$74</f>
        <v>-5958.097559999998</v>
      </c>
      <c r="AV111" s="125">
        <f>AH111*Valores!$C$75</f>
        <v>-662.0108399999998</v>
      </c>
      <c r="AW111" s="125">
        <f t="shared" si="14"/>
        <v>189776.44079999995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2150.71</v>
      </c>
      <c r="G112" s="192">
        <v>1545</v>
      </c>
      <c r="H112" s="125">
        <f>ROUND(G112*Valores!$C$2,2)</f>
        <v>54472.99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12650.04</v>
      </c>
      <c r="N112" s="125">
        <f t="shared" si="11"/>
        <v>0</v>
      </c>
      <c r="O112" s="125">
        <f>Valores!$C$14</f>
        <v>35109.44</v>
      </c>
      <c r="P112" s="125">
        <f>Valores!$D$5</f>
        <v>18023.69</v>
      </c>
      <c r="Q112" s="125">
        <f>Valores!$C$22</f>
        <v>16079.99</v>
      </c>
      <c r="R112" s="125">
        <f>IF($F$4="NO",Valores!$C$42,Valores!$C$42/2)</f>
        <v>11110.09</v>
      </c>
      <c r="S112" s="125">
        <f>Valores!$C$20</f>
        <v>16599.84</v>
      </c>
      <c r="T112" s="125">
        <f t="shared" si="17"/>
        <v>16599.84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26214.39</v>
      </c>
      <c r="AA112" s="125">
        <f>Valores!$C$25</f>
        <v>737.18</v>
      </c>
      <c r="AB112" s="214">
        <v>0</v>
      </c>
      <c r="AC112" s="125">
        <f t="shared" si="12"/>
        <v>0</v>
      </c>
      <c r="AD112" s="125">
        <f>Valores!$C$26</f>
        <v>737.18</v>
      </c>
      <c r="AE112" s="192">
        <v>94</v>
      </c>
      <c r="AF112" s="125">
        <f>ROUND(AE112*Valores!$C$2,2)</f>
        <v>3314.21</v>
      </c>
      <c r="AG112" s="125">
        <f>ROUND(IF($F$4="NO",Valores!$C$63,Valores!$C$63/2),2)</f>
        <v>8427.87</v>
      </c>
      <c r="AH112" s="125">
        <f t="shared" si="15"/>
        <v>205627.61999999997</v>
      </c>
      <c r="AI112" s="125">
        <f>Valores!$C$31</f>
        <v>0</v>
      </c>
      <c r="AJ112" s="125">
        <f>Valores!$C$87</f>
        <v>0</v>
      </c>
      <c r="AK112" s="125">
        <f>Valores!C$38*B112</f>
        <v>0</v>
      </c>
      <c r="AL112" s="125">
        <f>IF($F$3="NO",0,Valores!$C$56)</f>
        <v>0</v>
      </c>
      <c r="AM112" s="125">
        <f t="shared" si="13"/>
        <v>0</v>
      </c>
      <c r="AN112" s="125">
        <f>AH112*Valores!$C$71</f>
        <v>-22619.038199999995</v>
      </c>
      <c r="AO112" s="125">
        <f>AH112*-Valores!$C$72</f>
        <v>0</v>
      </c>
      <c r="AP112" s="125">
        <f>AH112*Valores!$C$73</f>
        <v>-9253.242899999997</v>
      </c>
      <c r="AQ112" s="125">
        <f>Valores!$C$100</f>
        <v>-554.86</v>
      </c>
      <c r="AR112" s="125">
        <f>IF($F$5=0,Valores!$C$101,(Valores!$C$101+$F$5*(Valores!$C$101)))</f>
        <v>-550</v>
      </c>
      <c r="AS112" s="125">
        <f t="shared" si="16"/>
        <v>172650.4789</v>
      </c>
      <c r="AT112" s="125">
        <f t="shared" si="10"/>
        <v>-22619.038199999995</v>
      </c>
      <c r="AU112" s="125">
        <f>AH112*Valores!$C$74</f>
        <v>-5551.945739999999</v>
      </c>
      <c r="AV112" s="125">
        <f>AH112*Valores!$C$75</f>
        <v>-616.8828599999999</v>
      </c>
      <c r="AW112" s="125">
        <f t="shared" si="14"/>
        <v>176839.75319999998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7686.16</v>
      </c>
      <c r="G113" s="192">
        <v>2100</v>
      </c>
      <c r="H113" s="125">
        <f>ROUND(G113*Valores!$C$2,2)</f>
        <v>74040.96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16415.56</v>
      </c>
      <c r="N113" s="125">
        <f t="shared" si="11"/>
        <v>0</v>
      </c>
      <c r="O113" s="125">
        <f>Valores!$C$14</f>
        <v>35109.44</v>
      </c>
      <c r="P113" s="125">
        <f>Valores!$D$5</f>
        <v>18023.69</v>
      </c>
      <c r="Q113" s="125">
        <f>Valores!$C$22</f>
        <v>16079.99</v>
      </c>
      <c r="R113" s="125">
        <f>IF($F$4="NO",Valores!$C$42,Valores!$C$42/2)</f>
        <v>11110.09</v>
      </c>
      <c r="S113" s="125">
        <f>Valores!$C$20</f>
        <v>16599.84</v>
      </c>
      <c r="T113" s="125">
        <f t="shared" si="17"/>
        <v>16599.84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26214.39</v>
      </c>
      <c r="AA113" s="125">
        <f>Valores!$C$25</f>
        <v>737.18</v>
      </c>
      <c r="AB113" s="214">
        <v>0</v>
      </c>
      <c r="AC113" s="125">
        <f t="shared" si="12"/>
        <v>0</v>
      </c>
      <c r="AD113" s="125">
        <f>Valores!$C$26</f>
        <v>737.18</v>
      </c>
      <c r="AE113" s="192">
        <v>0</v>
      </c>
      <c r="AF113" s="125">
        <f>ROUND(AE113*Valores!$C$2,2)</f>
        <v>0</v>
      </c>
      <c r="AG113" s="125">
        <f>ROUND(IF($F$4="NO",Valores!$C$63,Valores!$C$63/2),2)</f>
        <v>8427.87</v>
      </c>
      <c r="AH113" s="125">
        <f t="shared" si="15"/>
        <v>231182.34999999998</v>
      </c>
      <c r="AI113" s="125">
        <f>Valores!$C$31</f>
        <v>0</v>
      </c>
      <c r="AJ113" s="125">
        <f>Valores!$C$87</f>
        <v>0</v>
      </c>
      <c r="AK113" s="125">
        <f>Valores!C$38*B113</f>
        <v>0</v>
      </c>
      <c r="AL113" s="125">
        <f>IF($F$3="NO",0,Valores!$C$56)</f>
        <v>0</v>
      </c>
      <c r="AM113" s="125">
        <f t="shared" si="13"/>
        <v>0</v>
      </c>
      <c r="AN113" s="125">
        <f>AH113*Valores!$C$71</f>
        <v>-25430.0585</v>
      </c>
      <c r="AO113" s="125">
        <f>AH113*-Valores!$C$72</f>
        <v>0</v>
      </c>
      <c r="AP113" s="125">
        <f>AH113*Valores!$C$73</f>
        <v>-10403.20575</v>
      </c>
      <c r="AQ113" s="125">
        <f>Valores!$C$100</f>
        <v>-554.86</v>
      </c>
      <c r="AR113" s="125">
        <f>IF($F$5=0,Valores!$C$101,(Valores!$C$101+$F$5*(Valores!$C$101)))</f>
        <v>-550</v>
      </c>
      <c r="AS113" s="125">
        <f t="shared" si="16"/>
        <v>194244.22574999998</v>
      </c>
      <c r="AT113" s="125">
        <f t="shared" si="10"/>
        <v>-25430.0585</v>
      </c>
      <c r="AU113" s="125">
        <f>AH113*Valores!$C$74</f>
        <v>-6241.923449999999</v>
      </c>
      <c r="AV113" s="125">
        <f>AH113*Valores!$C$75</f>
        <v>-693.5470499999999</v>
      </c>
      <c r="AW113" s="125">
        <f t="shared" si="14"/>
        <v>198816.82099999997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7756.67</v>
      </c>
      <c r="G114" s="192">
        <v>1995</v>
      </c>
      <c r="H114" s="125">
        <f>ROUND(G114*Valores!$C$2,2)</f>
        <v>70338.91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15870.83</v>
      </c>
      <c r="N114" s="125">
        <f t="shared" si="11"/>
        <v>0</v>
      </c>
      <c r="O114" s="125">
        <f>Valores!$C$14</f>
        <v>35109.44</v>
      </c>
      <c r="P114" s="125">
        <f>Valores!$D$5</f>
        <v>18023.69</v>
      </c>
      <c r="Q114" s="125">
        <f>Valores!$C$22</f>
        <v>16079.99</v>
      </c>
      <c r="R114" s="125">
        <f>IF($F$4="NO",Valores!$C$42,Valores!$C$42/2)</f>
        <v>11110.09</v>
      </c>
      <c r="S114" s="125">
        <f>Valores!$C$20</f>
        <v>16599.84</v>
      </c>
      <c r="T114" s="125">
        <f t="shared" si="17"/>
        <v>16599.84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26214.39</v>
      </c>
      <c r="AA114" s="125">
        <f>Valores!$C$25</f>
        <v>737.18</v>
      </c>
      <c r="AB114" s="214">
        <v>0</v>
      </c>
      <c r="AC114" s="125">
        <f t="shared" si="12"/>
        <v>0</v>
      </c>
      <c r="AD114" s="125">
        <f>Valores!$C$26</f>
        <v>737.18</v>
      </c>
      <c r="AE114" s="192">
        <v>0</v>
      </c>
      <c r="AF114" s="125">
        <f>ROUND(AE114*Valores!$C$2,2)</f>
        <v>0</v>
      </c>
      <c r="AG114" s="125">
        <f>ROUND(IF($F$4="NO",Valores!$C$63,Valores!$C$63/2),2)</f>
        <v>8427.87</v>
      </c>
      <c r="AH114" s="125">
        <f t="shared" si="15"/>
        <v>227006.07999999996</v>
      </c>
      <c r="AI114" s="125">
        <f>Valores!$C$31</f>
        <v>0</v>
      </c>
      <c r="AJ114" s="125">
        <f>Valores!$C$87</f>
        <v>0</v>
      </c>
      <c r="AK114" s="125">
        <f>Valores!C$38*B114</f>
        <v>0</v>
      </c>
      <c r="AL114" s="125">
        <f>IF($F$3="NO",0,Valores!$C$56)</f>
        <v>0</v>
      </c>
      <c r="AM114" s="125">
        <f t="shared" si="13"/>
        <v>0</v>
      </c>
      <c r="AN114" s="125">
        <f>AH114*Valores!$C$71</f>
        <v>-24970.668799999996</v>
      </c>
      <c r="AO114" s="125">
        <f>AH114*-Valores!$C$72</f>
        <v>0</v>
      </c>
      <c r="AP114" s="125">
        <f>AH114*Valores!$C$73</f>
        <v>-10215.273599999999</v>
      </c>
      <c r="AQ114" s="125">
        <f>Valores!$C$100</f>
        <v>-554.86</v>
      </c>
      <c r="AR114" s="125">
        <f>IF($F$5=0,Valores!$C$101,(Valores!$C$101+$F$5*(Valores!$C$101)))</f>
        <v>-550</v>
      </c>
      <c r="AS114" s="125">
        <f t="shared" si="16"/>
        <v>190715.27759999997</v>
      </c>
      <c r="AT114" s="125">
        <f t="shared" si="10"/>
        <v>-24970.668799999996</v>
      </c>
      <c r="AU114" s="125">
        <f>AH114*Valores!$C$74</f>
        <v>-6129.164159999998</v>
      </c>
      <c r="AV114" s="125">
        <f>AH114*Valores!$C$75</f>
        <v>-681.0182399999999</v>
      </c>
      <c r="AW114" s="125">
        <f t="shared" si="14"/>
        <v>195225.22879999995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6593.17</v>
      </c>
      <c r="G115" s="192">
        <v>1704</v>
      </c>
      <c r="H115" s="125">
        <f>ROUND(G115*Valores!$C$2,2)</f>
        <v>60078.95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14157.31</v>
      </c>
      <c r="N115" s="125">
        <f t="shared" si="11"/>
        <v>0</v>
      </c>
      <c r="O115" s="125">
        <f>Valores!$C$14</f>
        <v>35109.44</v>
      </c>
      <c r="P115" s="125">
        <f>Valores!$D$5</f>
        <v>18023.69</v>
      </c>
      <c r="Q115" s="125">
        <f>Valores!$C$22</f>
        <v>16079.99</v>
      </c>
      <c r="R115" s="125">
        <f>IF($F$4="NO",Valores!$C$42,Valores!$C$42/2)</f>
        <v>11110.09</v>
      </c>
      <c r="S115" s="125">
        <f>Valores!$C$20</f>
        <v>16599.84</v>
      </c>
      <c r="T115" s="125">
        <f t="shared" si="17"/>
        <v>16599.84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26214.39</v>
      </c>
      <c r="AA115" s="125">
        <f>Valores!$C$25</f>
        <v>737.18</v>
      </c>
      <c r="AB115" s="214">
        <v>0</v>
      </c>
      <c r="AC115" s="125">
        <f t="shared" si="12"/>
        <v>0</v>
      </c>
      <c r="AD115" s="125">
        <f>Valores!$C$26</f>
        <v>737.18</v>
      </c>
      <c r="AE115" s="192">
        <v>0</v>
      </c>
      <c r="AF115" s="125">
        <f>ROUND(AE115*Valores!$C$2,2)</f>
        <v>0</v>
      </c>
      <c r="AG115" s="125">
        <f>ROUND(IF($F$4="NO",Valores!$C$63,Valores!$C$63/2),2)</f>
        <v>8427.87</v>
      </c>
      <c r="AH115" s="125">
        <f t="shared" si="15"/>
        <v>213869.09999999998</v>
      </c>
      <c r="AI115" s="125">
        <f>Valores!$C$31</f>
        <v>0</v>
      </c>
      <c r="AJ115" s="125">
        <f>Valores!$C$87</f>
        <v>0</v>
      </c>
      <c r="AK115" s="125">
        <f>Valores!C$38*B115</f>
        <v>0</v>
      </c>
      <c r="AL115" s="125">
        <f>IF($F$3="NO",0,Valores!$C$56)</f>
        <v>0</v>
      </c>
      <c r="AM115" s="125">
        <f t="shared" si="13"/>
        <v>0</v>
      </c>
      <c r="AN115" s="125">
        <f>AH115*Valores!$C$71</f>
        <v>-23525.601</v>
      </c>
      <c r="AO115" s="125">
        <f>AH115*-Valores!$C$72</f>
        <v>0</v>
      </c>
      <c r="AP115" s="125">
        <f>AH115*Valores!$C$73</f>
        <v>-9624.109499999999</v>
      </c>
      <c r="AQ115" s="125">
        <f>Valores!$C$100</f>
        <v>-554.86</v>
      </c>
      <c r="AR115" s="125">
        <f>IF($F$5=0,Valores!$C$101,(Valores!$C$101+$F$5*(Valores!$C$101)))</f>
        <v>-550</v>
      </c>
      <c r="AS115" s="125">
        <f t="shared" si="16"/>
        <v>179614.52949999998</v>
      </c>
      <c r="AT115" s="125">
        <f t="shared" si="10"/>
        <v>-23525.601</v>
      </c>
      <c r="AU115" s="125">
        <f>AH115*Valores!$C$74</f>
        <v>-5774.4657</v>
      </c>
      <c r="AV115" s="125">
        <f>AH115*Valores!$C$75</f>
        <v>-641.6072999999999</v>
      </c>
      <c r="AW115" s="125">
        <f t="shared" si="14"/>
        <v>183927.42599999998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5676.47</v>
      </c>
      <c r="G116" s="192">
        <v>1480</v>
      </c>
      <c r="H116" s="125">
        <f>ROUND(G116*Valores!$C$2,2)</f>
        <v>52181.25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12835.15</v>
      </c>
      <c r="N116" s="125">
        <f t="shared" si="11"/>
        <v>0</v>
      </c>
      <c r="O116" s="125">
        <f>Valores!$C$14</f>
        <v>35109.44</v>
      </c>
      <c r="P116" s="125">
        <f>Valores!$D$5</f>
        <v>18023.69</v>
      </c>
      <c r="Q116" s="125">
        <f>Valores!$C$22</f>
        <v>16079.99</v>
      </c>
      <c r="R116" s="125">
        <f>IF($F$4="NO",Valores!$C$42,Valores!$C$42/2)</f>
        <v>11110.09</v>
      </c>
      <c r="S116" s="125">
        <f>Valores!$C$20</f>
        <v>16599.84</v>
      </c>
      <c r="T116" s="125">
        <f t="shared" si="17"/>
        <v>16599.84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26214.39</v>
      </c>
      <c r="AA116" s="125">
        <f>Valores!$C$25</f>
        <v>737.18</v>
      </c>
      <c r="AB116" s="214">
        <v>0</v>
      </c>
      <c r="AC116" s="125">
        <f t="shared" si="12"/>
        <v>0</v>
      </c>
      <c r="AD116" s="125">
        <f>Valores!$C$26</f>
        <v>737.18</v>
      </c>
      <c r="AE116" s="192">
        <v>0</v>
      </c>
      <c r="AF116" s="125">
        <f>ROUND(AE116*Valores!$C$2,2)</f>
        <v>0</v>
      </c>
      <c r="AG116" s="125">
        <f>ROUND(IF($F$4="NO",Valores!$C$63,Valores!$C$63/2),2)</f>
        <v>8427.87</v>
      </c>
      <c r="AH116" s="125">
        <f t="shared" si="15"/>
        <v>203732.53999999998</v>
      </c>
      <c r="AI116" s="125">
        <f>Valores!$C$31</f>
        <v>0</v>
      </c>
      <c r="AJ116" s="125">
        <f>Valores!$C$87</f>
        <v>0</v>
      </c>
      <c r="AK116" s="125">
        <f>Valores!C$38*B116</f>
        <v>0</v>
      </c>
      <c r="AL116" s="125">
        <f>IF($F$3="NO",0,Valores!$C$56)</f>
        <v>0</v>
      </c>
      <c r="AM116" s="125">
        <f t="shared" si="13"/>
        <v>0</v>
      </c>
      <c r="AN116" s="125">
        <f>AH116*Valores!$C$71</f>
        <v>-22410.5794</v>
      </c>
      <c r="AO116" s="125">
        <f>AH116*-Valores!$C$72</f>
        <v>0</v>
      </c>
      <c r="AP116" s="125">
        <f>AH116*Valores!$C$73</f>
        <v>-9167.964299999998</v>
      </c>
      <c r="AQ116" s="125">
        <f>Valores!$C$100</f>
        <v>-554.86</v>
      </c>
      <c r="AR116" s="125">
        <f>IF($F$5=0,Valores!$C$101,(Valores!$C$101+$F$5*(Valores!$C$101)))</f>
        <v>-550</v>
      </c>
      <c r="AS116" s="125">
        <f t="shared" si="16"/>
        <v>171049.13629999998</v>
      </c>
      <c r="AT116" s="125">
        <f t="shared" si="10"/>
        <v>-22410.5794</v>
      </c>
      <c r="AU116" s="125">
        <f>AH116*Valores!$C$74</f>
        <v>-5500.778579999999</v>
      </c>
      <c r="AV116" s="125">
        <f>AH116*Valores!$C$75</f>
        <v>-611.1976199999999</v>
      </c>
      <c r="AW116" s="125">
        <f t="shared" si="14"/>
        <v>175209.9844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45059.21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10915.37</v>
      </c>
      <c r="N117" s="125">
        <f t="shared" si="11"/>
        <v>0</v>
      </c>
      <c r="O117" s="125">
        <f>Valores!$C$14</f>
        <v>35109.44</v>
      </c>
      <c r="P117" s="125">
        <f>Valores!$D$5</f>
        <v>18023.69</v>
      </c>
      <c r="Q117" s="125">
        <f>Valores!$C$22</f>
        <v>16079.99</v>
      </c>
      <c r="R117" s="125">
        <f>IF($F$4="NO",Valores!$C$42,Valores!$C$42/2)</f>
        <v>11110.09</v>
      </c>
      <c r="S117" s="125">
        <f>Valores!$C$20</f>
        <v>16599.84</v>
      </c>
      <c r="T117" s="125">
        <f t="shared" si="17"/>
        <v>16599.84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26214.39</v>
      </c>
      <c r="AA117" s="125">
        <f>Valores!$C$25</f>
        <v>737.18</v>
      </c>
      <c r="AB117" s="214">
        <v>0</v>
      </c>
      <c r="AC117" s="125">
        <f t="shared" si="12"/>
        <v>0</v>
      </c>
      <c r="AD117" s="125">
        <f>Valores!$C$26</f>
        <v>737.18</v>
      </c>
      <c r="AE117" s="192">
        <v>0</v>
      </c>
      <c r="AF117" s="125">
        <f>ROUND(AE117*Valores!$C$2,2)</f>
        <v>0</v>
      </c>
      <c r="AG117" s="125">
        <f>ROUND(IF($F$4="NO",Valores!$C$63,Valores!$C$63/2),2)</f>
        <v>8427.87</v>
      </c>
      <c r="AH117" s="125">
        <f t="shared" si="15"/>
        <v>189014.25</v>
      </c>
      <c r="AI117" s="125">
        <f>Valores!$C$31</f>
        <v>0</v>
      </c>
      <c r="AJ117" s="125">
        <f>Valores!$C$87</f>
        <v>0</v>
      </c>
      <c r="AK117" s="125">
        <f>Valores!C$38*B117</f>
        <v>0</v>
      </c>
      <c r="AL117" s="125">
        <f>IF($F$3="NO",0,Valores!$C$56)</f>
        <v>0</v>
      </c>
      <c r="AM117" s="125">
        <f t="shared" si="13"/>
        <v>0</v>
      </c>
      <c r="AN117" s="125">
        <f>AH117*Valores!$C$71</f>
        <v>-20791.5675</v>
      </c>
      <c r="AO117" s="125">
        <f>AH117*-Valores!$C$72</f>
        <v>0</v>
      </c>
      <c r="AP117" s="125">
        <f>AH117*Valores!$C$73</f>
        <v>-8505.64125</v>
      </c>
      <c r="AQ117" s="125">
        <f>Valores!$C$100</f>
        <v>-554.86</v>
      </c>
      <c r="AR117" s="125">
        <f>IF($F$5=0,Valores!$C$101,(Valores!$C$101+$F$5*(Valores!$C$101)))</f>
        <v>-550</v>
      </c>
      <c r="AS117" s="125">
        <f t="shared" si="16"/>
        <v>158612.18125</v>
      </c>
      <c r="AT117" s="125">
        <f t="shared" si="10"/>
        <v>-20791.5675</v>
      </c>
      <c r="AU117" s="125">
        <f>AH117*Valores!$C$74</f>
        <v>-5103.38475</v>
      </c>
      <c r="AV117" s="125">
        <f>AH117*Valores!$C$75</f>
        <v>-567.04275</v>
      </c>
      <c r="AW117" s="125">
        <f t="shared" si="14"/>
        <v>162552.255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2714.84</v>
      </c>
      <c r="G118" s="192">
        <v>2073</v>
      </c>
      <c r="H118" s="125">
        <f>ROUND(G118*Valores!$C$2,2)</f>
        <v>73089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15764.4</v>
      </c>
      <c r="N118" s="125">
        <f t="shared" si="11"/>
        <v>0</v>
      </c>
      <c r="O118" s="125">
        <f>Valores!$C$8</f>
        <v>44191.25</v>
      </c>
      <c r="P118" s="125">
        <f>Valores!$D$5</f>
        <v>18023.69</v>
      </c>
      <c r="Q118" s="125">
        <f>Valores!$C$22</f>
        <v>16079.99</v>
      </c>
      <c r="R118" s="125">
        <f>IF($F$4="NO",Valores!$C$44,Valores!$C$44/2)</f>
        <v>12520.87</v>
      </c>
      <c r="S118" s="125">
        <f>Valores!$C$19</f>
        <v>16771.31</v>
      </c>
      <c r="T118" s="125">
        <f t="shared" si="17"/>
        <v>16771.31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26214.39</v>
      </c>
      <c r="AA118" s="125">
        <f>Valores!$C$25</f>
        <v>737.18</v>
      </c>
      <c r="AB118" s="214">
        <v>0</v>
      </c>
      <c r="AC118" s="125">
        <f t="shared" si="12"/>
        <v>0</v>
      </c>
      <c r="AD118" s="125">
        <f>Valores!$C$26</f>
        <v>737.18</v>
      </c>
      <c r="AE118" s="192">
        <v>0</v>
      </c>
      <c r="AF118" s="125">
        <f>ROUND(AE118*Valores!$C$2,2)</f>
        <v>0</v>
      </c>
      <c r="AG118" s="125">
        <f>ROUND(IF($F$4="NO",Valores!$C$63,Valores!$C$63/2),2)</f>
        <v>8427.87</v>
      </c>
      <c r="AH118" s="125">
        <f t="shared" si="15"/>
        <v>235271.96999999997</v>
      </c>
      <c r="AI118" s="125">
        <f>Valores!$C$31</f>
        <v>0</v>
      </c>
      <c r="AJ118" s="125">
        <f>Valores!$C$87</f>
        <v>0</v>
      </c>
      <c r="AK118" s="125">
        <f>Valores!C$38*B118</f>
        <v>0</v>
      </c>
      <c r="AL118" s="125">
        <f>IF($F$3="NO",0,Valores!$C$56)</f>
        <v>0</v>
      </c>
      <c r="AM118" s="125">
        <f t="shared" si="13"/>
        <v>0</v>
      </c>
      <c r="AN118" s="125">
        <f>AH118*Valores!$C$71</f>
        <v>-25879.916699999998</v>
      </c>
      <c r="AO118" s="125">
        <f>AH118*-Valores!$C$72</f>
        <v>0</v>
      </c>
      <c r="AP118" s="125">
        <f>AH118*Valores!$C$73</f>
        <v>-10587.238649999998</v>
      </c>
      <c r="AQ118" s="125">
        <f>Valores!$C$100</f>
        <v>-554.86</v>
      </c>
      <c r="AR118" s="125">
        <f>IF($F$5=0,Valores!$C$101,(Valores!$C$101+$F$5*(Valores!$C$101)))</f>
        <v>-550</v>
      </c>
      <c r="AS118" s="125">
        <f t="shared" si="16"/>
        <v>197699.95464999997</v>
      </c>
      <c r="AT118" s="125">
        <f t="shared" si="10"/>
        <v>-25879.916699999998</v>
      </c>
      <c r="AU118" s="125">
        <f>AH118*Valores!$C$74</f>
        <v>-6352.34319</v>
      </c>
      <c r="AV118" s="125">
        <f>AH118*Valores!$C$75</f>
        <v>-705.8159099999999</v>
      </c>
      <c r="AW118" s="125">
        <f t="shared" si="14"/>
        <v>202333.89419999998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2714.84</v>
      </c>
      <c r="G119" s="192">
        <v>2043</v>
      </c>
      <c r="H119" s="125">
        <f>ROUND(G119*Valores!$C$2,2)</f>
        <v>72031.28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15605.75</v>
      </c>
      <c r="N119" s="125">
        <f t="shared" si="11"/>
        <v>0</v>
      </c>
      <c r="O119" s="125">
        <f>Valores!$C$9</f>
        <v>44305.44</v>
      </c>
      <c r="P119" s="125">
        <f>Valores!$D$5</f>
        <v>18023.69</v>
      </c>
      <c r="Q119" s="125">
        <f>Valores!$C$22</f>
        <v>16079.99</v>
      </c>
      <c r="R119" s="125">
        <f>IF($F$4="NO",Valores!$C$44,Valores!$C$44/2)</f>
        <v>12520.87</v>
      </c>
      <c r="S119" s="125">
        <f>Valores!$C$19</f>
        <v>16771.31</v>
      </c>
      <c r="T119" s="125">
        <f t="shared" si="17"/>
        <v>16771.31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26214.39</v>
      </c>
      <c r="AA119" s="125">
        <f>Valores!$C$25</f>
        <v>737.18</v>
      </c>
      <c r="AB119" s="214">
        <v>0</v>
      </c>
      <c r="AC119" s="125">
        <f t="shared" si="12"/>
        <v>0</v>
      </c>
      <c r="AD119" s="125">
        <f>Valores!$C$26</f>
        <v>737.18</v>
      </c>
      <c r="AE119" s="192">
        <v>0</v>
      </c>
      <c r="AF119" s="125">
        <f>ROUND(AE119*Valores!$C$2,2)</f>
        <v>0</v>
      </c>
      <c r="AG119" s="125">
        <f>ROUND(IF($F$4="NO",Valores!$C$63,Valores!$C$63/2),2)</f>
        <v>8427.87</v>
      </c>
      <c r="AH119" s="125">
        <f t="shared" si="15"/>
        <v>234169.78999999998</v>
      </c>
      <c r="AI119" s="125">
        <f>Valores!$C$31</f>
        <v>0</v>
      </c>
      <c r="AJ119" s="125">
        <f>Valores!$C$87</f>
        <v>0</v>
      </c>
      <c r="AK119" s="125">
        <f>Valores!C$38*B119</f>
        <v>0</v>
      </c>
      <c r="AL119" s="125">
        <f>IF($F$3="NO",0,Valores!$C$56)</f>
        <v>0</v>
      </c>
      <c r="AM119" s="125">
        <f t="shared" si="13"/>
        <v>0</v>
      </c>
      <c r="AN119" s="125">
        <f>AH119*Valores!$C$71</f>
        <v>-25758.6769</v>
      </c>
      <c r="AO119" s="125">
        <f>AH119*-Valores!$C$72</f>
        <v>0</v>
      </c>
      <c r="AP119" s="125">
        <f>AH119*Valores!$C$73</f>
        <v>-10537.640549999998</v>
      </c>
      <c r="AQ119" s="125">
        <f>Valores!$C$100</f>
        <v>-554.86</v>
      </c>
      <c r="AR119" s="125">
        <f>IF($F$5=0,Valores!$C$101,(Valores!$C$101+$F$5*(Valores!$C$101)))</f>
        <v>-550</v>
      </c>
      <c r="AS119" s="125">
        <f t="shared" si="16"/>
        <v>196768.61255</v>
      </c>
      <c r="AT119" s="125">
        <f t="shared" si="10"/>
        <v>-25758.6769</v>
      </c>
      <c r="AU119" s="125">
        <f>AH119*Valores!$C$74</f>
        <v>-6322.58433</v>
      </c>
      <c r="AV119" s="125">
        <f>AH119*Valores!$C$75</f>
        <v>-702.50937</v>
      </c>
      <c r="AW119" s="125">
        <f t="shared" si="14"/>
        <v>201386.0194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2679.58</v>
      </c>
      <c r="G120" s="192">
        <v>1954</v>
      </c>
      <c r="H120" s="125">
        <f>ROUND(G120*Valores!$C$2,2)</f>
        <v>68893.35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15129.77</v>
      </c>
      <c r="N120" s="125">
        <f t="shared" si="11"/>
        <v>0</v>
      </c>
      <c r="O120" s="125">
        <f>Valores!$C$9</f>
        <v>44305.44</v>
      </c>
      <c r="P120" s="125">
        <f>Valores!$D$5</f>
        <v>18023.69</v>
      </c>
      <c r="Q120" s="125">
        <f>Valores!$C$22</f>
        <v>16079.99</v>
      </c>
      <c r="R120" s="125">
        <f>IF($F$4="NO",Valores!$C$44,Valores!$C$44/2)</f>
        <v>12520.87</v>
      </c>
      <c r="S120" s="125">
        <f>Valores!$C$19</f>
        <v>16771.31</v>
      </c>
      <c r="T120" s="125">
        <f t="shared" si="17"/>
        <v>16771.31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26214.39</v>
      </c>
      <c r="AA120" s="125">
        <f>Valores!$C$25</f>
        <v>737.18</v>
      </c>
      <c r="AB120" s="214">
        <v>0</v>
      </c>
      <c r="AC120" s="125">
        <f t="shared" si="12"/>
        <v>0</v>
      </c>
      <c r="AD120" s="125">
        <f>Valores!$C$26</f>
        <v>737.18</v>
      </c>
      <c r="AE120" s="192">
        <v>0</v>
      </c>
      <c r="AF120" s="125">
        <f>ROUND(AE120*Valores!$C$2,2)</f>
        <v>0</v>
      </c>
      <c r="AG120" s="125">
        <f>ROUND(IF($F$4="NO",Valores!$C$63,Valores!$C$63/2),2)</f>
        <v>8427.87</v>
      </c>
      <c r="AH120" s="125">
        <f t="shared" si="15"/>
        <v>230520.62</v>
      </c>
      <c r="AI120" s="125">
        <f>Valores!$C$31</f>
        <v>0</v>
      </c>
      <c r="AJ120" s="125">
        <f>Valores!$C$87</f>
        <v>0</v>
      </c>
      <c r="AK120" s="125">
        <f>Valores!C$38*B120</f>
        <v>0</v>
      </c>
      <c r="AL120" s="125">
        <f>IF($F$3="NO",0,Valores!$C$56)</f>
        <v>0</v>
      </c>
      <c r="AM120" s="125">
        <f t="shared" si="13"/>
        <v>0</v>
      </c>
      <c r="AN120" s="125">
        <f>AH120*Valores!$C$71</f>
        <v>-25357.2682</v>
      </c>
      <c r="AO120" s="125">
        <f>AH120*-Valores!$C$72</f>
        <v>0</v>
      </c>
      <c r="AP120" s="125">
        <f>AH120*Valores!$C$73</f>
        <v>-10373.427899999999</v>
      </c>
      <c r="AQ120" s="125">
        <f>Valores!$C$100</f>
        <v>-554.86</v>
      </c>
      <c r="AR120" s="125">
        <f>IF($F$5=0,Valores!$C$101,(Valores!$C$101+$F$5*(Valores!$C$101)))</f>
        <v>-550</v>
      </c>
      <c r="AS120" s="125">
        <f t="shared" si="16"/>
        <v>193685.0639</v>
      </c>
      <c r="AT120" s="125">
        <f t="shared" si="10"/>
        <v>-25357.2682</v>
      </c>
      <c r="AU120" s="125">
        <f>AH120*Valores!$C$74</f>
        <v>-6224.05674</v>
      </c>
      <c r="AV120" s="125">
        <f>AH120*Valores!$C$75</f>
        <v>-691.56186</v>
      </c>
      <c r="AW120" s="125">
        <f t="shared" si="14"/>
        <v>198247.7332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9660.58</v>
      </c>
      <c r="G121" s="192">
        <v>1163</v>
      </c>
      <c r="H121" s="125">
        <f>ROUND(G121*Valores!$C$2,2)</f>
        <v>41004.59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11993.6</v>
      </c>
      <c r="N121" s="125">
        <f t="shared" si="11"/>
        <v>0</v>
      </c>
      <c r="O121" s="125">
        <f>Valores!$C$9</f>
        <v>44305.44</v>
      </c>
      <c r="P121" s="125">
        <f>Valores!$D$5</f>
        <v>18023.69</v>
      </c>
      <c r="Q121" s="125">
        <f>Valores!$C$22</f>
        <v>16079.99</v>
      </c>
      <c r="R121" s="125">
        <f>IF($F$4="NO",Valores!$C$44,Valores!$C$44/2)</f>
        <v>12520.87</v>
      </c>
      <c r="S121" s="125">
        <f>Valores!$C$19</f>
        <v>16771.31</v>
      </c>
      <c r="T121" s="125">
        <f t="shared" si="17"/>
        <v>16771.31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26214.39</v>
      </c>
      <c r="AA121" s="125">
        <f>Valores!$C$25</f>
        <v>737.18</v>
      </c>
      <c r="AB121" s="214">
        <v>0</v>
      </c>
      <c r="AC121" s="125">
        <f t="shared" si="12"/>
        <v>0</v>
      </c>
      <c r="AD121" s="125">
        <f>Valores!$C$26</f>
        <v>737.18</v>
      </c>
      <c r="AE121" s="192">
        <v>0</v>
      </c>
      <c r="AF121" s="125">
        <f>ROUND(AE121*Valores!$C$2,2)</f>
        <v>0</v>
      </c>
      <c r="AG121" s="125">
        <f>ROUND(IF($F$4="NO",Valores!$C$63,Valores!$C$63/2),2)</f>
        <v>8427.87</v>
      </c>
      <c r="AH121" s="125">
        <f t="shared" si="15"/>
        <v>206476.68999999994</v>
      </c>
      <c r="AI121" s="125">
        <f>Valores!$C$31</f>
        <v>0</v>
      </c>
      <c r="AJ121" s="125">
        <f>Valores!$C$87</f>
        <v>0</v>
      </c>
      <c r="AK121" s="125">
        <f>Valores!C$38*B121</f>
        <v>0</v>
      </c>
      <c r="AL121" s="125">
        <f>IF($F$3="NO",0,Valores!$C$56)</f>
        <v>0</v>
      </c>
      <c r="AM121" s="125">
        <f t="shared" si="13"/>
        <v>0</v>
      </c>
      <c r="AN121" s="125">
        <f>AH121*Valores!$C$71</f>
        <v>-22712.435899999993</v>
      </c>
      <c r="AO121" s="125">
        <f>AH121*-Valores!$C$72</f>
        <v>0</v>
      </c>
      <c r="AP121" s="125">
        <f>AH121*Valores!$C$73</f>
        <v>-9291.451049999998</v>
      </c>
      <c r="AQ121" s="125">
        <f>Valores!$C$100</f>
        <v>-554.86</v>
      </c>
      <c r="AR121" s="125">
        <f>IF($F$5=0,Valores!$C$101,(Valores!$C$101+$F$5*(Valores!$C$101)))</f>
        <v>-550</v>
      </c>
      <c r="AS121" s="125">
        <f t="shared" si="16"/>
        <v>173367.94304999994</v>
      </c>
      <c r="AT121" s="125">
        <f t="shared" si="10"/>
        <v>-22712.435899999993</v>
      </c>
      <c r="AU121" s="125">
        <f>AH121*Valores!$C$74</f>
        <v>-5574.8706299999985</v>
      </c>
      <c r="AV121" s="125">
        <f>AH121*Valores!$C$75</f>
        <v>-619.4300699999999</v>
      </c>
      <c r="AW121" s="125">
        <f t="shared" si="14"/>
        <v>177569.95339999994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98721.28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19599.47</v>
      </c>
      <c r="N122" s="125">
        <f t="shared" si="11"/>
        <v>0</v>
      </c>
      <c r="O122" s="125">
        <f>Valores!$C$16</f>
        <v>30467.13</v>
      </c>
      <c r="P122" s="125">
        <f>Valores!$D$5</f>
        <v>18023.69</v>
      </c>
      <c r="Q122" s="125">
        <f>Valores!$C$22</f>
        <v>16079.99</v>
      </c>
      <c r="R122" s="125">
        <f>IF($F$4="NO",Valores!$C$46,Valores!$C$46/2)</f>
        <v>15342.02</v>
      </c>
      <c r="S122" s="125">
        <f>Valores!$C$20</f>
        <v>16599.84</v>
      </c>
      <c r="T122" s="125">
        <f t="shared" si="17"/>
        <v>16599.84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26214.39</v>
      </c>
      <c r="AA122" s="125">
        <f>Valores!$C$25</f>
        <v>737.18</v>
      </c>
      <c r="AB122" s="214">
        <v>0</v>
      </c>
      <c r="AC122" s="125">
        <f t="shared" si="12"/>
        <v>0</v>
      </c>
      <c r="AD122" s="125">
        <f>Valores!$C$26</f>
        <v>737.18</v>
      </c>
      <c r="AE122" s="192">
        <v>0</v>
      </c>
      <c r="AF122" s="125">
        <f>ROUND(AE122*Valores!$C$2,2)</f>
        <v>0</v>
      </c>
      <c r="AG122" s="125">
        <f>ROUND(IF($F$4="NO",Valores!$C$63,Valores!$C$63/2),2)</f>
        <v>8427.87</v>
      </c>
      <c r="AH122" s="125">
        <f t="shared" si="15"/>
        <v>250950.03999999998</v>
      </c>
      <c r="AI122" s="125">
        <f>Valores!$C$31</f>
        <v>0</v>
      </c>
      <c r="AJ122" s="125">
        <f>Valores!$C$87</f>
        <v>0</v>
      </c>
      <c r="AK122" s="125">
        <f>Valores!C$38*B122</f>
        <v>0</v>
      </c>
      <c r="AL122" s="125">
        <f>IF($F$3="NO",0,Valores!$C$55)</f>
        <v>0</v>
      </c>
      <c r="AM122" s="125">
        <f t="shared" si="13"/>
        <v>0</v>
      </c>
      <c r="AN122" s="125">
        <f>AH122*Valores!$C$71</f>
        <v>-27604.504399999998</v>
      </c>
      <c r="AO122" s="125">
        <f>AH122*-Valores!$C$72</f>
        <v>0</v>
      </c>
      <c r="AP122" s="125">
        <f>AH122*Valores!$C$73</f>
        <v>-11292.751799999998</v>
      </c>
      <c r="AQ122" s="125">
        <f>Valores!$C$100</f>
        <v>-554.86</v>
      </c>
      <c r="AR122" s="125">
        <f>IF($F$5=0,Valores!$C$101,(Valores!$C$101+$F$5*(Valores!$C$101)))</f>
        <v>-550</v>
      </c>
      <c r="AS122" s="125">
        <f t="shared" si="16"/>
        <v>210947.9238</v>
      </c>
      <c r="AT122" s="125">
        <f t="shared" si="10"/>
        <v>-27604.504399999998</v>
      </c>
      <c r="AU122" s="125">
        <f>AH122*Valores!$C$74</f>
        <v>-6775.65108</v>
      </c>
      <c r="AV122" s="125">
        <f>AH122*Valores!$C$75</f>
        <v>-752.85012</v>
      </c>
      <c r="AW122" s="125">
        <f t="shared" si="14"/>
        <v>215817.03439999997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100484.16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20388.9</v>
      </c>
      <c r="N123" s="125">
        <f t="shared" si="11"/>
        <v>0</v>
      </c>
      <c r="O123" s="125">
        <f>Valores!$C$9</f>
        <v>44305.44</v>
      </c>
      <c r="P123" s="125">
        <f>Valores!$D$5</f>
        <v>18023.69</v>
      </c>
      <c r="Q123" s="125">
        <f>Valores!$C$22</f>
        <v>16079.99</v>
      </c>
      <c r="R123" s="125">
        <f>IF($F$4="NO",Valores!$C$47,Valores!$C$47/2)</f>
        <v>18842.02</v>
      </c>
      <c r="S123" s="125">
        <f>Valores!$C$20</f>
        <v>16599.84</v>
      </c>
      <c r="T123" s="125">
        <f t="shared" si="17"/>
        <v>16599.84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52428.78</v>
      </c>
      <c r="AA123" s="125">
        <f>Valores!$C$25</f>
        <v>737.18</v>
      </c>
      <c r="AB123" s="214">
        <v>0</v>
      </c>
      <c r="AC123" s="125">
        <f t="shared" si="12"/>
        <v>0</v>
      </c>
      <c r="AD123" s="125">
        <f>Valores!$C$26</f>
        <v>737.18</v>
      </c>
      <c r="AE123" s="192">
        <v>0</v>
      </c>
      <c r="AF123" s="125">
        <f>ROUND(AE123*Valores!$C$2,2)</f>
        <v>0</v>
      </c>
      <c r="AG123" s="125">
        <f>ROUND(IF($F$4="NO",Valores!$C$63,Valores!$C$63/2),2)</f>
        <v>8427.87</v>
      </c>
      <c r="AH123" s="125">
        <f t="shared" si="15"/>
        <v>297055.04999999993</v>
      </c>
      <c r="AI123" s="125">
        <f>Valores!$C$31</f>
        <v>0</v>
      </c>
      <c r="AJ123" s="125">
        <f>Valores!$C$89</f>
        <v>0</v>
      </c>
      <c r="AK123" s="125">
        <f>Valores!C$38*B123</f>
        <v>0</v>
      </c>
      <c r="AL123" s="125">
        <f>IF($F$3="NO",0,Valores!$C$55)</f>
        <v>0</v>
      </c>
      <c r="AM123" s="125">
        <f t="shared" si="13"/>
        <v>0</v>
      </c>
      <c r="AN123" s="125">
        <f>AH123*Valores!$C$71</f>
        <v>-32676.05549999999</v>
      </c>
      <c r="AO123" s="125">
        <f>AH123*-Valores!$C$72</f>
        <v>0</v>
      </c>
      <c r="AP123" s="125">
        <f>AH123*Valores!$C$73</f>
        <v>-13367.477249999996</v>
      </c>
      <c r="AQ123" s="125">
        <f>Valores!$C$100</f>
        <v>-554.86</v>
      </c>
      <c r="AR123" s="125">
        <f>IF($F$5=0,Valores!$C$101,(Valores!$C$101+$F$5*(Valores!$C$101)))</f>
        <v>-550</v>
      </c>
      <c r="AS123" s="125">
        <f t="shared" si="16"/>
        <v>249906.65724999993</v>
      </c>
      <c r="AT123" s="125">
        <f t="shared" si="10"/>
        <v>-32676.05549999999</v>
      </c>
      <c r="AU123" s="125">
        <f>AH123*Valores!$C$74</f>
        <v>-8020.486349999998</v>
      </c>
      <c r="AV123" s="125">
        <f>AH123*Valores!$C$75</f>
        <v>-891.1651499999998</v>
      </c>
      <c r="AW123" s="125">
        <f t="shared" si="14"/>
        <v>255467.34299999994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61171.94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13438.08</v>
      </c>
      <c r="N124" s="125">
        <f t="shared" si="11"/>
        <v>0</v>
      </c>
      <c r="O124" s="125">
        <f>Valores!$C$16</f>
        <v>30467.13</v>
      </c>
      <c r="P124" s="125">
        <f>Valores!$D$5</f>
        <v>18023.69</v>
      </c>
      <c r="Q124" s="125">
        <v>0</v>
      </c>
      <c r="R124" s="125">
        <f>IF($F$4="NO",Valores!$C$43,Valores!$C$43/2)</f>
        <v>11815.4</v>
      </c>
      <c r="S124" s="125">
        <f>Valores!$C$20</f>
        <v>16599.84</v>
      </c>
      <c r="T124" s="125">
        <f t="shared" si="17"/>
        <v>16599.84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26214.39</v>
      </c>
      <c r="AA124" s="125">
        <f>Valores!$C$25</f>
        <v>737.18</v>
      </c>
      <c r="AB124" s="214">
        <v>0</v>
      </c>
      <c r="AC124" s="125">
        <f t="shared" si="12"/>
        <v>0</v>
      </c>
      <c r="AD124" s="125">
        <f>Valores!$C$26</f>
        <v>737.18</v>
      </c>
      <c r="AE124" s="192">
        <v>0</v>
      </c>
      <c r="AF124" s="125">
        <f>ROUND(AE124*Valores!$C$2,2)</f>
        <v>0</v>
      </c>
      <c r="AG124" s="125">
        <f>ROUND(IF($F$4="NO",Valores!$C$63,Valores!$C$63/2),2)</f>
        <v>8427.87</v>
      </c>
      <c r="AH124" s="125">
        <f t="shared" si="15"/>
        <v>187632.7</v>
      </c>
      <c r="AI124" s="125">
        <f>Valores!$C$31</f>
        <v>0</v>
      </c>
      <c r="AJ124" s="125">
        <f>Valores!$C$87</f>
        <v>0</v>
      </c>
      <c r="AK124" s="125">
        <f>Valores!C$38*B124</f>
        <v>0</v>
      </c>
      <c r="AL124" s="125">
        <f>IF($F$3="NO",0,Valores!$C$56)</f>
        <v>0</v>
      </c>
      <c r="AM124" s="125">
        <f t="shared" si="13"/>
        <v>0</v>
      </c>
      <c r="AN124" s="125">
        <f>AH124*Valores!$C$71</f>
        <v>-20639.597</v>
      </c>
      <c r="AO124" s="125">
        <f>AH124*-Valores!$C$72</f>
        <v>0</v>
      </c>
      <c r="AP124" s="125">
        <f>AH124*Valores!$C$73</f>
        <v>-8443.4715</v>
      </c>
      <c r="AQ124" s="125">
        <f>Valores!$C$100</f>
        <v>-554.86</v>
      </c>
      <c r="AR124" s="125">
        <f>IF($F$5=0,Valores!$C$101,(Valores!$C$101+$F$5*(Valores!$C$101)))</f>
        <v>-550</v>
      </c>
      <c r="AS124" s="125">
        <f t="shared" si="16"/>
        <v>157444.7715</v>
      </c>
      <c r="AT124" s="125">
        <f t="shared" si="10"/>
        <v>-20639.597</v>
      </c>
      <c r="AU124" s="125">
        <f>AH124*Valores!$C$74</f>
        <v>-5066.0829</v>
      </c>
      <c r="AV124" s="125">
        <f>AH124*Valores!$C$75</f>
        <v>-562.8981</v>
      </c>
      <c r="AW124" s="125">
        <f t="shared" si="14"/>
        <v>161364.122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2538.55</v>
      </c>
      <c r="G125" s="192">
        <v>1590</v>
      </c>
      <c r="H125" s="125">
        <f>ROUND(G125*Valores!$C$2,2)</f>
        <v>56059.58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13052.01</v>
      </c>
      <c r="N125" s="125">
        <f t="shared" si="11"/>
        <v>0</v>
      </c>
      <c r="O125" s="125">
        <f>Valores!$C$16</f>
        <v>30467.13</v>
      </c>
      <c r="P125" s="125">
        <f>Valores!$D$5</f>
        <v>18023.69</v>
      </c>
      <c r="Q125" s="125">
        <f>Valores!$C$22</f>
        <v>16079.99</v>
      </c>
      <c r="R125" s="125">
        <f>IF($F$4="NO",Valores!$C$43,Valores!$C$43/2)</f>
        <v>11815.4</v>
      </c>
      <c r="S125" s="125">
        <f>Valores!$C$20</f>
        <v>16599.84</v>
      </c>
      <c r="T125" s="125">
        <f t="shared" si="17"/>
        <v>16599.84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26214.39</v>
      </c>
      <c r="AA125" s="125">
        <f>Valores!$C$25</f>
        <v>737.18</v>
      </c>
      <c r="AB125" s="214">
        <v>0</v>
      </c>
      <c r="AC125" s="125">
        <f t="shared" si="12"/>
        <v>0</v>
      </c>
      <c r="AD125" s="125">
        <f>Valores!$C$26</f>
        <v>737.18</v>
      </c>
      <c r="AE125" s="192">
        <v>0</v>
      </c>
      <c r="AF125" s="125">
        <f>ROUND(AE125*Valores!$C$2,2)</f>
        <v>0</v>
      </c>
      <c r="AG125" s="125">
        <f>ROUND(IF($F$4="NO",Valores!$C$63,Valores!$C$63/2),2)</f>
        <v>8427.87</v>
      </c>
      <c r="AH125" s="125">
        <f t="shared" si="15"/>
        <v>200752.81</v>
      </c>
      <c r="AI125" s="125">
        <f>Valores!$C$31</f>
        <v>0</v>
      </c>
      <c r="AJ125" s="125">
        <f>Valores!$C$87</f>
        <v>0</v>
      </c>
      <c r="AK125" s="125">
        <f>Valores!C$38*B125</f>
        <v>0</v>
      </c>
      <c r="AL125" s="125">
        <f>IF($F$3="NO",0,Valores!$C$56)</f>
        <v>0</v>
      </c>
      <c r="AM125" s="125">
        <f t="shared" si="13"/>
        <v>0</v>
      </c>
      <c r="AN125" s="125">
        <f>AH125*Valores!$C$71</f>
        <v>-22082.8091</v>
      </c>
      <c r="AO125" s="125">
        <f>AH125*-Valores!$C$72</f>
        <v>0</v>
      </c>
      <c r="AP125" s="125">
        <f>AH125*Valores!$C$73</f>
        <v>-9033.87645</v>
      </c>
      <c r="AQ125" s="125">
        <f>Valores!$C$100</f>
        <v>-554.86</v>
      </c>
      <c r="AR125" s="125">
        <f>IF($F$5=0,Valores!$C$101,(Valores!$C$101+$F$5*(Valores!$C$101)))</f>
        <v>-550</v>
      </c>
      <c r="AS125" s="125">
        <f t="shared" si="16"/>
        <v>168531.26445</v>
      </c>
      <c r="AT125" s="125">
        <f t="shared" si="10"/>
        <v>-22082.8091</v>
      </c>
      <c r="AU125" s="125">
        <f>AH125*Valores!$C$74</f>
        <v>-5420.32587</v>
      </c>
      <c r="AV125" s="125">
        <f>AH125*Valores!$C$75</f>
        <v>-602.25843</v>
      </c>
      <c r="AW125" s="125">
        <f t="shared" si="14"/>
        <v>172647.4166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2538.55</v>
      </c>
      <c r="G126" s="192">
        <v>1590</v>
      </c>
      <c r="H126" s="125">
        <f>ROUND(G126*Valores!$C$2,2)</f>
        <v>56059.58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13052.01</v>
      </c>
      <c r="N126" s="125">
        <f t="shared" si="11"/>
        <v>0</v>
      </c>
      <c r="O126" s="125">
        <f>Valores!$C$16</f>
        <v>30467.13</v>
      </c>
      <c r="P126" s="125">
        <f>Valores!$D$5</f>
        <v>18023.69</v>
      </c>
      <c r="Q126" s="125">
        <f>Valores!$C$22</f>
        <v>16079.99</v>
      </c>
      <c r="R126" s="125">
        <f>IF($F$4="NO",Valores!$C$43,Valores!$C$43/2)</f>
        <v>11815.4</v>
      </c>
      <c r="S126" s="125">
        <f>Valores!$C$20</f>
        <v>16599.84</v>
      </c>
      <c r="T126" s="125">
        <f t="shared" si="17"/>
        <v>16599.84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26214.39</v>
      </c>
      <c r="AA126" s="125">
        <f>Valores!$C$25</f>
        <v>737.18</v>
      </c>
      <c r="AB126" s="214">
        <v>0</v>
      </c>
      <c r="AC126" s="125">
        <f t="shared" si="12"/>
        <v>0</v>
      </c>
      <c r="AD126" s="125">
        <f>Valores!$C$26</f>
        <v>737.18</v>
      </c>
      <c r="AE126" s="192">
        <v>94</v>
      </c>
      <c r="AF126" s="125">
        <f>ROUND(AE126*Valores!$C$2,2)</f>
        <v>3314.21</v>
      </c>
      <c r="AG126" s="125">
        <f>ROUND(IF($F$4="NO",Valores!$C$63,Valores!$C$63/2),2)</f>
        <v>8427.87</v>
      </c>
      <c r="AH126" s="125">
        <f t="shared" si="15"/>
        <v>204067.02</v>
      </c>
      <c r="AI126" s="125">
        <f>Valores!$C$31</f>
        <v>0</v>
      </c>
      <c r="AJ126" s="125">
        <f>Valores!$C$87</f>
        <v>0</v>
      </c>
      <c r="AK126" s="125">
        <f>Valores!C$38*B126</f>
        <v>0</v>
      </c>
      <c r="AL126" s="125">
        <f>IF($F$3="NO",0,Valores!$C$56)</f>
        <v>0</v>
      </c>
      <c r="AM126" s="125">
        <f t="shared" si="13"/>
        <v>0</v>
      </c>
      <c r="AN126" s="125">
        <f>AH126*Valores!$C$71</f>
        <v>-22447.372199999998</v>
      </c>
      <c r="AO126" s="125">
        <f>AH126*-Valores!$C$72</f>
        <v>0</v>
      </c>
      <c r="AP126" s="125">
        <f>AH126*Valores!$C$73</f>
        <v>-9183.015899999999</v>
      </c>
      <c r="AQ126" s="125">
        <f>Valores!$C$100</f>
        <v>-554.86</v>
      </c>
      <c r="AR126" s="125">
        <f>IF($F$5=0,Valores!$C$101,(Valores!$C$101+$F$5*(Valores!$C$101)))</f>
        <v>-550</v>
      </c>
      <c r="AS126" s="125">
        <f t="shared" si="16"/>
        <v>171331.7719</v>
      </c>
      <c r="AT126" s="125">
        <f t="shared" si="10"/>
        <v>-22447.372199999998</v>
      </c>
      <c r="AU126" s="125">
        <f>AH126*Valores!$C$74</f>
        <v>-5509.809539999999</v>
      </c>
      <c r="AV126" s="125">
        <f>AH126*Valores!$C$75</f>
        <v>-612.20106</v>
      </c>
      <c r="AW126" s="125">
        <f t="shared" si="14"/>
        <v>175497.6372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2714.84</v>
      </c>
      <c r="G127" s="192">
        <v>2043</v>
      </c>
      <c r="H127" s="125">
        <f>ROUND(G127*Valores!$C$2,2)</f>
        <v>72031.28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15605.75</v>
      </c>
      <c r="N127" s="125">
        <f t="shared" si="11"/>
        <v>0</v>
      </c>
      <c r="O127" s="125">
        <f>Valores!$C$11</f>
        <v>31438.19</v>
      </c>
      <c r="P127" s="125">
        <f>Valores!$D$5</f>
        <v>18023.69</v>
      </c>
      <c r="Q127" s="125">
        <f>Valores!$C$22</f>
        <v>16079.99</v>
      </c>
      <c r="R127" s="125">
        <f>IF($F$4="NO",Valores!$C$44,Valores!$C$44/2)</f>
        <v>12520.87</v>
      </c>
      <c r="S127" s="125">
        <f>Valores!$C$19</f>
        <v>16771.31</v>
      </c>
      <c r="T127" s="125">
        <f t="shared" si="17"/>
        <v>16771.31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26214.39</v>
      </c>
      <c r="AA127" s="125">
        <f>Valores!$C$25</f>
        <v>737.18</v>
      </c>
      <c r="AB127" s="214">
        <v>0</v>
      </c>
      <c r="AC127" s="125">
        <f t="shared" si="12"/>
        <v>0</v>
      </c>
      <c r="AD127" s="125">
        <f>Valores!$C$26</f>
        <v>737.18</v>
      </c>
      <c r="AE127" s="192">
        <v>0</v>
      </c>
      <c r="AF127" s="125">
        <f>ROUND(AE127*Valores!$C$2,2)</f>
        <v>0</v>
      </c>
      <c r="AG127" s="125">
        <f>ROUND(IF($F$4="NO",Valores!$C$63,Valores!$C$63/2),2)</f>
        <v>8427.87</v>
      </c>
      <c r="AH127" s="125">
        <f t="shared" si="15"/>
        <v>221302.53999999998</v>
      </c>
      <c r="AI127" s="125">
        <f>Valores!$C$31</f>
        <v>0</v>
      </c>
      <c r="AJ127" s="125">
        <f>Valores!$C$87</f>
        <v>0</v>
      </c>
      <c r="AK127" s="125">
        <f>Valores!C$38*B127</f>
        <v>0</v>
      </c>
      <c r="AL127" s="125">
        <f>IF($F$3="NO",0,Valores!$C$56)</f>
        <v>0</v>
      </c>
      <c r="AM127" s="125">
        <f t="shared" si="13"/>
        <v>0</v>
      </c>
      <c r="AN127" s="125">
        <f>AH127*Valores!$C$71</f>
        <v>-24343.2794</v>
      </c>
      <c r="AO127" s="125">
        <f>AH127*-Valores!$C$72</f>
        <v>0</v>
      </c>
      <c r="AP127" s="125">
        <f>AH127*Valores!$C$73</f>
        <v>-9958.6143</v>
      </c>
      <c r="AQ127" s="125">
        <f>Valores!$C$100</f>
        <v>-554.86</v>
      </c>
      <c r="AR127" s="125">
        <f>IF($F$5=0,Valores!$C$101,(Valores!$C$101+$F$5*(Valores!$C$101)))</f>
        <v>-550</v>
      </c>
      <c r="AS127" s="125">
        <f t="shared" si="16"/>
        <v>185895.78629999998</v>
      </c>
      <c r="AT127" s="125">
        <f t="shared" si="10"/>
        <v>-24343.2794</v>
      </c>
      <c r="AU127" s="125">
        <f>AH127*Valores!$C$74</f>
        <v>-5975.16858</v>
      </c>
      <c r="AV127" s="125">
        <f>AH127*Valores!$C$75</f>
        <v>-663.90762</v>
      </c>
      <c r="AW127" s="125">
        <f t="shared" si="14"/>
        <v>190320.18439999997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2150.71</v>
      </c>
      <c r="G128" s="192">
        <v>1217</v>
      </c>
      <c r="H128" s="125">
        <f>ROUND(G128*Valores!$C$2,2)</f>
        <v>42908.5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11046.89</v>
      </c>
      <c r="N128" s="125">
        <f t="shared" si="11"/>
        <v>0</v>
      </c>
      <c r="O128" s="125">
        <f>Valores!$C$16</f>
        <v>30467.13</v>
      </c>
      <c r="P128" s="125">
        <f>Valores!$D$5</f>
        <v>18023.69</v>
      </c>
      <c r="Q128" s="125">
        <f>Valores!$C$22</f>
        <v>16079.99</v>
      </c>
      <c r="R128" s="125">
        <f>IF($F$4="NO",Valores!$C$43,Valores!$C$43/2)</f>
        <v>11815.4</v>
      </c>
      <c r="S128" s="125">
        <f>Valores!$C$19</f>
        <v>16771.31</v>
      </c>
      <c r="T128" s="125">
        <f t="shared" si="17"/>
        <v>16771.31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26214.39</v>
      </c>
      <c r="AA128" s="125">
        <f>Valores!$C$25</f>
        <v>737.18</v>
      </c>
      <c r="AB128" s="214">
        <v>0</v>
      </c>
      <c r="AC128" s="125">
        <f t="shared" si="12"/>
        <v>0</v>
      </c>
      <c r="AD128" s="125">
        <f>Valores!$C$26</f>
        <v>737.18</v>
      </c>
      <c r="AE128" s="192">
        <v>0</v>
      </c>
      <c r="AF128" s="125">
        <f>ROUND(AE128*Valores!$C$2,2)</f>
        <v>0</v>
      </c>
      <c r="AG128" s="125">
        <f>ROUND(IF($F$4="NO",Valores!$C$63,Valores!$C$63/2),2)</f>
        <v>8427.87</v>
      </c>
      <c r="AH128" s="125">
        <f t="shared" si="15"/>
        <v>185380.24</v>
      </c>
      <c r="AI128" s="125">
        <f>Valores!$C$31</f>
        <v>0</v>
      </c>
      <c r="AJ128" s="125">
        <f>Valores!$C$87</f>
        <v>0</v>
      </c>
      <c r="AK128" s="125">
        <f>Valores!C$38*B128</f>
        <v>0</v>
      </c>
      <c r="AL128" s="125">
        <f>IF($F$3="NO",0,Valores!$C$56)</f>
        <v>0</v>
      </c>
      <c r="AM128" s="125">
        <f t="shared" si="13"/>
        <v>0</v>
      </c>
      <c r="AN128" s="125">
        <f>AH128*Valores!$C$71</f>
        <v>-20391.826399999998</v>
      </c>
      <c r="AO128" s="125">
        <f>AH128*-Valores!$C$72</f>
        <v>0</v>
      </c>
      <c r="AP128" s="125">
        <f>AH128*Valores!$C$73</f>
        <v>-8342.110799999999</v>
      </c>
      <c r="AQ128" s="125">
        <f>Valores!$C$100</f>
        <v>-554.86</v>
      </c>
      <c r="AR128" s="125">
        <f>IF($F$5=0,Valores!$C$101,(Valores!$C$101+$F$5*(Valores!$C$101)))</f>
        <v>-550</v>
      </c>
      <c r="AS128" s="125">
        <f t="shared" si="16"/>
        <v>155541.4428</v>
      </c>
      <c r="AT128" s="125">
        <f t="shared" si="10"/>
        <v>-20391.826399999998</v>
      </c>
      <c r="AU128" s="125">
        <f>AH128*Valores!$C$74</f>
        <v>-5005.266479999999</v>
      </c>
      <c r="AV128" s="125">
        <f>AH128*Valores!$C$75</f>
        <v>-556.14072</v>
      </c>
      <c r="AW128" s="125">
        <f t="shared" si="14"/>
        <v>159427.00639999998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2538.55</v>
      </c>
      <c r="G129" s="192">
        <v>1206</v>
      </c>
      <c r="H129" s="125">
        <f>ROUND(G129*Valores!$C$2,2)</f>
        <v>42520.67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11046.89</v>
      </c>
      <c r="N129" s="125">
        <f t="shared" si="11"/>
        <v>0</v>
      </c>
      <c r="O129" s="125">
        <f>Valores!$C$16</f>
        <v>30467.13</v>
      </c>
      <c r="P129" s="125">
        <f>Valores!$D$5</f>
        <v>18023.69</v>
      </c>
      <c r="Q129" s="125">
        <f>Valores!$C$22</f>
        <v>16079.99</v>
      </c>
      <c r="R129" s="125">
        <f>IF($F$4="NO",Valores!$C$43,Valores!$C$43/2)</f>
        <v>11815.4</v>
      </c>
      <c r="S129" s="125">
        <f>Valores!$C$19</f>
        <v>16771.31</v>
      </c>
      <c r="T129" s="125">
        <f t="shared" si="17"/>
        <v>16771.31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26214.39</v>
      </c>
      <c r="AA129" s="125">
        <f>Valores!$C$25</f>
        <v>737.18</v>
      </c>
      <c r="AB129" s="214">
        <v>0</v>
      </c>
      <c r="AC129" s="125">
        <f t="shared" si="12"/>
        <v>0</v>
      </c>
      <c r="AD129" s="125">
        <f>Valores!$C$26</f>
        <v>737.18</v>
      </c>
      <c r="AE129" s="192">
        <v>94</v>
      </c>
      <c r="AF129" s="125">
        <f>ROUND(AE129*Valores!$C$2,2)</f>
        <v>3314.21</v>
      </c>
      <c r="AG129" s="125">
        <f>ROUND(IF($F$4="NO",Valores!$C$63,Valores!$C$63/2),2)</f>
        <v>8427.87</v>
      </c>
      <c r="AH129" s="125">
        <f t="shared" si="15"/>
        <v>188694.46</v>
      </c>
      <c r="AI129" s="125">
        <f>Valores!$C$31</f>
        <v>0</v>
      </c>
      <c r="AJ129" s="125">
        <f>Valores!$C$87</f>
        <v>0</v>
      </c>
      <c r="AK129" s="125">
        <f>Valores!C$38*B129</f>
        <v>0</v>
      </c>
      <c r="AL129" s="125">
        <f>IF($F$3="NO",0,Valores!$C$56)</f>
        <v>0</v>
      </c>
      <c r="AM129" s="125">
        <f t="shared" si="13"/>
        <v>0</v>
      </c>
      <c r="AN129" s="125">
        <f>AH129*Valores!$C$71</f>
        <v>-20756.3906</v>
      </c>
      <c r="AO129" s="125">
        <f>AH129*-Valores!$C$72</f>
        <v>0</v>
      </c>
      <c r="AP129" s="125">
        <f>AH129*Valores!$C$73</f>
        <v>-8491.250699999999</v>
      </c>
      <c r="AQ129" s="125">
        <f>Valores!$C$100</f>
        <v>-554.86</v>
      </c>
      <c r="AR129" s="125">
        <f>IF($F$5=0,Valores!$C$101,(Valores!$C$101+$F$5*(Valores!$C$101)))</f>
        <v>-550</v>
      </c>
      <c r="AS129" s="125">
        <f t="shared" si="16"/>
        <v>158341.9587</v>
      </c>
      <c r="AT129" s="125">
        <f t="shared" si="10"/>
        <v>-20756.3906</v>
      </c>
      <c r="AU129" s="125">
        <f>AH129*Valores!$C$74</f>
        <v>-5094.750419999999</v>
      </c>
      <c r="AV129" s="125">
        <f>AH129*Valores!$C$75</f>
        <v>-566.08338</v>
      </c>
      <c r="AW129" s="125">
        <f t="shared" si="14"/>
        <v>162277.23559999999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2150.71</v>
      </c>
      <c r="G130" s="192">
        <v>1217</v>
      </c>
      <c r="H130" s="125">
        <f>ROUND(G130*Valores!$C$2,2)</f>
        <v>42908.5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11021.17</v>
      </c>
      <c r="N130" s="125">
        <f t="shared" si="11"/>
        <v>0</v>
      </c>
      <c r="O130" s="125">
        <f>Valores!$C$16</f>
        <v>30467.13</v>
      </c>
      <c r="P130" s="125">
        <f>Valores!$D$5</f>
        <v>18023.69</v>
      </c>
      <c r="Q130" s="125">
        <v>0</v>
      </c>
      <c r="R130" s="125">
        <f>IF($F$4="NO",Valores!$C$43,Valores!$C$43/2)</f>
        <v>11815.4</v>
      </c>
      <c r="S130" s="125">
        <f>Valores!$C$20</f>
        <v>16599.84</v>
      </c>
      <c r="T130" s="125">
        <f t="shared" si="17"/>
        <v>16599.84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26214.39</v>
      </c>
      <c r="AA130" s="125">
        <f>Valores!$C$25</f>
        <v>737.18</v>
      </c>
      <c r="AB130" s="214">
        <v>0</v>
      </c>
      <c r="AC130" s="125">
        <f t="shared" si="12"/>
        <v>0</v>
      </c>
      <c r="AD130" s="125">
        <f>Valores!$C$26</f>
        <v>737.18</v>
      </c>
      <c r="AE130" s="192">
        <v>0</v>
      </c>
      <c r="AF130" s="125">
        <f>ROUND(AE130*Valores!$C$2,2)</f>
        <v>0</v>
      </c>
      <c r="AG130" s="125">
        <f>ROUND(IF($F$4="NO",Valores!$C$63,Valores!$C$63/2),2)</f>
        <v>8427.87</v>
      </c>
      <c r="AH130" s="125">
        <f t="shared" si="15"/>
        <v>169103.06</v>
      </c>
      <c r="AI130" s="125">
        <f>Valores!$C$31</f>
        <v>0</v>
      </c>
      <c r="AJ130" s="125">
        <f>Valores!$C$87</f>
        <v>0</v>
      </c>
      <c r="AK130" s="125">
        <f>Valores!C$38*B130</f>
        <v>0</v>
      </c>
      <c r="AL130" s="125">
        <f>IF($F$3="NO",0,Valores!$C$56)</f>
        <v>0</v>
      </c>
      <c r="AM130" s="125">
        <f t="shared" si="13"/>
        <v>0</v>
      </c>
      <c r="AN130" s="125">
        <f>AH130*Valores!$C$71</f>
        <v>-18601.3366</v>
      </c>
      <c r="AO130" s="125">
        <f>AH130*-Valores!$C$72</f>
        <v>0</v>
      </c>
      <c r="AP130" s="125">
        <f>AH130*Valores!$C$73</f>
        <v>-7609.637699999999</v>
      </c>
      <c r="AQ130" s="125">
        <f>Valores!$C$100</f>
        <v>-554.86</v>
      </c>
      <c r="AR130" s="125">
        <f>IF($F$5=0,Valores!$C$101,(Valores!$C$101+$F$5*(Valores!$C$101)))</f>
        <v>-550</v>
      </c>
      <c r="AS130" s="125">
        <f t="shared" si="16"/>
        <v>141787.2257</v>
      </c>
      <c r="AT130" s="125">
        <f t="shared" si="10"/>
        <v>-18601.3366</v>
      </c>
      <c r="AU130" s="125">
        <f>AH130*Valores!$C$74</f>
        <v>-4565.78262</v>
      </c>
      <c r="AV130" s="125">
        <f>AH130*Valores!$C$75</f>
        <v>-507.30918</v>
      </c>
      <c r="AW130" s="125">
        <f t="shared" si="14"/>
        <v>145428.6316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45059.21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11126.99</v>
      </c>
      <c r="N131" s="125">
        <f t="shared" si="11"/>
        <v>0</v>
      </c>
      <c r="O131" s="125">
        <f>Valores!$C$16</f>
        <v>30467.13</v>
      </c>
      <c r="P131" s="125">
        <f>Valores!$D$5</f>
        <v>18023.69</v>
      </c>
      <c r="Q131" s="125">
        <f>Valores!$C$22</f>
        <v>16079.99</v>
      </c>
      <c r="R131" s="125">
        <f>IF($F$4="NO",Valores!$C$44,Valores!$C$44/2)</f>
        <v>12520.87</v>
      </c>
      <c r="S131" s="125">
        <f>Valores!$C$20</f>
        <v>16599.84</v>
      </c>
      <c r="T131" s="125">
        <f t="shared" si="17"/>
        <v>16599.84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26214.39</v>
      </c>
      <c r="AA131" s="125">
        <f>Valores!$C$25</f>
        <v>737.18</v>
      </c>
      <c r="AB131" s="214">
        <v>0</v>
      </c>
      <c r="AC131" s="125">
        <f t="shared" si="12"/>
        <v>0</v>
      </c>
      <c r="AD131" s="125">
        <f>Valores!$C$26</f>
        <v>737.18</v>
      </c>
      <c r="AE131" s="192">
        <v>0</v>
      </c>
      <c r="AF131" s="125">
        <f>ROUND(AE131*Valores!$C$2,2)</f>
        <v>0</v>
      </c>
      <c r="AG131" s="125">
        <f>ROUND(IF($F$4="NO",Valores!$C$63,Valores!$C$63/2),2)</f>
        <v>8427.87</v>
      </c>
      <c r="AH131" s="125">
        <f t="shared" si="15"/>
        <v>185994.33999999997</v>
      </c>
      <c r="AI131" s="125">
        <f>Valores!$C$31</f>
        <v>0</v>
      </c>
      <c r="AJ131" s="125">
        <f>Valores!$C$87</f>
        <v>0</v>
      </c>
      <c r="AK131" s="125">
        <f>Valores!C$38*B131</f>
        <v>0</v>
      </c>
      <c r="AL131" s="125">
        <f>IF($F$3="NO",0,Valores!$C$56)</f>
        <v>0</v>
      </c>
      <c r="AM131" s="125">
        <f t="shared" si="13"/>
        <v>0</v>
      </c>
      <c r="AN131" s="125">
        <f>AH131*Valores!$C$71</f>
        <v>-20459.377399999998</v>
      </c>
      <c r="AO131" s="125">
        <f>AH131*-Valores!$C$72</f>
        <v>0</v>
      </c>
      <c r="AP131" s="125">
        <f>AH131*Valores!$C$73</f>
        <v>-8369.745299999999</v>
      </c>
      <c r="AQ131" s="125">
        <f>Valores!$C$100</f>
        <v>-554.86</v>
      </c>
      <c r="AR131" s="125">
        <f>IF($F$5=0,Valores!$C$101,(Valores!$C$101+$F$5*(Valores!$C$101)))</f>
        <v>-550</v>
      </c>
      <c r="AS131" s="125">
        <f t="shared" si="16"/>
        <v>156060.35729999997</v>
      </c>
      <c r="AT131" s="125">
        <f t="shared" si="10"/>
        <v>-20459.377399999998</v>
      </c>
      <c r="AU131" s="125">
        <f>AH131*Valores!$C$74</f>
        <v>-5021.847179999999</v>
      </c>
      <c r="AV131" s="125">
        <f>AH131*Valores!$C$75</f>
        <v>-557.9830199999999</v>
      </c>
      <c r="AW131" s="125">
        <f t="shared" si="14"/>
        <v>159955.13239999997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45059.21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11152.71</v>
      </c>
      <c r="N132" s="125">
        <f t="shared" si="11"/>
        <v>0</v>
      </c>
      <c r="O132" s="125">
        <f>Valores!$C$16</f>
        <v>30467.13</v>
      </c>
      <c r="P132" s="125">
        <f>Valores!$D$5</f>
        <v>18023.69</v>
      </c>
      <c r="Q132" s="125">
        <f>Valores!$C$22</f>
        <v>16079.99</v>
      </c>
      <c r="R132" s="125">
        <f>IF($F$4="NO",Valores!$C$44,Valores!$C$44/2)</f>
        <v>12520.87</v>
      </c>
      <c r="S132" s="125">
        <f>Valores!$C$19</f>
        <v>16771.31</v>
      </c>
      <c r="T132" s="125">
        <f t="shared" si="17"/>
        <v>16771.31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26214.39</v>
      </c>
      <c r="AA132" s="125">
        <f>Valores!$C$25</f>
        <v>737.18</v>
      </c>
      <c r="AB132" s="214">
        <v>0</v>
      </c>
      <c r="AC132" s="125">
        <f t="shared" si="12"/>
        <v>0</v>
      </c>
      <c r="AD132" s="125">
        <f>Valores!$C$26</f>
        <v>737.18</v>
      </c>
      <c r="AE132" s="192">
        <v>94</v>
      </c>
      <c r="AF132" s="125">
        <f>ROUND(AE132*Valores!$C$2,2)</f>
        <v>3314.21</v>
      </c>
      <c r="AG132" s="125">
        <f>ROUND(IF($F$4="NO",Valores!$C$63,Valores!$C$63/2),2)</f>
        <v>8427.87</v>
      </c>
      <c r="AH132" s="125">
        <f t="shared" si="15"/>
        <v>189505.73999999996</v>
      </c>
      <c r="AI132" s="125">
        <f>Valores!$C$31</f>
        <v>0</v>
      </c>
      <c r="AJ132" s="125">
        <f>Valores!$C$87</f>
        <v>0</v>
      </c>
      <c r="AK132" s="125">
        <f>Valores!C$38*B132</f>
        <v>0</v>
      </c>
      <c r="AL132" s="125">
        <f>IF($F$3="NO",0,Valores!$C$56)</f>
        <v>0</v>
      </c>
      <c r="AM132" s="125">
        <f t="shared" si="13"/>
        <v>0</v>
      </c>
      <c r="AN132" s="125">
        <f>AH132*Valores!$C$71</f>
        <v>-20845.631399999995</v>
      </c>
      <c r="AO132" s="125">
        <f>AH132*-Valores!$C$72</f>
        <v>0</v>
      </c>
      <c r="AP132" s="125">
        <f>AH132*Valores!$C$73</f>
        <v>-8527.758299999998</v>
      </c>
      <c r="AQ132" s="125">
        <f>Valores!$C$100</f>
        <v>-554.86</v>
      </c>
      <c r="AR132" s="125">
        <f>IF($F$5=0,Valores!$C$101,(Valores!$C$101+$F$5*(Valores!$C$101)))</f>
        <v>-550</v>
      </c>
      <c r="AS132" s="125">
        <f t="shared" si="16"/>
        <v>159027.49029999998</v>
      </c>
      <c r="AT132" s="125">
        <f t="shared" si="10"/>
        <v>-20845.631399999995</v>
      </c>
      <c r="AU132" s="125">
        <f>AH132*Valores!$C$74</f>
        <v>-5116.654979999999</v>
      </c>
      <c r="AV132" s="125">
        <f>AH132*Valores!$C$75</f>
        <v>-568.51722</v>
      </c>
      <c r="AW132" s="125">
        <f t="shared" si="14"/>
        <v>162974.93639999998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33001.11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9212.45</v>
      </c>
      <c r="N133" s="125">
        <f t="shared" si="11"/>
        <v>0</v>
      </c>
      <c r="O133" s="125">
        <f>Valores!$C$16</f>
        <v>30467.13</v>
      </c>
      <c r="P133" s="125">
        <f>Valores!$D$5</f>
        <v>18023.69</v>
      </c>
      <c r="Q133" s="125">
        <f>Valores!$C$23</f>
        <v>14966.19</v>
      </c>
      <c r="R133" s="125">
        <f>IF($F$4="NO",Valores!$C$43,Valores!$C$43/2)</f>
        <v>11815.4</v>
      </c>
      <c r="S133" s="125">
        <f>Valores!$C$20</f>
        <v>16599.84</v>
      </c>
      <c r="T133" s="125">
        <f t="shared" si="17"/>
        <v>16599.84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26214.39</v>
      </c>
      <c r="AA133" s="125">
        <f>Valores!$C$25</f>
        <v>737.18</v>
      </c>
      <c r="AB133" s="214">
        <v>0</v>
      </c>
      <c r="AC133" s="125">
        <f t="shared" si="12"/>
        <v>0</v>
      </c>
      <c r="AD133" s="125">
        <f>Valores!$C$26</f>
        <v>737.18</v>
      </c>
      <c r="AE133" s="192">
        <v>94</v>
      </c>
      <c r="AF133" s="125">
        <f>ROUND(AE133*Valores!$C$2,2)</f>
        <v>3314.21</v>
      </c>
      <c r="AG133" s="125">
        <f>ROUND(IF($F$4="NO",Valores!$C$63,Valores!$C$63/2),2)</f>
        <v>8427.87</v>
      </c>
      <c r="AH133" s="125">
        <f t="shared" si="15"/>
        <v>173516.63999999998</v>
      </c>
      <c r="AI133" s="125">
        <f>Valores!$C$31</f>
        <v>0</v>
      </c>
      <c r="AJ133" s="125">
        <f>Valores!$C$87</f>
        <v>0</v>
      </c>
      <c r="AK133" s="125">
        <f>Valores!C$38*B133</f>
        <v>0</v>
      </c>
      <c r="AL133" s="125">
        <f>IF($F$3="NO",0,Valores!$C$56)</f>
        <v>0</v>
      </c>
      <c r="AM133" s="125">
        <f t="shared" si="13"/>
        <v>0</v>
      </c>
      <c r="AN133" s="125">
        <f>AH133*Valores!$C$71</f>
        <v>-19086.8304</v>
      </c>
      <c r="AO133" s="125">
        <f>AH133*-Valores!$C$72</f>
        <v>0</v>
      </c>
      <c r="AP133" s="125">
        <f>AH133*Valores!$C$73</f>
        <v>-7808.248799999999</v>
      </c>
      <c r="AQ133" s="125">
        <f>Valores!$C$100</f>
        <v>-554.86</v>
      </c>
      <c r="AR133" s="125">
        <f>IF($F$5=0,Valores!$C$101,(Valores!$C$101+$F$5*(Valores!$C$101)))</f>
        <v>-550</v>
      </c>
      <c r="AS133" s="125">
        <f t="shared" si="16"/>
        <v>145516.7008</v>
      </c>
      <c r="AT133" s="125">
        <f t="shared" si="10"/>
        <v>-19086.8304</v>
      </c>
      <c r="AU133" s="125">
        <f>AH133*Valores!$C$74</f>
        <v>-4684.94928</v>
      </c>
      <c r="AV133" s="125">
        <f>AH133*Valores!$C$75</f>
        <v>-520.5499199999999</v>
      </c>
      <c r="AW133" s="125">
        <f t="shared" si="14"/>
        <v>149224.3104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45059.21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11021.17</v>
      </c>
      <c r="N134" s="125">
        <f t="shared" si="11"/>
        <v>0</v>
      </c>
      <c r="O134" s="125">
        <f>Valores!$C$8</f>
        <v>44191.25</v>
      </c>
      <c r="P134" s="125">
        <f>Valores!$D$5</f>
        <v>18023.69</v>
      </c>
      <c r="Q134" s="125">
        <v>0</v>
      </c>
      <c r="R134" s="125">
        <f>IF($F$4="NO",Valores!$C$43,Valores!$C$43/2)</f>
        <v>11815.4</v>
      </c>
      <c r="S134" s="125">
        <f>Valores!$C$20</f>
        <v>16599.84</v>
      </c>
      <c r="T134" s="125">
        <f t="shared" si="17"/>
        <v>16599.84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26214.39</v>
      </c>
      <c r="AA134" s="125">
        <f>Valores!$C$25</f>
        <v>737.18</v>
      </c>
      <c r="AB134" s="214">
        <v>0</v>
      </c>
      <c r="AC134" s="125">
        <f t="shared" si="12"/>
        <v>0</v>
      </c>
      <c r="AD134" s="125">
        <f>Valores!$C$26</f>
        <v>737.18</v>
      </c>
      <c r="AE134" s="192">
        <v>94</v>
      </c>
      <c r="AF134" s="125">
        <f>ROUND(AE134*Valores!$C$2,2)</f>
        <v>3314.21</v>
      </c>
      <c r="AG134" s="125">
        <f>ROUND(IF($F$4="NO",Valores!$C$63,Valores!$C$63/2),2)</f>
        <v>8427.87</v>
      </c>
      <c r="AH134" s="125">
        <f t="shared" si="15"/>
        <v>186141.38999999998</v>
      </c>
      <c r="AI134" s="125">
        <f>Valores!$C$31</f>
        <v>0</v>
      </c>
      <c r="AJ134" s="125">
        <f>Valores!$C$87</f>
        <v>0</v>
      </c>
      <c r="AK134" s="125">
        <f>Valores!C$38*B134</f>
        <v>0</v>
      </c>
      <c r="AL134" s="125">
        <f>IF($F$3="NO",0,Valores!$C$56)</f>
        <v>0</v>
      </c>
      <c r="AM134" s="125">
        <f t="shared" si="13"/>
        <v>0</v>
      </c>
      <c r="AN134" s="125">
        <f>AH134*Valores!$C$71</f>
        <v>-20475.5529</v>
      </c>
      <c r="AO134" s="125">
        <f>AH134*-Valores!$C$72</f>
        <v>0</v>
      </c>
      <c r="AP134" s="125">
        <f>AH134*Valores!$C$73</f>
        <v>-8376.36255</v>
      </c>
      <c r="AQ134" s="125">
        <f>Valores!$C$100</f>
        <v>-554.86</v>
      </c>
      <c r="AR134" s="125">
        <f>IF($F$5=0,Valores!$C$101,(Valores!$C$101+$F$5*(Valores!$C$101)))</f>
        <v>-550</v>
      </c>
      <c r="AS134" s="125">
        <f t="shared" si="16"/>
        <v>156184.61455</v>
      </c>
      <c r="AT134" s="125">
        <f aca="true" t="shared" si="18" ref="AT134:AT196">AN134</f>
        <v>-20475.5529</v>
      </c>
      <c r="AU134" s="125">
        <f>AH134*Valores!$C$74</f>
        <v>-5025.817529999999</v>
      </c>
      <c r="AV134" s="125">
        <f>AH134*Valores!$C$75</f>
        <v>-558.42417</v>
      </c>
      <c r="AW134" s="125">
        <f t="shared" si="14"/>
        <v>160081.5954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45059.21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11152.71</v>
      </c>
      <c r="N135" s="125">
        <f t="shared" si="11"/>
        <v>0</v>
      </c>
      <c r="O135" s="125">
        <f>Valores!$C$8</f>
        <v>44191.25</v>
      </c>
      <c r="P135" s="125">
        <f>Valores!$D$5</f>
        <v>18023.69</v>
      </c>
      <c r="Q135" s="125">
        <f>Valores!$C$22</f>
        <v>16079.99</v>
      </c>
      <c r="R135" s="125">
        <f>IF($F$4="NO",Valores!$C$44,Valores!$C$44/2)</f>
        <v>12520.87</v>
      </c>
      <c r="S135" s="125">
        <f>Valores!$C$19</f>
        <v>16771.31</v>
      </c>
      <c r="T135" s="125">
        <f t="shared" si="17"/>
        <v>16771.31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26214.39</v>
      </c>
      <c r="AA135" s="125">
        <f>Valores!$C$25</f>
        <v>737.18</v>
      </c>
      <c r="AB135" s="214">
        <v>0</v>
      </c>
      <c r="AC135" s="125">
        <f t="shared" si="12"/>
        <v>0</v>
      </c>
      <c r="AD135" s="125">
        <f>Valores!$C$26</f>
        <v>737.18</v>
      </c>
      <c r="AE135" s="192">
        <v>0</v>
      </c>
      <c r="AF135" s="125">
        <f>ROUND(AE135*Valores!$C$2,2)</f>
        <v>0</v>
      </c>
      <c r="AG135" s="125">
        <f>ROUND(IF($F$4="NO",Valores!$C$63,Valores!$C$63/2),2)</f>
        <v>8427.87</v>
      </c>
      <c r="AH135" s="125">
        <f t="shared" si="15"/>
        <v>199915.64999999997</v>
      </c>
      <c r="AI135" s="125">
        <f>Valores!$C$31</f>
        <v>0</v>
      </c>
      <c r="AJ135" s="125">
        <f>Valores!$C$87</f>
        <v>0</v>
      </c>
      <c r="AK135" s="125">
        <f>Valores!C$38*B135</f>
        <v>0</v>
      </c>
      <c r="AL135" s="125">
        <f>IF($F$3="NO",0,Valores!$C$56)</f>
        <v>0</v>
      </c>
      <c r="AM135" s="125">
        <f t="shared" si="13"/>
        <v>0</v>
      </c>
      <c r="AN135" s="125">
        <f>AH135*Valores!$C$71</f>
        <v>-21990.721499999996</v>
      </c>
      <c r="AO135" s="125">
        <f>AH135*-Valores!$C$72</f>
        <v>0</v>
      </c>
      <c r="AP135" s="125">
        <f>AH135*Valores!$C$73</f>
        <v>-8996.204249999999</v>
      </c>
      <c r="AQ135" s="125">
        <f>Valores!$C$100</f>
        <v>-554.86</v>
      </c>
      <c r="AR135" s="125">
        <f>IF($F$5=0,Valores!$C$101,(Valores!$C$101+$F$5*(Valores!$C$101)))</f>
        <v>-550</v>
      </c>
      <c r="AS135" s="125">
        <f t="shared" si="16"/>
        <v>167823.86424999998</v>
      </c>
      <c r="AT135" s="125">
        <f t="shared" si="18"/>
        <v>-21990.721499999996</v>
      </c>
      <c r="AU135" s="125">
        <f>AH135*Valores!$C$74</f>
        <v>-5397.722549999999</v>
      </c>
      <c r="AV135" s="125">
        <f>AH135*Valores!$C$75</f>
        <v>-599.7469499999999</v>
      </c>
      <c r="AW135" s="125">
        <f t="shared" si="14"/>
        <v>171927.45899999997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45059.21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11152.71</v>
      </c>
      <c r="N136" s="125">
        <f aca="true" t="shared" si="19" ref="N136:N199">ROUND(SUM(F136,H136,J136,L136,X136,R136)*$H$2,2)</f>
        <v>0</v>
      </c>
      <c r="O136" s="125">
        <f>Valores!$C$8</f>
        <v>44191.25</v>
      </c>
      <c r="P136" s="125">
        <f>Valores!$D$5</f>
        <v>18023.69</v>
      </c>
      <c r="Q136" s="125">
        <f>Valores!$C$22</f>
        <v>16079.99</v>
      </c>
      <c r="R136" s="125">
        <f>IF($F$4="NO",Valores!$C$44,Valores!$C$44/2)</f>
        <v>12520.87</v>
      </c>
      <c r="S136" s="125">
        <f>Valores!$C$19</f>
        <v>16771.31</v>
      </c>
      <c r="T136" s="125">
        <f t="shared" si="17"/>
        <v>16771.31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26214.39</v>
      </c>
      <c r="AA136" s="125">
        <f>Valores!$C$25</f>
        <v>737.18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737.18</v>
      </c>
      <c r="AE136" s="192">
        <v>0</v>
      </c>
      <c r="AF136" s="125">
        <f>ROUND(AE136*Valores!$C$2,2)</f>
        <v>0</v>
      </c>
      <c r="AG136" s="125">
        <f>ROUND(IF($F$4="NO",Valores!$C$63,Valores!$C$63/2),2)</f>
        <v>8427.87</v>
      </c>
      <c r="AH136" s="125">
        <f t="shared" si="15"/>
        <v>199915.64999999997</v>
      </c>
      <c r="AI136" s="125">
        <f>Valores!$C$31</f>
        <v>0</v>
      </c>
      <c r="AJ136" s="125">
        <f>Valores!$C$87</f>
        <v>0</v>
      </c>
      <c r="AK136" s="125">
        <f>Valores!C$38*B136</f>
        <v>0</v>
      </c>
      <c r="AL136" s="125">
        <f>IF($F$3="NO",0,Valores!$C$56)</f>
        <v>0</v>
      </c>
      <c r="AM136" s="125">
        <f aca="true" t="shared" si="21" ref="AM136:AM199">SUM(AI136:AL136)</f>
        <v>0</v>
      </c>
      <c r="AN136" s="125">
        <f>AH136*Valores!$C$71</f>
        <v>-21990.721499999996</v>
      </c>
      <c r="AO136" s="125">
        <f>AH136*-Valores!$C$72</f>
        <v>0</v>
      </c>
      <c r="AP136" s="125">
        <f>AH136*Valores!$C$73</f>
        <v>-8996.204249999999</v>
      </c>
      <c r="AQ136" s="125">
        <f>Valores!$C$100</f>
        <v>-554.86</v>
      </c>
      <c r="AR136" s="125">
        <f>IF($F$5=0,Valores!$C$101,(Valores!$C$101+$F$5*(Valores!$C$101)))</f>
        <v>-550</v>
      </c>
      <c r="AS136" s="125">
        <f t="shared" si="16"/>
        <v>167823.86424999998</v>
      </c>
      <c r="AT136" s="125">
        <f t="shared" si="18"/>
        <v>-21990.721499999996</v>
      </c>
      <c r="AU136" s="125">
        <f>AH136*Valores!$C$74</f>
        <v>-5397.722549999999</v>
      </c>
      <c r="AV136" s="125">
        <f>AH136*Valores!$C$75</f>
        <v>-599.7469499999999</v>
      </c>
      <c r="AW136" s="125">
        <f aca="true" t="shared" si="22" ref="AW136:AW199">AH136+AM136+SUM(AT136:AV136)</f>
        <v>171927.45899999997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45059.21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11152.71</v>
      </c>
      <c r="N137" s="125">
        <f t="shared" si="19"/>
        <v>0</v>
      </c>
      <c r="O137" s="125">
        <f>Valores!$C$16</f>
        <v>30467.13</v>
      </c>
      <c r="P137" s="125">
        <f>Valores!$D$5</f>
        <v>18023.69</v>
      </c>
      <c r="Q137" s="125">
        <v>0</v>
      </c>
      <c r="R137" s="125">
        <f>IF($F$4="NO",Valores!$C$44,Valores!$C$44/2)</f>
        <v>12520.87</v>
      </c>
      <c r="S137" s="125">
        <f>Valores!$C$19</f>
        <v>16771.31</v>
      </c>
      <c r="T137" s="125">
        <f t="shared" si="17"/>
        <v>16771.31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26214.39</v>
      </c>
      <c r="AA137" s="125">
        <f>Valores!$C$25</f>
        <v>737.18</v>
      </c>
      <c r="AB137" s="214">
        <v>0</v>
      </c>
      <c r="AC137" s="125">
        <f t="shared" si="20"/>
        <v>0</v>
      </c>
      <c r="AD137" s="125">
        <f>Valores!$C$26</f>
        <v>737.18</v>
      </c>
      <c r="AE137" s="192">
        <v>0</v>
      </c>
      <c r="AF137" s="125">
        <f>ROUND(AE137*Valores!$C$2,2)</f>
        <v>0</v>
      </c>
      <c r="AG137" s="125">
        <f>ROUND(IF($F$4="NO",Valores!$C$63,Valores!$C$63/2),2)</f>
        <v>8427.87</v>
      </c>
      <c r="AH137" s="125">
        <f aca="true" t="shared" si="23" ref="AH137:AH200">SUM(F137,H137,J137,L137,M137,N137,O137,P137,Q137,R137,T137,U137,V137,X137,Y137,Z137,AA137,AC137,AD137,AF137,AG137)</f>
        <v>170111.53999999998</v>
      </c>
      <c r="AI137" s="125">
        <f>Valores!$C$31</f>
        <v>0</v>
      </c>
      <c r="AJ137" s="125">
        <f>Valores!$C$87</f>
        <v>0</v>
      </c>
      <c r="AK137" s="125">
        <f>Valores!C$38*B137</f>
        <v>0</v>
      </c>
      <c r="AL137" s="125">
        <f>IF($F$3="NO",0,Valores!$C$56)</f>
        <v>0</v>
      </c>
      <c r="AM137" s="125">
        <f t="shared" si="21"/>
        <v>0</v>
      </c>
      <c r="AN137" s="125">
        <f>AH137*Valores!$C$71</f>
        <v>-18712.269399999997</v>
      </c>
      <c r="AO137" s="125">
        <f>AH137*-Valores!$C$72</f>
        <v>0</v>
      </c>
      <c r="AP137" s="125">
        <f>AH137*Valores!$C$73</f>
        <v>-7655.019299999999</v>
      </c>
      <c r="AQ137" s="125">
        <f>Valores!$C$100</f>
        <v>-554.86</v>
      </c>
      <c r="AR137" s="125">
        <f>IF($F$5=0,Valores!$C$101,(Valores!$C$101+$F$5*(Valores!$C$101)))</f>
        <v>-550</v>
      </c>
      <c r="AS137" s="125">
        <f aca="true" t="shared" si="24" ref="AS137:AS200">AH137+SUM(AM137:AR137)</f>
        <v>142639.3913</v>
      </c>
      <c r="AT137" s="125">
        <f t="shared" si="18"/>
        <v>-18712.269399999997</v>
      </c>
      <c r="AU137" s="125">
        <f>AH137*Valores!$C$74</f>
        <v>-4593.011579999999</v>
      </c>
      <c r="AV137" s="125">
        <f>AH137*Valores!$C$75</f>
        <v>-510.33462</v>
      </c>
      <c r="AW137" s="125">
        <f t="shared" si="22"/>
        <v>146295.9244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21718.68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7651.63</v>
      </c>
      <c r="N138" s="125">
        <f t="shared" si="19"/>
        <v>0</v>
      </c>
      <c r="O138" s="125">
        <f>Valores!$C$8</f>
        <v>44191.25</v>
      </c>
      <c r="P138" s="125">
        <f>Valores!$D$5</f>
        <v>18023.69</v>
      </c>
      <c r="Q138" s="125">
        <f>Valores!$C$22</f>
        <v>16079.99</v>
      </c>
      <c r="R138" s="125">
        <f>IF($F$4="NO",Valores!$C$44,Valores!$C$44/2)</f>
        <v>12520.87</v>
      </c>
      <c r="S138" s="125">
        <f>Valores!$C$19</f>
        <v>16771.31</v>
      </c>
      <c r="T138" s="125">
        <f t="shared" si="17"/>
        <v>16771.31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26214.39</v>
      </c>
      <c r="AA138" s="125">
        <f>Valores!$C$25</f>
        <v>737.18</v>
      </c>
      <c r="AB138" s="214">
        <v>0</v>
      </c>
      <c r="AC138" s="125">
        <f t="shared" si="20"/>
        <v>0</v>
      </c>
      <c r="AD138" s="125">
        <f>Valores!$C$26</f>
        <v>737.18</v>
      </c>
      <c r="AE138" s="192">
        <v>0</v>
      </c>
      <c r="AF138" s="125">
        <f>ROUND(AE138*Valores!$C$2,2)</f>
        <v>0</v>
      </c>
      <c r="AG138" s="125">
        <f>ROUND(IF($F$4="NO",Valores!$C$63,Valores!$C$63/2),2)</f>
        <v>8427.87</v>
      </c>
      <c r="AH138" s="125">
        <f t="shared" si="23"/>
        <v>173074.03999999998</v>
      </c>
      <c r="AI138" s="125">
        <f>Valores!$C$31</f>
        <v>0</v>
      </c>
      <c r="AJ138" s="125">
        <f>Valores!$C$87</f>
        <v>0</v>
      </c>
      <c r="AK138" s="125">
        <f>Valores!C$38*B138</f>
        <v>0</v>
      </c>
      <c r="AL138" s="125">
        <f>IF($F$3="NO",0,Valores!$C$56)</f>
        <v>0</v>
      </c>
      <c r="AM138" s="125">
        <f t="shared" si="21"/>
        <v>0</v>
      </c>
      <c r="AN138" s="125">
        <f>AH138*Valores!$C$71</f>
        <v>-19038.144399999997</v>
      </c>
      <c r="AO138" s="125">
        <f>AH138*-Valores!$C$72</f>
        <v>0</v>
      </c>
      <c r="AP138" s="125">
        <f>AH138*Valores!$C$73</f>
        <v>-7788.331799999999</v>
      </c>
      <c r="AQ138" s="125">
        <f>Valores!$C$100</f>
        <v>-554.86</v>
      </c>
      <c r="AR138" s="125">
        <f>IF($F$5=0,Valores!$C$101,(Valores!$C$101+$F$5*(Valores!$C$101)))</f>
        <v>-550</v>
      </c>
      <c r="AS138" s="125">
        <f t="shared" si="24"/>
        <v>145142.7038</v>
      </c>
      <c r="AT138" s="125">
        <f t="shared" si="18"/>
        <v>-19038.144399999997</v>
      </c>
      <c r="AU138" s="125">
        <f>AH138*Valores!$C$74</f>
        <v>-4672.99908</v>
      </c>
      <c r="AV138" s="125">
        <f>AH138*Valores!$C$75</f>
        <v>-519.2221199999999</v>
      </c>
      <c r="AW138" s="125">
        <f t="shared" si="22"/>
        <v>148843.6744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45059.21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11126.99</v>
      </c>
      <c r="N139" s="125">
        <f t="shared" si="19"/>
        <v>0</v>
      </c>
      <c r="O139" s="125">
        <f>Valores!$C$16</f>
        <v>30467.13</v>
      </c>
      <c r="P139" s="125">
        <f>Valores!$D$5</f>
        <v>18023.69</v>
      </c>
      <c r="Q139" s="125">
        <v>0</v>
      </c>
      <c r="R139" s="125">
        <f>IF($F$4="NO",Valores!$C$44,Valores!$C$44/2)</f>
        <v>12520.87</v>
      </c>
      <c r="S139" s="125">
        <f>Valores!$C$20</f>
        <v>16599.84</v>
      </c>
      <c r="T139" s="125">
        <f aca="true" t="shared" si="25" ref="T139:T202">ROUND(S139*(1+$H$2),2)</f>
        <v>16599.84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26214.39</v>
      </c>
      <c r="AA139" s="125">
        <f>Valores!$C$25</f>
        <v>737.18</v>
      </c>
      <c r="AB139" s="214">
        <v>0</v>
      </c>
      <c r="AC139" s="125">
        <f t="shared" si="20"/>
        <v>0</v>
      </c>
      <c r="AD139" s="125">
        <f>Valores!$C$26</f>
        <v>737.18</v>
      </c>
      <c r="AE139" s="192">
        <v>0</v>
      </c>
      <c r="AF139" s="125">
        <f>ROUND(AE139*Valores!$C$2,2)</f>
        <v>0</v>
      </c>
      <c r="AG139" s="125">
        <f>ROUND(IF($F$4="NO",Valores!$C$63,Valores!$C$63/2),2)</f>
        <v>8427.87</v>
      </c>
      <c r="AH139" s="125">
        <f t="shared" si="23"/>
        <v>169914.34999999998</v>
      </c>
      <c r="AI139" s="125">
        <f>Valores!$C$31</f>
        <v>0</v>
      </c>
      <c r="AJ139" s="125">
        <f>Valores!$C$87</f>
        <v>0</v>
      </c>
      <c r="AK139" s="125">
        <f>Valores!C$38*B139</f>
        <v>0</v>
      </c>
      <c r="AL139" s="125">
        <f>(IF($F$3="NO",0,Valores!$C$58))</f>
        <v>0</v>
      </c>
      <c r="AM139" s="125">
        <f t="shared" si="21"/>
        <v>0</v>
      </c>
      <c r="AN139" s="125">
        <f>AH139*Valores!$C$71</f>
        <v>-18690.578499999996</v>
      </c>
      <c r="AO139" s="125">
        <f>AH139*-Valores!$C$72</f>
        <v>0</v>
      </c>
      <c r="AP139" s="125">
        <f>AH139*Valores!$C$73</f>
        <v>-7646.145749999999</v>
      </c>
      <c r="AQ139" s="125">
        <f>Valores!$C$100</f>
        <v>-554.86</v>
      </c>
      <c r="AR139" s="125">
        <f>IF($F$5=0,Valores!$C$101,(Valores!$C$101+$F$5*(Valores!$C$101)))</f>
        <v>-550</v>
      </c>
      <c r="AS139" s="125">
        <f t="shared" si="24"/>
        <v>142472.76575</v>
      </c>
      <c r="AT139" s="125">
        <f t="shared" si="18"/>
        <v>-18690.578499999996</v>
      </c>
      <c r="AU139" s="125">
        <f>AH139*Valores!$C$74</f>
        <v>-4587.687449999999</v>
      </c>
      <c r="AV139" s="125">
        <f>AH139*Valores!$C$75</f>
        <v>-509.7430499999999</v>
      </c>
      <c r="AW139" s="125">
        <f t="shared" si="22"/>
        <v>146126.341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69915.82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14881.2</v>
      </c>
      <c r="N140" s="125">
        <f t="shared" si="19"/>
        <v>0</v>
      </c>
      <c r="O140" s="125">
        <f>Valores!$C$8</f>
        <v>44191.25</v>
      </c>
      <c r="P140" s="125">
        <f>Valores!$D$5</f>
        <v>18023.69</v>
      </c>
      <c r="Q140" s="125">
        <f>Valores!$C$22</f>
        <v>16079.99</v>
      </c>
      <c r="R140" s="125">
        <f>IF($F$4="NO",Valores!$C$44,Valores!$C$44/2)</f>
        <v>12520.87</v>
      </c>
      <c r="S140" s="125">
        <f>Valores!$C$19</f>
        <v>16771.31</v>
      </c>
      <c r="T140" s="125">
        <f t="shared" si="25"/>
        <v>16771.31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26214.39</v>
      </c>
      <c r="AA140" s="125">
        <f>Valores!$C$25</f>
        <v>737.18</v>
      </c>
      <c r="AB140" s="214">
        <v>0</v>
      </c>
      <c r="AC140" s="125">
        <f t="shared" si="20"/>
        <v>0</v>
      </c>
      <c r="AD140" s="125">
        <f>Valores!$C$26</f>
        <v>737.18</v>
      </c>
      <c r="AE140" s="192">
        <v>94</v>
      </c>
      <c r="AF140" s="125">
        <f>ROUND(AE140*Valores!$C$2,2)</f>
        <v>3314.21</v>
      </c>
      <c r="AG140" s="125">
        <f>ROUND(IF($F$4="NO",Valores!$C$63,Valores!$C$63/2),2)</f>
        <v>8427.87</v>
      </c>
      <c r="AH140" s="125">
        <f t="shared" si="23"/>
        <v>231814.95999999993</v>
      </c>
      <c r="AI140" s="125">
        <f>Valores!$C$31</f>
        <v>0</v>
      </c>
      <c r="AJ140" s="125">
        <f>Valores!$C$87</f>
        <v>0</v>
      </c>
      <c r="AK140" s="125">
        <f>Valores!C$38*B140</f>
        <v>0</v>
      </c>
      <c r="AL140" s="125">
        <f>IF($F$3="NO",0,Valores!$C$56)</f>
        <v>0</v>
      </c>
      <c r="AM140" s="125">
        <f t="shared" si="21"/>
        <v>0</v>
      </c>
      <c r="AN140" s="125">
        <f>AH140*Valores!$C$71</f>
        <v>-25499.645599999993</v>
      </c>
      <c r="AO140" s="125">
        <f>AH140*-Valores!$C$72</f>
        <v>0</v>
      </c>
      <c r="AP140" s="125">
        <f>AH140*Valores!$C$73</f>
        <v>-10431.673199999997</v>
      </c>
      <c r="AQ140" s="125">
        <f>Valores!$C$100</f>
        <v>-554.86</v>
      </c>
      <c r="AR140" s="125">
        <f>IF($F$5=0,Valores!$C$101,(Valores!$C$101+$F$5*(Valores!$C$101)))</f>
        <v>-550</v>
      </c>
      <c r="AS140" s="125">
        <f t="shared" si="24"/>
        <v>194778.78119999994</v>
      </c>
      <c r="AT140" s="125">
        <f t="shared" si="18"/>
        <v>-25499.645599999993</v>
      </c>
      <c r="AU140" s="125">
        <f>AH140*Valores!$C$74</f>
        <v>-6259.003919999998</v>
      </c>
      <c r="AV140" s="125">
        <f>AH140*Valores!$C$75</f>
        <v>-695.4448799999998</v>
      </c>
      <c r="AW140" s="125">
        <f t="shared" si="22"/>
        <v>199360.86559999993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48584.97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11655.85</v>
      </c>
      <c r="N141" s="125">
        <f t="shared" si="19"/>
        <v>0</v>
      </c>
      <c r="O141" s="125">
        <f>Valores!$C$16</f>
        <v>30467.13</v>
      </c>
      <c r="P141" s="125">
        <f>Valores!$D$5</f>
        <v>18023.69</v>
      </c>
      <c r="Q141" s="125">
        <f>Valores!$C$22</f>
        <v>16079.99</v>
      </c>
      <c r="R141" s="125">
        <f>IF($F$4="NO",Valores!$C$44,Valores!$C$44/2)</f>
        <v>12520.87</v>
      </c>
      <c r="S141" s="125">
        <f>Valores!$C$20</f>
        <v>16599.84</v>
      </c>
      <c r="T141" s="125">
        <f t="shared" si="25"/>
        <v>16599.84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26214.39</v>
      </c>
      <c r="AA141" s="125">
        <f>Valores!$C$25</f>
        <v>737.18</v>
      </c>
      <c r="AB141" s="214">
        <v>0</v>
      </c>
      <c r="AC141" s="125">
        <f t="shared" si="20"/>
        <v>0</v>
      </c>
      <c r="AD141" s="125">
        <f>Valores!$C$26</f>
        <v>737.18</v>
      </c>
      <c r="AE141" s="192">
        <v>0</v>
      </c>
      <c r="AF141" s="125">
        <f>ROUND(AE141*Valores!$C$2,2)</f>
        <v>0</v>
      </c>
      <c r="AG141" s="125">
        <f>ROUND(IF($F$4="NO",Valores!$C$63,Valores!$C$63/2),2)</f>
        <v>8427.87</v>
      </c>
      <c r="AH141" s="125">
        <f t="shared" si="23"/>
        <v>190048.95999999996</v>
      </c>
      <c r="AI141" s="125">
        <f>Valores!$C$31</f>
        <v>0</v>
      </c>
      <c r="AJ141" s="125">
        <f>Valores!$C$87</f>
        <v>0</v>
      </c>
      <c r="AK141" s="125">
        <f>Valores!C$38*B141</f>
        <v>0</v>
      </c>
      <c r="AL141" s="125">
        <f>IF($F$3="NO",0,Valores!$C$56)</f>
        <v>0</v>
      </c>
      <c r="AM141" s="125">
        <f t="shared" si="21"/>
        <v>0</v>
      </c>
      <c r="AN141" s="125">
        <f>AH141*Valores!$C$71</f>
        <v>-20905.385599999998</v>
      </c>
      <c r="AO141" s="125">
        <f>AH141*-Valores!$C$72</f>
        <v>0</v>
      </c>
      <c r="AP141" s="125">
        <f>AH141*Valores!$C$73</f>
        <v>-8552.203199999998</v>
      </c>
      <c r="AQ141" s="125">
        <f>Valores!$C$100</f>
        <v>-554.86</v>
      </c>
      <c r="AR141" s="125">
        <f>IF($F$5=0,Valores!$C$101,(Valores!$C$101+$F$5*(Valores!$C$101)))</f>
        <v>-550</v>
      </c>
      <c r="AS141" s="125">
        <f t="shared" si="24"/>
        <v>159486.51119999995</v>
      </c>
      <c r="AT141" s="125">
        <f t="shared" si="18"/>
        <v>-20905.385599999998</v>
      </c>
      <c r="AU141" s="125">
        <f>AH141*Valores!$C$74</f>
        <v>-5131.3219199999985</v>
      </c>
      <c r="AV141" s="125">
        <f>AH141*Valores!$C$75</f>
        <v>-570.1468799999999</v>
      </c>
      <c r="AW141" s="125">
        <f t="shared" si="22"/>
        <v>163442.10559999995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45059.21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11152.71</v>
      </c>
      <c r="N142" s="125">
        <f t="shared" si="19"/>
        <v>0</v>
      </c>
      <c r="O142" s="125">
        <f>Valores!$C$16</f>
        <v>30467.13</v>
      </c>
      <c r="P142" s="125">
        <f>Valores!$D$5</f>
        <v>18023.69</v>
      </c>
      <c r="Q142" s="125">
        <f>Valores!$C$22</f>
        <v>16079.99</v>
      </c>
      <c r="R142" s="125">
        <f>IF($F$4="NO",Valores!$C$44,Valores!$C$44/2)</f>
        <v>12520.87</v>
      </c>
      <c r="S142" s="125">
        <f>Valores!$C$19</f>
        <v>16771.31</v>
      </c>
      <c r="T142" s="125">
        <f t="shared" si="25"/>
        <v>16771.31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26214.39</v>
      </c>
      <c r="AA142" s="125">
        <f>Valores!$C$25</f>
        <v>737.18</v>
      </c>
      <c r="AB142" s="214">
        <v>0</v>
      </c>
      <c r="AC142" s="125">
        <f t="shared" si="20"/>
        <v>0</v>
      </c>
      <c r="AD142" s="125">
        <f>Valores!$C$26</f>
        <v>737.18</v>
      </c>
      <c r="AE142" s="192">
        <v>0</v>
      </c>
      <c r="AF142" s="125">
        <f>ROUND(AE142*Valores!$C$2,2)</f>
        <v>0</v>
      </c>
      <c r="AG142" s="125">
        <f>ROUND(IF($F$4="NO",Valores!$C$63,Valores!$C$63/2),2)</f>
        <v>8427.87</v>
      </c>
      <c r="AH142" s="125">
        <f t="shared" si="23"/>
        <v>186191.52999999997</v>
      </c>
      <c r="AI142" s="125">
        <f>Valores!$C$31</f>
        <v>0</v>
      </c>
      <c r="AJ142" s="125">
        <f>Valores!$C$87</f>
        <v>0</v>
      </c>
      <c r="AK142" s="125">
        <f>Valores!C$38*B142</f>
        <v>0</v>
      </c>
      <c r="AL142" s="125">
        <f>IF($F$3="NO",0,Valores!$C$56)</f>
        <v>0</v>
      </c>
      <c r="AM142" s="125">
        <f t="shared" si="21"/>
        <v>0</v>
      </c>
      <c r="AN142" s="125">
        <f>AH142*Valores!$C$71</f>
        <v>-20481.068299999995</v>
      </c>
      <c r="AO142" s="125">
        <f>AH142*-Valores!$C$72</f>
        <v>0</v>
      </c>
      <c r="AP142" s="125">
        <f>AH142*Valores!$C$73</f>
        <v>-8378.618849999999</v>
      </c>
      <c r="AQ142" s="125">
        <f>Valores!$C$100</f>
        <v>-554.86</v>
      </c>
      <c r="AR142" s="125">
        <f>IF($F$5=0,Valores!$C$101,(Valores!$C$101+$F$5*(Valores!$C$101)))</f>
        <v>-550</v>
      </c>
      <c r="AS142" s="125">
        <f t="shared" si="24"/>
        <v>156226.98284999997</v>
      </c>
      <c r="AT142" s="125">
        <f t="shared" si="18"/>
        <v>-20481.068299999995</v>
      </c>
      <c r="AU142" s="125">
        <f>AH142*Valores!$C$74</f>
        <v>-5027.171309999999</v>
      </c>
      <c r="AV142" s="125">
        <f>AH142*Valores!$C$75</f>
        <v>-558.57459</v>
      </c>
      <c r="AW142" s="125">
        <f t="shared" si="22"/>
        <v>160124.71579999998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45059.21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11152.71</v>
      </c>
      <c r="N143" s="125">
        <f t="shared" si="19"/>
        <v>0</v>
      </c>
      <c r="O143" s="125">
        <f>Valores!$C$16</f>
        <v>30467.13</v>
      </c>
      <c r="P143" s="125">
        <f>Valores!$D$5</f>
        <v>18023.69</v>
      </c>
      <c r="Q143" s="125">
        <f>Valores!$C$22</f>
        <v>16079.99</v>
      </c>
      <c r="R143" s="125">
        <f>IF($F$4="NO",Valores!$C$44,Valores!$C$44/2)</f>
        <v>12520.87</v>
      </c>
      <c r="S143" s="125">
        <f>Valores!$C$19</f>
        <v>16771.31</v>
      </c>
      <c r="T143" s="125">
        <f t="shared" si="25"/>
        <v>16771.31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26214.39</v>
      </c>
      <c r="AA143" s="125">
        <f>Valores!$C$25</f>
        <v>737.18</v>
      </c>
      <c r="AB143" s="214">
        <v>0</v>
      </c>
      <c r="AC143" s="125">
        <f t="shared" si="20"/>
        <v>0</v>
      </c>
      <c r="AD143" s="125">
        <f>Valores!$C$26</f>
        <v>737.18</v>
      </c>
      <c r="AE143" s="192">
        <v>0</v>
      </c>
      <c r="AF143" s="125">
        <f>ROUND(AE143*Valores!$C$2,2)</f>
        <v>0</v>
      </c>
      <c r="AG143" s="125">
        <f>ROUND(IF($F$4="NO",Valores!$C$63,Valores!$C$63/2),2)</f>
        <v>8427.87</v>
      </c>
      <c r="AH143" s="125">
        <f t="shared" si="23"/>
        <v>186191.52999999997</v>
      </c>
      <c r="AI143" s="125">
        <f>Valores!$C$31</f>
        <v>0</v>
      </c>
      <c r="AJ143" s="125">
        <f>Valores!$C$87</f>
        <v>0</v>
      </c>
      <c r="AK143" s="125">
        <f>Valores!C$38*B143</f>
        <v>0</v>
      </c>
      <c r="AL143" s="125">
        <f>IF($F$3="NO",0,Valores!$C$56)</f>
        <v>0</v>
      </c>
      <c r="AM143" s="125">
        <f t="shared" si="21"/>
        <v>0</v>
      </c>
      <c r="AN143" s="125">
        <f>AH143*Valores!$C$71</f>
        <v>-20481.068299999995</v>
      </c>
      <c r="AO143" s="125">
        <f>AH143*-Valores!$C$72</f>
        <v>0</v>
      </c>
      <c r="AP143" s="125">
        <f>AH143*Valores!$C$73</f>
        <v>-8378.618849999999</v>
      </c>
      <c r="AQ143" s="125">
        <f>Valores!$C$100</f>
        <v>-554.86</v>
      </c>
      <c r="AR143" s="125">
        <f>IF($F$5=0,Valores!$C$101,(Valores!$C$101+$F$5*(Valores!$C$101)))</f>
        <v>-550</v>
      </c>
      <c r="AS143" s="125">
        <f t="shared" si="24"/>
        <v>156226.98284999997</v>
      </c>
      <c r="AT143" s="125">
        <f t="shared" si="18"/>
        <v>-20481.068299999995</v>
      </c>
      <c r="AU143" s="125">
        <f>AH143*Valores!$C$74</f>
        <v>-5027.171309999999</v>
      </c>
      <c r="AV143" s="125">
        <f>AH143*Valores!$C$75</f>
        <v>-558.57459</v>
      </c>
      <c r="AW143" s="125">
        <f t="shared" si="22"/>
        <v>160124.71579999998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45059.21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11152.71</v>
      </c>
      <c r="N144" s="125">
        <f t="shared" si="19"/>
        <v>0</v>
      </c>
      <c r="O144" s="125">
        <f>Valores!$C$16</f>
        <v>30467.13</v>
      </c>
      <c r="P144" s="125">
        <f>Valores!$D$5</f>
        <v>18023.69</v>
      </c>
      <c r="Q144" s="125">
        <f>Valores!$C$22</f>
        <v>16079.99</v>
      </c>
      <c r="R144" s="125">
        <f>IF($F$4="NO",Valores!$C$44,Valores!$C$44/2)</f>
        <v>12520.87</v>
      </c>
      <c r="S144" s="125">
        <f>Valores!$C$19</f>
        <v>16771.31</v>
      </c>
      <c r="T144" s="125">
        <f t="shared" si="25"/>
        <v>16771.31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26214.39</v>
      </c>
      <c r="AA144" s="125">
        <f>Valores!$C$25</f>
        <v>737.18</v>
      </c>
      <c r="AB144" s="214">
        <v>0</v>
      </c>
      <c r="AC144" s="125">
        <f t="shared" si="20"/>
        <v>0</v>
      </c>
      <c r="AD144" s="125">
        <f>Valores!$C$26</f>
        <v>737.18</v>
      </c>
      <c r="AE144" s="192">
        <v>0</v>
      </c>
      <c r="AF144" s="125">
        <f>ROUND(AE144*Valores!$C$2,2)</f>
        <v>0</v>
      </c>
      <c r="AG144" s="125">
        <f>ROUND(IF($F$4="NO",Valores!$C$63,Valores!$C$63/2),2)</f>
        <v>8427.87</v>
      </c>
      <c r="AH144" s="125">
        <f t="shared" si="23"/>
        <v>186191.52999999997</v>
      </c>
      <c r="AI144" s="125">
        <f>Valores!$C$31</f>
        <v>0</v>
      </c>
      <c r="AJ144" s="125">
        <f>Valores!$C$87</f>
        <v>0</v>
      </c>
      <c r="AK144" s="125">
        <f>Valores!C$38*B144</f>
        <v>0</v>
      </c>
      <c r="AL144" s="125">
        <f>IF($F$3="NO",0,Valores!$C$56)</f>
        <v>0</v>
      </c>
      <c r="AM144" s="125">
        <f t="shared" si="21"/>
        <v>0</v>
      </c>
      <c r="AN144" s="125">
        <f>AH144*Valores!$C$71</f>
        <v>-20481.068299999995</v>
      </c>
      <c r="AO144" s="125">
        <f>AH144*-Valores!$C$72</f>
        <v>0</v>
      </c>
      <c r="AP144" s="125">
        <f>AH144*Valores!$C$73</f>
        <v>-8378.618849999999</v>
      </c>
      <c r="AQ144" s="125">
        <f>Valores!$C$100</f>
        <v>-554.86</v>
      </c>
      <c r="AR144" s="125">
        <f>IF($F$5=0,Valores!$C$101,(Valores!$C$101+$F$5*(Valores!$C$101)))</f>
        <v>-550</v>
      </c>
      <c r="AS144" s="125">
        <f t="shared" si="24"/>
        <v>156226.98284999997</v>
      </c>
      <c r="AT144" s="125">
        <f t="shared" si="18"/>
        <v>-20481.068299999995</v>
      </c>
      <c r="AU144" s="125">
        <f>AH144*Valores!$C$74</f>
        <v>-5027.171309999999</v>
      </c>
      <c r="AV144" s="125">
        <f>AH144*Valores!$C$75</f>
        <v>-558.57459</v>
      </c>
      <c r="AW144" s="125">
        <f t="shared" si="22"/>
        <v>160124.71579999998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45059.21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11152.71</v>
      </c>
      <c r="N145" s="125">
        <f t="shared" si="19"/>
        <v>0</v>
      </c>
      <c r="O145" s="125">
        <f>Valores!$C$16</f>
        <v>30467.13</v>
      </c>
      <c r="P145" s="125">
        <f>Valores!$D$5</f>
        <v>18023.69</v>
      </c>
      <c r="Q145" s="125">
        <f>Valores!$C$22</f>
        <v>16079.99</v>
      </c>
      <c r="R145" s="125">
        <f>IF($F$4="NO",Valores!$C$44,Valores!$C$44/2)</f>
        <v>12520.87</v>
      </c>
      <c r="S145" s="125">
        <f>Valores!$C$19</f>
        <v>16771.31</v>
      </c>
      <c r="T145" s="125">
        <f t="shared" si="25"/>
        <v>16771.31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26214.39</v>
      </c>
      <c r="AA145" s="125">
        <f>Valores!$C$25</f>
        <v>737.18</v>
      </c>
      <c r="AB145" s="214">
        <v>0</v>
      </c>
      <c r="AC145" s="125">
        <f t="shared" si="20"/>
        <v>0</v>
      </c>
      <c r="AD145" s="125">
        <f>Valores!$C$26</f>
        <v>737.18</v>
      </c>
      <c r="AE145" s="192">
        <v>94</v>
      </c>
      <c r="AF145" s="125">
        <f>ROUND(AE145*Valores!$C$2,2)</f>
        <v>3314.21</v>
      </c>
      <c r="AG145" s="125">
        <f>ROUND(IF($F$4="NO",Valores!$C$63,Valores!$C$63/2),2)</f>
        <v>8427.87</v>
      </c>
      <c r="AH145" s="125">
        <f t="shared" si="23"/>
        <v>189505.73999999996</v>
      </c>
      <c r="AI145" s="125">
        <f>Valores!$C$31</f>
        <v>0</v>
      </c>
      <c r="AJ145" s="125">
        <f>Valores!$C$87</f>
        <v>0</v>
      </c>
      <c r="AK145" s="125">
        <f>Valores!C$38*B145</f>
        <v>0</v>
      </c>
      <c r="AL145" s="125">
        <f>IF($F$3="NO",0,Valores!$C$56)</f>
        <v>0</v>
      </c>
      <c r="AM145" s="125">
        <f t="shared" si="21"/>
        <v>0</v>
      </c>
      <c r="AN145" s="125">
        <f>AH145*Valores!$C$71</f>
        <v>-20845.631399999995</v>
      </c>
      <c r="AO145" s="125">
        <f>AH145*-Valores!$C$72</f>
        <v>0</v>
      </c>
      <c r="AP145" s="125">
        <f>AH145*Valores!$C$73</f>
        <v>-8527.758299999998</v>
      </c>
      <c r="AQ145" s="125">
        <f>Valores!$C$100</f>
        <v>-554.86</v>
      </c>
      <c r="AR145" s="125">
        <f>IF($F$5=0,Valores!$C$101,(Valores!$C$101+$F$5*(Valores!$C$101)))</f>
        <v>-550</v>
      </c>
      <c r="AS145" s="125">
        <f t="shared" si="24"/>
        <v>159027.49029999998</v>
      </c>
      <c r="AT145" s="125">
        <f t="shared" si="18"/>
        <v>-20845.631399999995</v>
      </c>
      <c r="AU145" s="125">
        <f>AH145*Valores!$C$74</f>
        <v>-5116.654979999999</v>
      </c>
      <c r="AV145" s="125">
        <f>AH145*Valores!$C$75</f>
        <v>-568.51722</v>
      </c>
      <c r="AW145" s="125">
        <f t="shared" si="22"/>
        <v>162974.93639999998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45059.21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11152.71</v>
      </c>
      <c r="N146" s="125">
        <f t="shared" si="19"/>
        <v>0</v>
      </c>
      <c r="O146" s="125">
        <f>Valores!$C$16</f>
        <v>30467.13</v>
      </c>
      <c r="P146" s="125">
        <f>Valores!$D$5</f>
        <v>18023.69</v>
      </c>
      <c r="Q146" s="125">
        <f>Valores!$C$22</f>
        <v>16079.99</v>
      </c>
      <c r="R146" s="125">
        <f>IF($F$4="NO",Valores!$C$44,Valores!$C$44/2)</f>
        <v>12520.87</v>
      </c>
      <c r="S146" s="125">
        <f>Valores!$C$19</f>
        <v>16771.31</v>
      </c>
      <c r="T146" s="125">
        <f t="shared" si="25"/>
        <v>16771.31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26214.39</v>
      </c>
      <c r="AA146" s="125">
        <f>Valores!$C$25</f>
        <v>737.18</v>
      </c>
      <c r="AB146" s="214">
        <v>0</v>
      </c>
      <c r="AC146" s="125">
        <f t="shared" si="20"/>
        <v>0</v>
      </c>
      <c r="AD146" s="125">
        <f>Valores!$C$26</f>
        <v>737.18</v>
      </c>
      <c r="AE146" s="192">
        <v>0</v>
      </c>
      <c r="AF146" s="125">
        <f>ROUND(AE146*Valores!$C$2,2)</f>
        <v>0</v>
      </c>
      <c r="AG146" s="125">
        <f>ROUND(IF($F$4="NO",Valores!$C$63,Valores!$C$63/2),2)</f>
        <v>8427.87</v>
      </c>
      <c r="AH146" s="125">
        <f t="shared" si="23"/>
        <v>186191.52999999997</v>
      </c>
      <c r="AI146" s="125">
        <f>Valores!$C$31</f>
        <v>0</v>
      </c>
      <c r="AJ146" s="125">
        <f>Valores!$C$87</f>
        <v>0</v>
      </c>
      <c r="AK146" s="125">
        <f>Valores!C$38*B146</f>
        <v>0</v>
      </c>
      <c r="AL146" s="125">
        <f>IF($F$3="NO",0,Valores!$C$56)</f>
        <v>0</v>
      </c>
      <c r="AM146" s="125">
        <f t="shared" si="21"/>
        <v>0</v>
      </c>
      <c r="AN146" s="125">
        <f>AH146*Valores!$C$71</f>
        <v>-20481.068299999995</v>
      </c>
      <c r="AO146" s="125">
        <f>AH146*-Valores!$C$72</f>
        <v>0</v>
      </c>
      <c r="AP146" s="125">
        <f>AH146*Valores!$C$73</f>
        <v>-8378.618849999999</v>
      </c>
      <c r="AQ146" s="125">
        <f>Valores!$C$100</f>
        <v>-554.86</v>
      </c>
      <c r="AR146" s="125">
        <f>IF($F$5=0,Valores!$C$101,(Valores!$C$101+$F$5*(Valores!$C$101)))</f>
        <v>-550</v>
      </c>
      <c r="AS146" s="125">
        <f t="shared" si="24"/>
        <v>156226.98284999997</v>
      </c>
      <c r="AT146" s="125">
        <f t="shared" si="18"/>
        <v>-20481.068299999995</v>
      </c>
      <c r="AU146" s="125">
        <f>AH146*Valores!$C$74</f>
        <v>-5027.171309999999</v>
      </c>
      <c r="AV146" s="125">
        <f>AH146*Valores!$C$75</f>
        <v>-558.57459</v>
      </c>
      <c r="AW146" s="125">
        <f t="shared" si="22"/>
        <v>160124.71579999998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45059.21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11126.99</v>
      </c>
      <c r="N147" s="125">
        <f t="shared" si="19"/>
        <v>0</v>
      </c>
      <c r="O147" s="125">
        <f>Valores!$C$16</f>
        <v>30467.13</v>
      </c>
      <c r="P147" s="125">
        <f>Valores!$D$5</f>
        <v>18023.69</v>
      </c>
      <c r="Q147" s="125">
        <v>0</v>
      </c>
      <c r="R147" s="125">
        <f>IF($F$4="NO",Valores!$C$44,Valores!$C$44/2)</f>
        <v>12520.87</v>
      </c>
      <c r="S147" s="125">
        <f>Valores!$C$20</f>
        <v>16599.84</v>
      </c>
      <c r="T147" s="125">
        <f t="shared" si="25"/>
        <v>16599.84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26214.39</v>
      </c>
      <c r="AA147" s="125">
        <f>Valores!$C$25</f>
        <v>737.18</v>
      </c>
      <c r="AB147" s="214">
        <v>0</v>
      </c>
      <c r="AC147" s="125">
        <f t="shared" si="20"/>
        <v>0</v>
      </c>
      <c r="AD147" s="125">
        <f>Valores!$C$26</f>
        <v>737.18</v>
      </c>
      <c r="AE147" s="192">
        <v>0</v>
      </c>
      <c r="AF147" s="125">
        <f>ROUND(AE147*Valores!$C$2,2)</f>
        <v>0</v>
      </c>
      <c r="AG147" s="125">
        <f>ROUND(IF($F$4="NO",Valores!$C$63,Valores!$C$63/2),2)</f>
        <v>8427.87</v>
      </c>
      <c r="AH147" s="125">
        <f t="shared" si="23"/>
        <v>169914.34999999998</v>
      </c>
      <c r="AI147" s="125">
        <f>Valores!$C$31</f>
        <v>0</v>
      </c>
      <c r="AJ147" s="125">
        <f>Valores!$C$87</f>
        <v>0</v>
      </c>
      <c r="AK147" s="125">
        <f>Valores!C$38*B147</f>
        <v>0</v>
      </c>
      <c r="AL147" s="125">
        <f>IF($F$3="NO",0,Valores!$C$56)</f>
        <v>0</v>
      </c>
      <c r="AM147" s="125">
        <f t="shared" si="21"/>
        <v>0</v>
      </c>
      <c r="AN147" s="125">
        <f>AH147*Valores!$C$71</f>
        <v>-18690.578499999996</v>
      </c>
      <c r="AO147" s="125">
        <f>AH147*-Valores!$C$72</f>
        <v>0</v>
      </c>
      <c r="AP147" s="125">
        <f>AH147*Valores!$C$73</f>
        <v>-7646.145749999999</v>
      </c>
      <c r="AQ147" s="125">
        <f>Valores!$C$100</f>
        <v>-554.86</v>
      </c>
      <c r="AR147" s="125">
        <f>IF($F$5=0,Valores!$C$101,(Valores!$C$101+$F$5*(Valores!$C$101)))</f>
        <v>-550</v>
      </c>
      <c r="AS147" s="125">
        <f t="shared" si="24"/>
        <v>142472.76575</v>
      </c>
      <c r="AT147" s="125">
        <f t="shared" si="18"/>
        <v>-18690.578499999996</v>
      </c>
      <c r="AU147" s="125">
        <f>AH147*Valores!$C$74</f>
        <v>-4587.687449999999</v>
      </c>
      <c r="AV147" s="125">
        <f>AH147*Valores!$C$75</f>
        <v>-509.7430499999999</v>
      </c>
      <c r="AW147" s="125">
        <f t="shared" si="22"/>
        <v>146126.341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45059.21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11126.99</v>
      </c>
      <c r="N148" s="125">
        <f t="shared" si="19"/>
        <v>0</v>
      </c>
      <c r="O148" s="125">
        <f>Valores!$C$16</f>
        <v>30467.13</v>
      </c>
      <c r="P148" s="125">
        <f>Valores!$D$5</f>
        <v>18023.69</v>
      </c>
      <c r="Q148" s="125">
        <v>0</v>
      </c>
      <c r="R148" s="125">
        <f>IF($F$4="NO",Valores!$C$44,Valores!$C$44/2)</f>
        <v>12520.87</v>
      </c>
      <c r="S148" s="125">
        <f>Valores!$C$20</f>
        <v>16599.84</v>
      </c>
      <c r="T148" s="125">
        <f t="shared" si="25"/>
        <v>16599.84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26214.39</v>
      </c>
      <c r="AA148" s="125">
        <f>Valores!$C$25</f>
        <v>737.18</v>
      </c>
      <c r="AB148" s="214">
        <v>0</v>
      </c>
      <c r="AC148" s="125">
        <f t="shared" si="20"/>
        <v>0</v>
      </c>
      <c r="AD148" s="125">
        <f>Valores!$C$26</f>
        <v>737.18</v>
      </c>
      <c r="AE148" s="192">
        <v>0</v>
      </c>
      <c r="AF148" s="125">
        <f>ROUND(AE148*Valores!$C$2,2)</f>
        <v>0</v>
      </c>
      <c r="AG148" s="125">
        <f>ROUND(IF($F$4="NO",Valores!$C$63,Valores!$C$63/2),2)</f>
        <v>8427.87</v>
      </c>
      <c r="AH148" s="125">
        <f t="shared" si="23"/>
        <v>169914.34999999998</v>
      </c>
      <c r="AI148" s="125">
        <f>Valores!$C$31</f>
        <v>0</v>
      </c>
      <c r="AJ148" s="125">
        <f>Valores!$C$87</f>
        <v>0</v>
      </c>
      <c r="AK148" s="125">
        <f>Valores!C$38*B148</f>
        <v>0</v>
      </c>
      <c r="AL148" s="125">
        <f>IF($F$3="NO",0,Valores!$C$56)</f>
        <v>0</v>
      </c>
      <c r="AM148" s="125">
        <f t="shared" si="21"/>
        <v>0</v>
      </c>
      <c r="AN148" s="125">
        <f>AH148*Valores!$C$71</f>
        <v>-18690.578499999996</v>
      </c>
      <c r="AO148" s="125">
        <f>AH148*-Valores!$C$72</f>
        <v>0</v>
      </c>
      <c r="AP148" s="125">
        <f>AH148*Valores!$C$73</f>
        <v>-7646.145749999999</v>
      </c>
      <c r="AQ148" s="125">
        <f>Valores!$C$100</f>
        <v>-554.86</v>
      </c>
      <c r="AR148" s="125">
        <f>IF($F$5=0,Valores!$C$101,(Valores!$C$101+$F$5*(Valores!$C$101)))</f>
        <v>-550</v>
      </c>
      <c r="AS148" s="125">
        <f t="shared" si="24"/>
        <v>142472.76575</v>
      </c>
      <c r="AT148" s="125">
        <f t="shared" si="18"/>
        <v>-18690.578499999996</v>
      </c>
      <c r="AU148" s="125">
        <f>AH148*Valores!$C$74</f>
        <v>-4587.687449999999</v>
      </c>
      <c r="AV148" s="125">
        <f>AH148*Valores!$C$75</f>
        <v>-509.7430499999999</v>
      </c>
      <c r="AW148" s="125">
        <f t="shared" si="22"/>
        <v>146126.341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37373.06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9999.79</v>
      </c>
      <c r="N149" s="125">
        <f t="shared" si="19"/>
        <v>0</v>
      </c>
      <c r="O149" s="125">
        <f>Valores!$C$16</f>
        <v>30467.13</v>
      </c>
      <c r="P149" s="125">
        <f>Valores!$D$5</f>
        <v>18023.69</v>
      </c>
      <c r="Q149" s="125">
        <f>Valores!$C$22</f>
        <v>16079.99</v>
      </c>
      <c r="R149" s="125">
        <f>IF($F$4="NO",Valores!$C$44,Valores!$C$44/2)</f>
        <v>12520.87</v>
      </c>
      <c r="S149" s="125">
        <f>Valores!$C$19</f>
        <v>16771.31</v>
      </c>
      <c r="T149" s="125">
        <f t="shared" si="25"/>
        <v>16771.31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26214.39</v>
      </c>
      <c r="AA149" s="125">
        <f>Valores!$C$25</f>
        <v>737.18</v>
      </c>
      <c r="AB149" s="214">
        <v>0</v>
      </c>
      <c r="AC149" s="125">
        <f t="shared" si="20"/>
        <v>0</v>
      </c>
      <c r="AD149" s="125">
        <f>Valores!$C$26</f>
        <v>737.18</v>
      </c>
      <c r="AE149" s="192">
        <v>0</v>
      </c>
      <c r="AF149" s="125">
        <f>ROUND(AE149*Valores!$C$2,2)</f>
        <v>0</v>
      </c>
      <c r="AG149" s="125">
        <f>ROUND(IF($F$4="NO",Valores!$C$63,Valores!$C$63/2),2)</f>
        <v>8427.87</v>
      </c>
      <c r="AH149" s="125">
        <f t="shared" si="23"/>
        <v>177352.45999999996</v>
      </c>
      <c r="AI149" s="125">
        <f>Valores!$C$31</f>
        <v>0</v>
      </c>
      <c r="AJ149" s="125">
        <f>Valores!$C$87</f>
        <v>0</v>
      </c>
      <c r="AK149" s="125">
        <f>Valores!C$38*B149</f>
        <v>0</v>
      </c>
      <c r="AL149" s="125">
        <f>IF($F$3="NO",0,Valores!$C$56)</f>
        <v>0</v>
      </c>
      <c r="AM149" s="125">
        <f t="shared" si="21"/>
        <v>0</v>
      </c>
      <c r="AN149" s="125">
        <f>AH149*Valores!$C$71</f>
        <v>-19508.770599999996</v>
      </c>
      <c r="AO149" s="125">
        <f>AH149*-Valores!$C$72</f>
        <v>0</v>
      </c>
      <c r="AP149" s="125">
        <f>AH149*Valores!$C$73</f>
        <v>-7980.860699999998</v>
      </c>
      <c r="AQ149" s="125">
        <f>Valores!$C$100</f>
        <v>-554.86</v>
      </c>
      <c r="AR149" s="125">
        <f>IF($F$5=0,Valores!$C$101,(Valores!$C$101+$F$5*(Valores!$C$101)))</f>
        <v>-550</v>
      </c>
      <c r="AS149" s="125">
        <f t="shared" si="24"/>
        <v>148757.96869999997</v>
      </c>
      <c r="AT149" s="125">
        <f t="shared" si="18"/>
        <v>-19508.770599999996</v>
      </c>
      <c r="AU149" s="125">
        <f>AH149*Valores!$C$74</f>
        <v>-4788.516419999999</v>
      </c>
      <c r="AV149" s="125">
        <f>AH149*Valores!$C$75</f>
        <v>-532.0573799999999</v>
      </c>
      <c r="AW149" s="125">
        <f t="shared" si="22"/>
        <v>152523.11559999996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45059.21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11126.99</v>
      </c>
      <c r="N150" s="125">
        <f t="shared" si="19"/>
        <v>0</v>
      </c>
      <c r="O150" s="125">
        <f>Valores!$C$16</f>
        <v>30467.13</v>
      </c>
      <c r="P150" s="125">
        <f>Valores!$D$5</f>
        <v>18023.69</v>
      </c>
      <c r="Q150" s="125">
        <f>Valores!$C$22</f>
        <v>16079.99</v>
      </c>
      <c r="R150" s="125">
        <f>IF($F$4="NO",Valores!$C$44,Valores!$C$44/2)</f>
        <v>12520.87</v>
      </c>
      <c r="S150" s="125">
        <f>Valores!$C$20</f>
        <v>16599.84</v>
      </c>
      <c r="T150" s="125">
        <f t="shared" si="25"/>
        <v>16599.84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26214.39</v>
      </c>
      <c r="AA150" s="125">
        <f>Valores!$C$25</f>
        <v>737.18</v>
      </c>
      <c r="AB150" s="214">
        <v>0</v>
      </c>
      <c r="AC150" s="125">
        <f t="shared" si="20"/>
        <v>0</v>
      </c>
      <c r="AD150" s="125">
        <f>Valores!$C$26</f>
        <v>737.18</v>
      </c>
      <c r="AE150" s="192">
        <v>0</v>
      </c>
      <c r="AF150" s="125">
        <f>ROUND(AE150*Valores!$C$2,2)</f>
        <v>0</v>
      </c>
      <c r="AG150" s="125">
        <f>ROUND(IF($F$4="NO",Valores!$C$63,Valores!$C$63/2),2)</f>
        <v>8427.87</v>
      </c>
      <c r="AH150" s="125">
        <f t="shared" si="23"/>
        <v>185994.33999999997</v>
      </c>
      <c r="AI150" s="125">
        <f>Valores!$C$31</f>
        <v>0</v>
      </c>
      <c r="AJ150" s="125">
        <f>Valores!$C$87</f>
        <v>0</v>
      </c>
      <c r="AK150" s="125">
        <f>Valores!C$38*B150</f>
        <v>0</v>
      </c>
      <c r="AL150" s="125">
        <f>IF($F$3="NO",0,Valores!$C$56)</f>
        <v>0</v>
      </c>
      <c r="AM150" s="125">
        <f t="shared" si="21"/>
        <v>0</v>
      </c>
      <c r="AN150" s="125">
        <f>AH150*Valores!$C$71</f>
        <v>-20459.377399999998</v>
      </c>
      <c r="AO150" s="125">
        <f>AH150*-Valores!$C$72</f>
        <v>0</v>
      </c>
      <c r="AP150" s="125">
        <f>AH150*Valores!$C$73</f>
        <v>-8369.745299999999</v>
      </c>
      <c r="AQ150" s="125">
        <f>Valores!$C$100</f>
        <v>-554.86</v>
      </c>
      <c r="AR150" s="125">
        <f>IF($F$5=0,Valores!$C$101,(Valores!$C$101+$F$5*(Valores!$C$101)))</f>
        <v>-550</v>
      </c>
      <c r="AS150" s="125">
        <f t="shared" si="24"/>
        <v>156060.35729999997</v>
      </c>
      <c r="AT150" s="125">
        <f t="shared" si="18"/>
        <v>-20459.377399999998</v>
      </c>
      <c r="AU150" s="125">
        <f>AH150*Valores!$C$74</f>
        <v>-5021.847179999999</v>
      </c>
      <c r="AV150" s="125">
        <f>AH150*Valores!$C$75</f>
        <v>-557.9830199999999</v>
      </c>
      <c r="AW150" s="125">
        <f t="shared" si="22"/>
        <v>159955.13239999997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45059.21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11152.71</v>
      </c>
      <c r="N151" s="125">
        <f t="shared" si="19"/>
        <v>0</v>
      </c>
      <c r="O151" s="125">
        <f>Valores!$C$16</f>
        <v>30467.13</v>
      </c>
      <c r="P151" s="125">
        <f>Valores!$D$5</f>
        <v>18023.69</v>
      </c>
      <c r="Q151" s="125">
        <f>Valores!$C$22</f>
        <v>16079.99</v>
      </c>
      <c r="R151" s="125">
        <f>IF($F$4="NO",Valores!$C$44,Valores!$C$44/2)</f>
        <v>12520.87</v>
      </c>
      <c r="S151" s="125">
        <f>Valores!$C$19</f>
        <v>16771.31</v>
      </c>
      <c r="T151" s="125">
        <f t="shared" si="25"/>
        <v>16771.31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26214.39</v>
      </c>
      <c r="AA151" s="125">
        <f>Valores!$C$25</f>
        <v>737.18</v>
      </c>
      <c r="AB151" s="214">
        <v>0</v>
      </c>
      <c r="AC151" s="125">
        <f t="shared" si="20"/>
        <v>0</v>
      </c>
      <c r="AD151" s="125">
        <f>Valores!$C$26</f>
        <v>737.18</v>
      </c>
      <c r="AE151" s="192">
        <v>0</v>
      </c>
      <c r="AF151" s="125">
        <f>ROUND(AE151*Valores!$C$2,2)</f>
        <v>0</v>
      </c>
      <c r="AG151" s="125">
        <f>ROUND(IF($F$4="NO",Valores!$C$63,Valores!$C$63/2),2)</f>
        <v>8427.87</v>
      </c>
      <c r="AH151" s="125">
        <f t="shared" si="23"/>
        <v>186191.52999999997</v>
      </c>
      <c r="AI151" s="125">
        <f>Valores!$C$31</f>
        <v>0</v>
      </c>
      <c r="AJ151" s="125">
        <f>Valores!$C$87</f>
        <v>0</v>
      </c>
      <c r="AK151" s="125">
        <f>Valores!C$38*B151</f>
        <v>0</v>
      </c>
      <c r="AL151" s="125">
        <f>IF($F$3="NO",0,Valores!$C$56)</f>
        <v>0</v>
      </c>
      <c r="AM151" s="125">
        <f t="shared" si="21"/>
        <v>0</v>
      </c>
      <c r="AN151" s="125">
        <f>AH151*Valores!$C$71</f>
        <v>-20481.068299999995</v>
      </c>
      <c r="AO151" s="125">
        <f>AH151*-Valores!$C$72</f>
        <v>0</v>
      </c>
      <c r="AP151" s="125">
        <f>AH151*Valores!$C$73</f>
        <v>-8378.618849999999</v>
      </c>
      <c r="AQ151" s="125">
        <f>Valores!$C$100</f>
        <v>-554.86</v>
      </c>
      <c r="AR151" s="125">
        <f>IF($F$5=0,Valores!$C$101,(Valores!$C$101+$F$5*(Valores!$C$101)))</f>
        <v>-550</v>
      </c>
      <c r="AS151" s="125">
        <f t="shared" si="24"/>
        <v>156226.98284999997</v>
      </c>
      <c r="AT151" s="125">
        <f t="shared" si="18"/>
        <v>-20481.068299999995</v>
      </c>
      <c r="AU151" s="125">
        <f>AH151*Valores!$C$74</f>
        <v>-5027.171309999999</v>
      </c>
      <c r="AV151" s="125">
        <f>AH151*Valores!$C$75</f>
        <v>-558.57459</v>
      </c>
      <c r="AW151" s="125">
        <f t="shared" si="22"/>
        <v>160124.71579999998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37549.34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9920.41</v>
      </c>
      <c r="N152" s="125">
        <f t="shared" si="19"/>
        <v>0</v>
      </c>
      <c r="O152" s="125">
        <f>Valores!$C$16</f>
        <v>30467.13</v>
      </c>
      <c r="P152" s="125">
        <f>Valores!$D$5</f>
        <v>18023.69</v>
      </c>
      <c r="Q152" s="125">
        <f>Valores!$C$23</f>
        <v>14966.19</v>
      </c>
      <c r="R152" s="125">
        <f>IF($F$4="NO",Valores!$C$43,Valores!$C$43/2)</f>
        <v>11815.4</v>
      </c>
      <c r="S152" s="125">
        <f>Valores!$C$19</f>
        <v>16771.31</v>
      </c>
      <c r="T152" s="125">
        <f t="shared" si="25"/>
        <v>16771.31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26214.39</v>
      </c>
      <c r="AA152" s="125">
        <f>Valores!$C$25</f>
        <v>737.18</v>
      </c>
      <c r="AB152" s="214">
        <v>0</v>
      </c>
      <c r="AC152" s="125">
        <f t="shared" si="20"/>
        <v>0</v>
      </c>
      <c r="AD152" s="125">
        <f>Valores!$C$26</f>
        <v>737.18</v>
      </c>
      <c r="AE152" s="192">
        <v>0</v>
      </c>
      <c r="AF152" s="125">
        <f>ROUND(AE152*Valores!$C$2,2)</f>
        <v>0</v>
      </c>
      <c r="AG152" s="125">
        <f>ROUND(IF($F$4="NO",Valores!$C$63,Valores!$C$63/2),2)</f>
        <v>8427.87</v>
      </c>
      <c r="AH152" s="125">
        <f t="shared" si="23"/>
        <v>175630.08999999997</v>
      </c>
      <c r="AI152" s="125">
        <f>Valores!$C$31</f>
        <v>0</v>
      </c>
      <c r="AJ152" s="125">
        <f>Valores!$C$87</f>
        <v>0</v>
      </c>
      <c r="AK152" s="125">
        <f>Valores!C$38*B152</f>
        <v>0</v>
      </c>
      <c r="AL152" s="125">
        <f>IF($F$3="NO",0,Valores!$C$56)</f>
        <v>0</v>
      </c>
      <c r="AM152" s="125">
        <f t="shared" si="21"/>
        <v>0</v>
      </c>
      <c r="AN152" s="125">
        <f>AH152*Valores!$C$71</f>
        <v>-19319.309899999997</v>
      </c>
      <c r="AO152" s="125">
        <f>AH152*-Valores!$C$72</f>
        <v>0</v>
      </c>
      <c r="AP152" s="125">
        <f>AH152*Valores!$C$73</f>
        <v>-7903.354049999998</v>
      </c>
      <c r="AQ152" s="125">
        <f>Valores!$C$100</f>
        <v>-554.86</v>
      </c>
      <c r="AR152" s="125">
        <f>IF($F$5=0,Valores!$C$101,(Valores!$C$101+$F$5*(Valores!$C$101)))</f>
        <v>-550</v>
      </c>
      <c r="AS152" s="125">
        <f t="shared" si="24"/>
        <v>147302.56604999996</v>
      </c>
      <c r="AT152" s="125">
        <f t="shared" si="18"/>
        <v>-19319.309899999997</v>
      </c>
      <c r="AU152" s="125">
        <f>AH152*Valores!$C$74</f>
        <v>-4742.012429999999</v>
      </c>
      <c r="AV152" s="125">
        <f>AH152*Valores!$C$75</f>
        <v>-526.8902699999999</v>
      </c>
      <c r="AW152" s="125">
        <f t="shared" si="22"/>
        <v>151041.87739999997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33388.95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9296.35</v>
      </c>
      <c r="N153" s="125">
        <f t="shared" si="19"/>
        <v>0</v>
      </c>
      <c r="O153" s="125">
        <f>Valores!$C$16</f>
        <v>30467.13</v>
      </c>
      <c r="P153" s="125">
        <f>Valores!$D$5</f>
        <v>18023.69</v>
      </c>
      <c r="Q153" s="125">
        <f>Valores!$C$23</f>
        <v>14966.19</v>
      </c>
      <c r="R153" s="125">
        <f>IF($F$4="NO",Valores!$C$43,Valores!$C$43/2)</f>
        <v>11815.4</v>
      </c>
      <c r="S153" s="125">
        <f>Valores!$C$19</f>
        <v>16771.31</v>
      </c>
      <c r="T153" s="125">
        <f t="shared" si="25"/>
        <v>16771.31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26214.39</v>
      </c>
      <c r="AA153" s="125">
        <f>Valores!$C$25</f>
        <v>737.18</v>
      </c>
      <c r="AB153" s="214">
        <v>0</v>
      </c>
      <c r="AC153" s="125">
        <f t="shared" si="20"/>
        <v>0</v>
      </c>
      <c r="AD153" s="125">
        <f>Valores!$C$26</f>
        <v>737.18</v>
      </c>
      <c r="AE153" s="192">
        <v>0</v>
      </c>
      <c r="AF153" s="125">
        <f>ROUND(AE153*Valores!$C$2,2)</f>
        <v>0</v>
      </c>
      <c r="AG153" s="125">
        <f>ROUND(IF($F$4="NO",Valores!$C$63,Valores!$C$63/2),2)</f>
        <v>8427.87</v>
      </c>
      <c r="AH153" s="125">
        <f t="shared" si="23"/>
        <v>170845.63999999996</v>
      </c>
      <c r="AI153" s="125">
        <f>Valores!$C$31</f>
        <v>0</v>
      </c>
      <c r="AJ153" s="125">
        <f>Valores!$C$87</f>
        <v>0</v>
      </c>
      <c r="AK153" s="125">
        <f>Valores!C$38*B153</f>
        <v>0</v>
      </c>
      <c r="AL153" s="125">
        <f>IF($F$3="NO",0,Valores!$C$56)</f>
        <v>0</v>
      </c>
      <c r="AM153" s="125">
        <f t="shared" si="21"/>
        <v>0</v>
      </c>
      <c r="AN153" s="125">
        <f>AH153*Valores!$C$71</f>
        <v>-18793.020399999994</v>
      </c>
      <c r="AO153" s="125">
        <f>AH153*-Valores!$C$72</f>
        <v>0</v>
      </c>
      <c r="AP153" s="125">
        <f>AH153*Valores!$C$73</f>
        <v>-7688.053799999998</v>
      </c>
      <c r="AQ153" s="125">
        <f>Valores!$C$100</f>
        <v>-554.86</v>
      </c>
      <c r="AR153" s="125">
        <f>IF($F$5=0,Valores!$C$101,(Valores!$C$101+$F$5*(Valores!$C$101)))</f>
        <v>-550</v>
      </c>
      <c r="AS153" s="125">
        <f t="shared" si="24"/>
        <v>143259.70579999997</v>
      </c>
      <c r="AT153" s="125">
        <f t="shared" si="18"/>
        <v>-18793.020399999994</v>
      </c>
      <c r="AU153" s="125">
        <f>AH153*Valores!$C$74</f>
        <v>-4612.832279999999</v>
      </c>
      <c r="AV153" s="125">
        <f>AH153*Valores!$C$75</f>
        <v>-512.5369199999999</v>
      </c>
      <c r="AW153" s="125">
        <f t="shared" si="22"/>
        <v>146927.25039999996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63463.68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14861.55</v>
      </c>
      <c r="N154" s="125">
        <f t="shared" si="19"/>
        <v>0</v>
      </c>
      <c r="O154" s="125">
        <f>Valores!$C$8</f>
        <v>44191.25</v>
      </c>
      <c r="P154" s="125">
        <f>Valores!$D$5</f>
        <v>18023.69</v>
      </c>
      <c r="Q154" s="125">
        <f>Valores!$C$22</f>
        <v>16079.99</v>
      </c>
      <c r="R154" s="125">
        <f>IF($F$4="NO",Valores!$C$47,Valores!$C$47/2)</f>
        <v>18842.02</v>
      </c>
      <c r="S154" s="125">
        <f>Valores!$C$19</f>
        <v>16771.31</v>
      </c>
      <c r="T154" s="125">
        <f t="shared" si="25"/>
        <v>16771.31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52428.78</v>
      </c>
      <c r="AA154" s="125">
        <f>Valores!$C$25</f>
        <v>737.18</v>
      </c>
      <c r="AB154" s="214">
        <v>0</v>
      </c>
      <c r="AC154" s="125">
        <f t="shared" si="20"/>
        <v>0</v>
      </c>
      <c r="AD154" s="125">
        <f>Valores!$C$26</f>
        <v>737.18</v>
      </c>
      <c r="AE154" s="192">
        <v>0</v>
      </c>
      <c r="AF154" s="125">
        <f>ROUND(AE154*Valores!$C$2,2)</f>
        <v>0</v>
      </c>
      <c r="AG154" s="125">
        <f>ROUND(IF($F$4="NO",Valores!$C$63,Valores!$C$63/2),2)</f>
        <v>8427.87</v>
      </c>
      <c r="AH154" s="125">
        <f t="shared" si="23"/>
        <v>254564.49999999994</v>
      </c>
      <c r="AI154" s="125">
        <f>Valores!$C$31</f>
        <v>0</v>
      </c>
      <c r="AJ154" s="125">
        <f>Valores!$C$89</f>
        <v>0</v>
      </c>
      <c r="AK154" s="125">
        <f>Valores!C$38*B154</f>
        <v>0</v>
      </c>
      <c r="AL154" s="125">
        <f>IF($F$3="NO",0,Valores!$C$56)</f>
        <v>0</v>
      </c>
      <c r="AM154" s="125">
        <f t="shared" si="21"/>
        <v>0</v>
      </c>
      <c r="AN154" s="125">
        <f>AH154*Valores!$C$71</f>
        <v>-28002.094999999994</v>
      </c>
      <c r="AO154" s="125">
        <f>AH154*-Valores!$C$72</f>
        <v>0</v>
      </c>
      <c r="AP154" s="125">
        <f>AH154*Valores!$C$73</f>
        <v>-11455.402499999997</v>
      </c>
      <c r="AQ154" s="125">
        <f>Valores!$C$100</f>
        <v>-554.86</v>
      </c>
      <c r="AR154" s="125">
        <f>IF($F$5=0,Valores!$C$101,(Valores!$C$101+$F$5*(Valores!$C$101)))</f>
        <v>-550</v>
      </c>
      <c r="AS154" s="125">
        <f t="shared" si="24"/>
        <v>214002.14249999996</v>
      </c>
      <c r="AT154" s="125">
        <f t="shared" si="18"/>
        <v>-28002.094999999994</v>
      </c>
      <c r="AU154" s="125">
        <f>AH154*Valores!$C$74</f>
        <v>-6873.241499999998</v>
      </c>
      <c r="AV154" s="125">
        <f>AH154*Valores!$C$75</f>
        <v>-763.6934999999999</v>
      </c>
      <c r="AW154" s="125">
        <f t="shared" si="22"/>
        <v>218925.46999999994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45059.21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11152.71</v>
      </c>
      <c r="N155" s="125">
        <f t="shared" si="19"/>
        <v>0</v>
      </c>
      <c r="O155" s="125">
        <f>Valores!$C$8</f>
        <v>44191.25</v>
      </c>
      <c r="P155" s="125">
        <f>Valores!$D$5</f>
        <v>18023.69</v>
      </c>
      <c r="Q155" s="125">
        <f>Valores!$C$22</f>
        <v>16079.99</v>
      </c>
      <c r="R155" s="125">
        <f>IF($F$4="NO",Valores!$C$44,Valores!$C$44/2)</f>
        <v>12520.87</v>
      </c>
      <c r="S155" s="125">
        <f>Valores!$C$19</f>
        <v>16771.31</v>
      </c>
      <c r="T155" s="125">
        <f t="shared" si="25"/>
        <v>16771.31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26214.39</v>
      </c>
      <c r="AA155" s="125">
        <f>Valores!$C$25</f>
        <v>737.18</v>
      </c>
      <c r="AB155" s="214">
        <v>0</v>
      </c>
      <c r="AC155" s="125">
        <f t="shared" si="20"/>
        <v>0</v>
      </c>
      <c r="AD155" s="125">
        <f>Valores!$C$26</f>
        <v>737.18</v>
      </c>
      <c r="AE155" s="192">
        <v>0</v>
      </c>
      <c r="AF155" s="125">
        <f>ROUND(AE155*Valores!$C$2,2)</f>
        <v>0</v>
      </c>
      <c r="AG155" s="125">
        <f>ROUND(IF($F$4="NO",Valores!$C$63,Valores!$C$63/2),2)</f>
        <v>8427.87</v>
      </c>
      <c r="AH155" s="125">
        <f t="shared" si="23"/>
        <v>199915.64999999997</v>
      </c>
      <c r="AI155" s="125">
        <f>Valores!$C$31</f>
        <v>0</v>
      </c>
      <c r="AJ155" s="125">
        <f>Valores!$C$87</f>
        <v>0</v>
      </c>
      <c r="AK155" s="125">
        <f>Valores!C$38*B155</f>
        <v>0</v>
      </c>
      <c r="AL155" s="125">
        <f>IF($F$3="NO",0,Valores!$C$56)</f>
        <v>0</v>
      </c>
      <c r="AM155" s="125">
        <f t="shared" si="21"/>
        <v>0</v>
      </c>
      <c r="AN155" s="125">
        <f>AH155*Valores!$C$71</f>
        <v>-21990.721499999996</v>
      </c>
      <c r="AO155" s="125">
        <f>AH155*-Valores!$C$72</f>
        <v>0</v>
      </c>
      <c r="AP155" s="125">
        <f>AH155*Valores!$C$73</f>
        <v>-8996.204249999999</v>
      </c>
      <c r="AQ155" s="125">
        <f>Valores!$C$100</f>
        <v>-554.86</v>
      </c>
      <c r="AR155" s="125">
        <f>IF($F$5=0,Valores!$C$101,(Valores!$C$101+$F$5*(Valores!$C$101)))</f>
        <v>-550</v>
      </c>
      <c r="AS155" s="125">
        <f t="shared" si="24"/>
        <v>167823.86424999998</v>
      </c>
      <c r="AT155" s="125">
        <f t="shared" si="18"/>
        <v>-21990.721499999996</v>
      </c>
      <c r="AU155" s="125">
        <f>AH155*Valores!$C$74</f>
        <v>-5397.722549999999</v>
      </c>
      <c r="AV155" s="125">
        <f>AH155*Valores!$C$75</f>
        <v>-599.7469499999999</v>
      </c>
      <c r="AW155" s="125">
        <f t="shared" si="22"/>
        <v>171927.45899999997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42802.73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10814.24</v>
      </c>
      <c r="N156" s="125">
        <f t="shared" si="19"/>
        <v>0</v>
      </c>
      <c r="O156" s="125">
        <f>Valores!$C$16</f>
        <v>30467.13</v>
      </c>
      <c r="P156" s="125">
        <f>Valores!$D$5</f>
        <v>18023.69</v>
      </c>
      <c r="Q156" s="125">
        <f>Valores!$C$22</f>
        <v>16079.99</v>
      </c>
      <c r="R156" s="125">
        <f>IF($F$4="NO",Valores!$C$44,Valores!$C$44/2)</f>
        <v>12520.87</v>
      </c>
      <c r="S156" s="125">
        <f>Valores!$C$19</f>
        <v>16771.31</v>
      </c>
      <c r="T156" s="125">
        <f t="shared" si="25"/>
        <v>16771.31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26214.39</v>
      </c>
      <c r="AA156" s="125">
        <f>Valores!$C$25</f>
        <v>737.18</v>
      </c>
      <c r="AB156" s="214">
        <v>0</v>
      </c>
      <c r="AC156" s="125">
        <f t="shared" si="20"/>
        <v>0</v>
      </c>
      <c r="AD156" s="125">
        <f>Valores!$C$26</f>
        <v>737.18</v>
      </c>
      <c r="AE156" s="192">
        <v>0</v>
      </c>
      <c r="AF156" s="125">
        <f>ROUND(AE156*Valores!$C$2,2)</f>
        <v>0</v>
      </c>
      <c r="AG156" s="125">
        <f>ROUND(IF($F$4="NO",Valores!$C$63,Valores!$C$63/2),2)</f>
        <v>8427.87</v>
      </c>
      <c r="AH156" s="125">
        <f t="shared" si="23"/>
        <v>183596.58000000002</v>
      </c>
      <c r="AI156" s="125">
        <f>Valores!$C$31</f>
        <v>0</v>
      </c>
      <c r="AJ156" s="125">
        <f>Valores!$C$87</f>
        <v>0</v>
      </c>
      <c r="AK156" s="125">
        <f>Valores!C$38*B156</f>
        <v>0</v>
      </c>
      <c r="AL156" s="125">
        <f>IF($F$3="NO",0,Valores!$C$56)</f>
        <v>0</v>
      </c>
      <c r="AM156" s="125">
        <f t="shared" si="21"/>
        <v>0</v>
      </c>
      <c r="AN156" s="125">
        <f>AH156*Valores!$C$71</f>
        <v>-20195.6238</v>
      </c>
      <c r="AO156" s="125">
        <f>AH156*-Valores!$C$72</f>
        <v>0</v>
      </c>
      <c r="AP156" s="125">
        <f>AH156*Valores!$C$73</f>
        <v>-8261.8461</v>
      </c>
      <c r="AQ156" s="125">
        <f>Valores!$C$100</f>
        <v>-554.86</v>
      </c>
      <c r="AR156" s="125">
        <f>IF($F$5=0,Valores!$C$101,(Valores!$C$101+$F$5*(Valores!$C$101)))</f>
        <v>-550</v>
      </c>
      <c r="AS156" s="125">
        <f t="shared" si="24"/>
        <v>154034.2501</v>
      </c>
      <c r="AT156" s="125">
        <f t="shared" si="18"/>
        <v>-20195.6238</v>
      </c>
      <c r="AU156" s="125">
        <f>AH156*Valores!$C$74</f>
        <v>-4957.107660000001</v>
      </c>
      <c r="AV156" s="125">
        <f>AH156*Valores!$C$75</f>
        <v>-550.78974</v>
      </c>
      <c r="AW156" s="125">
        <f t="shared" si="22"/>
        <v>157893.0588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41745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10629.86</v>
      </c>
      <c r="N157" s="125">
        <f t="shared" si="19"/>
        <v>0</v>
      </c>
      <c r="O157" s="125">
        <f>Valores!$C$16</f>
        <v>30467.13</v>
      </c>
      <c r="P157" s="125">
        <f>Valores!$D$5</f>
        <v>18023.69</v>
      </c>
      <c r="Q157" s="125">
        <v>0</v>
      </c>
      <c r="R157" s="125">
        <f>IF($F$4="NO",Valores!$C$44,Valores!$C$44/2)</f>
        <v>12520.87</v>
      </c>
      <c r="S157" s="125">
        <f>Valores!$C$20</f>
        <v>16599.84</v>
      </c>
      <c r="T157" s="125">
        <f t="shared" si="25"/>
        <v>16599.84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26214.39</v>
      </c>
      <c r="AA157" s="125">
        <f>Valores!$C$25</f>
        <v>737.18</v>
      </c>
      <c r="AB157" s="214">
        <v>0</v>
      </c>
      <c r="AC157" s="125">
        <f t="shared" si="20"/>
        <v>0</v>
      </c>
      <c r="AD157" s="125">
        <f>Valores!$C$26</f>
        <v>737.18</v>
      </c>
      <c r="AE157" s="192">
        <v>0</v>
      </c>
      <c r="AF157" s="125">
        <f>ROUND(AE157*Valores!$C$2,2)</f>
        <v>0</v>
      </c>
      <c r="AG157" s="125">
        <f>ROUND(IF($F$4="NO",Valores!$C$63,Valores!$C$63/2),2)</f>
        <v>8427.87</v>
      </c>
      <c r="AH157" s="125">
        <f t="shared" si="23"/>
        <v>166103.00999999998</v>
      </c>
      <c r="AI157" s="125">
        <f>Valores!$C$31</f>
        <v>0</v>
      </c>
      <c r="AJ157" s="125">
        <f>Valores!$C$87</f>
        <v>0</v>
      </c>
      <c r="AK157" s="125">
        <f>Valores!C$38*B157</f>
        <v>0</v>
      </c>
      <c r="AL157" s="125">
        <f>IF($F$3="NO",0,Valores!$C$56)</f>
        <v>0</v>
      </c>
      <c r="AM157" s="125">
        <f t="shared" si="21"/>
        <v>0</v>
      </c>
      <c r="AN157" s="125">
        <f>AH157*Valores!$C$71</f>
        <v>-18271.3311</v>
      </c>
      <c r="AO157" s="125">
        <f>AH157*-Valores!$C$72</f>
        <v>0</v>
      </c>
      <c r="AP157" s="125">
        <f>AH157*Valores!$C$73</f>
        <v>-7474.635449999999</v>
      </c>
      <c r="AQ157" s="125">
        <f>Valores!$C$100</f>
        <v>-554.86</v>
      </c>
      <c r="AR157" s="125">
        <f>IF($F$5=0,Valores!$C$101,(Valores!$C$101+$F$5*(Valores!$C$101)))</f>
        <v>-550</v>
      </c>
      <c r="AS157" s="125">
        <f t="shared" si="24"/>
        <v>139252.18344999998</v>
      </c>
      <c r="AT157" s="125">
        <f t="shared" si="18"/>
        <v>-18271.3311</v>
      </c>
      <c r="AU157" s="125">
        <f>AH157*Valores!$C$74</f>
        <v>-4484.7812699999995</v>
      </c>
      <c r="AV157" s="125">
        <f>AH157*Valores!$C$75</f>
        <v>-498.30902999999995</v>
      </c>
      <c r="AW157" s="125">
        <f t="shared" si="22"/>
        <v>142848.5886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34235.13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9423.28</v>
      </c>
      <c r="N158" s="125">
        <f t="shared" si="19"/>
        <v>0</v>
      </c>
      <c r="O158" s="125">
        <f>Valores!$C$16</f>
        <v>30467.13</v>
      </c>
      <c r="P158" s="125">
        <f>Valores!$D$5</f>
        <v>18023.69</v>
      </c>
      <c r="Q158" s="125">
        <f>Valores!$C$23</f>
        <v>14966.19</v>
      </c>
      <c r="R158" s="125">
        <f>IF($F$4="NO",Valores!$C$43,Valores!$C$43/2)</f>
        <v>11815.4</v>
      </c>
      <c r="S158" s="125">
        <f>Valores!$C$19</f>
        <v>16771.31</v>
      </c>
      <c r="T158" s="125">
        <f t="shared" si="25"/>
        <v>16771.31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26214.39</v>
      </c>
      <c r="AA158" s="125">
        <f>Valores!$C$25</f>
        <v>737.18</v>
      </c>
      <c r="AB158" s="214">
        <v>0</v>
      </c>
      <c r="AC158" s="125">
        <f t="shared" si="20"/>
        <v>0</v>
      </c>
      <c r="AD158" s="125">
        <f>Valores!$C$25</f>
        <v>737.18</v>
      </c>
      <c r="AE158" s="192">
        <v>0</v>
      </c>
      <c r="AF158" s="125">
        <f>ROUND(AE158*Valores!$C$2,2)</f>
        <v>0</v>
      </c>
      <c r="AG158" s="125">
        <f>ROUND(IF($F$4="NO",Valores!$C$63,Valores!$C$63/2),2)</f>
        <v>8427.87</v>
      </c>
      <c r="AH158" s="125">
        <f t="shared" si="23"/>
        <v>171818.75</v>
      </c>
      <c r="AI158" s="125">
        <f>Valores!$C$31</f>
        <v>0</v>
      </c>
      <c r="AJ158" s="125">
        <f>Valores!$C$87</f>
        <v>0</v>
      </c>
      <c r="AK158" s="125">
        <f>Valores!C$38*B158</f>
        <v>0</v>
      </c>
      <c r="AL158" s="125">
        <f>(IF($F$3="NO",0,Valores!$C$58))</f>
        <v>0</v>
      </c>
      <c r="AM158" s="125">
        <f t="shared" si="21"/>
        <v>0</v>
      </c>
      <c r="AN158" s="125">
        <f>AH158*Valores!$C$71</f>
        <v>-18900.0625</v>
      </c>
      <c r="AO158" s="125">
        <f>AH158*-Valores!$C$72</f>
        <v>0</v>
      </c>
      <c r="AP158" s="125">
        <f>AH158*Valores!$C$73</f>
        <v>-7731.84375</v>
      </c>
      <c r="AQ158" s="125">
        <f>Valores!$C$100</f>
        <v>-554.86</v>
      </c>
      <c r="AR158" s="125">
        <f>IF($F$5=0,Valores!$C$101,(Valores!$C$101+$F$5*(Valores!$C$101)))</f>
        <v>-550</v>
      </c>
      <c r="AS158" s="125">
        <f t="shared" si="24"/>
        <v>144081.98375</v>
      </c>
      <c r="AT158" s="125">
        <f t="shared" si="18"/>
        <v>-18900.0625</v>
      </c>
      <c r="AU158" s="125">
        <f>AH158*Valores!$C$74</f>
        <v>-4639.10625</v>
      </c>
      <c r="AV158" s="125">
        <f>AH158*Valores!$C$75</f>
        <v>-515.45625</v>
      </c>
      <c r="AW158" s="125">
        <f t="shared" si="22"/>
        <v>147764.125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34235.13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12592.73</v>
      </c>
      <c r="N159" s="125">
        <f t="shared" si="19"/>
        <v>0</v>
      </c>
      <c r="O159" s="125">
        <f>Valores!$C$16</f>
        <v>30467.13</v>
      </c>
      <c r="P159" s="125">
        <f>Valores!$D$5</f>
        <v>18023.69</v>
      </c>
      <c r="Q159" s="125">
        <f>Valores!$C$23</f>
        <v>14966.19</v>
      </c>
      <c r="R159" s="125">
        <f>IF($F$4="NO",Valores!$C$47,Valores!$C$47/2)</f>
        <v>18842.02</v>
      </c>
      <c r="S159" s="125">
        <f>Valores!$C$19</f>
        <v>16771.31</v>
      </c>
      <c r="T159" s="125">
        <f t="shared" si="25"/>
        <v>16771.31</v>
      </c>
      <c r="U159" s="125">
        <v>0</v>
      </c>
      <c r="V159" s="125">
        <v>0</v>
      </c>
      <c r="W159" s="192">
        <v>400</v>
      </c>
      <c r="X159" s="125">
        <f>ROUND(W159*Valores!$C$2,2)</f>
        <v>14103.04</v>
      </c>
      <c r="Y159" s="125">
        <f>ROUND(SUM(J159,H159,F159,R159)*Valores!$C$3,2)</f>
        <v>7961.57</v>
      </c>
      <c r="Z159" s="125">
        <f>Valores!$C$94</f>
        <v>26214.39</v>
      </c>
      <c r="AA159" s="125">
        <f>Valores!$C$25</f>
        <v>737.18</v>
      </c>
      <c r="AB159" s="214">
        <v>0</v>
      </c>
      <c r="AC159" s="125">
        <f t="shared" si="20"/>
        <v>0</v>
      </c>
      <c r="AD159" s="125">
        <f>Valores!$C$25</f>
        <v>737.18</v>
      </c>
      <c r="AE159" s="192">
        <v>94</v>
      </c>
      <c r="AF159" s="125">
        <f>ROUND(AE159*Valores!$C$2,2)</f>
        <v>3314.21</v>
      </c>
      <c r="AG159" s="125">
        <f>ROUND(IF($F$4="NO",Valores!$C$63,Valores!$C$63/2),2)</f>
        <v>8427.87</v>
      </c>
      <c r="AH159" s="125">
        <f t="shared" si="23"/>
        <v>207393.63999999998</v>
      </c>
      <c r="AI159" s="125">
        <f>Valores!$C$31</f>
        <v>0</v>
      </c>
      <c r="AJ159" s="125">
        <f>Valores!$C$87</f>
        <v>0</v>
      </c>
      <c r="AK159" s="125">
        <f>Valores!C$38*B159</f>
        <v>0</v>
      </c>
      <c r="AL159" s="125">
        <f>(IF($F$3="NO",0,Valores!$C$58))</f>
        <v>0</v>
      </c>
      <c r="AM159" s="125">
        <f t="shared" si="21"/>
        <v>0</v>
      </c>
      <c r="AN159" s="125">
        <f>AH159*Valores!$C$71</f>
        <v>-22813.3004</v>
      </c>
      <c r="AO159" s="125">
        <f>AH159*-Valores!$C$72</f>
        <v>0</v>
      </c>
      <c r="AP159" s="125">
        <f>AH159*Valores!$C$73</f>
        <v>-9332.7138</v>
      </c>
      <c r="AQ159" s="125">
        <f>Valores!$C$100</f>
        <v>-554.86</v>
      </c>
      <c r="AR159" s="125">
        <f>IF($F$5=0,Valores!$C$101,(Valores!$C$101+$F$5*(Valores!$C$101)))</f>
        <v>-550</v>
      </c>
      <c r="AS159" s="125">
        <f t="shared" si="24"/>
        <v>174142.7658</v>
      </c>
      <c r="AT159" s="125">
        <f t="shared" si="18"/>
        <v>-22813.3004</v>
      </c>
      <c r="AU159" s="125">
        <f>AH159*Valores!$C$74</f>
        <v>-5599.62828</v>
      </c>
      <c r="AV159" s="125">
        <f>AH159*Valores!$C$75</f>
        <v>-622.18092</v>
      </c>
      <c r="AW159" s="125">
        <f t="shared" si="22"/>
        <v>178358.5304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28558.66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8546.09</v>
      </c>
      <c r="N160" s="125">
        <f t="shared" si="19"/>
        <v>0</v>
      </c>
      <c r="O160" s="125">
        <f>Valores!$C$16</f>
        <v>30467.13</v>
      </c>
      <c r="P160" s="125">
        <f>Valores!$D$5</f>
        <v>18023.69</v>
      </c>
      <c r="Q160" s="125">
        <f>Valores!$C$23</f>
        <v>14966.19</v>
      </c>
      <c r="R160" s="125">
        <f>IF($F$4="NO",Valores!$C$43,Valores!$C$43/2)</f>
        <v>11815.4</v>
      </c>
      <c r="S160" s="125">
        <f>Valores!$C$20</f>
        <v>16599.84</v>
      </c>
      <c r="T160" s="125">
        <f t="shared" si="25"/>
        <v>16599.84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26214.39</v>
      </c>
      <c r="AA160" s="125">
        <f>Valores!$C$25</f>
        <v>737.18</v>
      </c>
      <c r="AB160" s="214">
        <v>0</v>
      </c>
      <c r="AC160" s="125">
        <f t="shared" si="20"/>
        <v>0</v>
      </c>
      <c r="AD160" s="125">
        <f>Valores!$C$26</f>
        <v>737.18</v>
      </c>
      <c r="AE160" s="192">
        <v>0</v>
      </c>
      <c r="AF160" s="125">
        <f>ROUND(AE160*Valores!$C$2,2)</f>
        <v>0</v>
      </c>
      <c r="AG160" s="125">
        <f>ROUND(IF($F$4="NO",Valores!$C$63,Valores!$C$63/2),2)</f>
        <v>8427.87</v>
      </c>
      <c r="AH160" s="125">
        <f t="shared" si="23"/>
        <v>165093.62</v>
      </c>
      <c r="AI160" s="125">
        <f>Valores!$C$31</f>
        <v>0</v>
      </c>
      <c r="AJ160" s="125">
        <f>Valores!$C$87</f>
        <v>0</v>
      </c>
      <c r="AK160" s="125">
        <f>Valores!C$38*B160</f>
        <v>0</v>
      </c>
      <c r="AL160" s="125">
        <f>IF($F$3="NO",0,Valores!$C$56)</f>
        <v>0</v>
      </c>
      <c r="AM160" s="125">
        <f t="shared" si="21"/>
        <v>0</v>
      </c>
      <c r="AN160" s="125">
        <f>AH160*Valores!$C$71</f>
        <v>-18160.2982</v>
      </c>
      <c r="AO160" s="125">
        <f>AH160*-Valores!$C$72</f>
        <v>0</v>
      </c>
      <c r="AP160" s="125">
        <f>AH160*Valores!$C$73</f>
        <v>-7429.2128999999995</v>
      </c>
      <c r="AQ160" s="125">
        <f>Valores!$C$100</f>
        <v>-554.86</v>
      </c>
      <c r="AR160" s="125">
        <f>IF($F$5=0,Valores!$C$101,(Valores!$C$101+$F$5*(Valores!$C$101)))</f>
        <v>-550</v>
      </c>
      <c r="AS160" s="125">
        <f t="shared" si="24"/>
        <v>138399.2489</v>
      </c>
      <c r="AT160" s="125">
        <f t="shared" si="18"/>
        <v>-18160.2982</v>
      </c>
      <c r="AU160" s="125">
        <f>AH160*Valores!$C$74</f>
        <v>-4457.5277399999995</v>
      </c>
      <c r="AV160" s="125">
        <f>AH160*Valores!$C$75</f>
        <v>-495.28086</v>
      </c>
      <c r="AW160" s="125">
        <f t="shared" si="22"/>
        <v>141980.5132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37549.34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9920.41</v>
      </c>
      <c r="N161" s="125">
        <f t="shared" si="19"/>
        <v>0</v>
      </c>
      <c r="O161" s="125">
        <f>Valores!$C$16</f>
        <v>30467.13</v>
      </c>
      <c r="P161" s="125">
        <f>Valores!$D$5</f>
        <v>18023.69</v>
      </c>
      <c r="Q161" s="125">
        <f>Valores!$C$23</f>
        <v>14966.19</v>
      </c>
      <c r="R161" s="125">
        <f>IF($F$4="NO",Valores!$C$43,Valores!$C$43/2)</f>
        <v>11815.4</v>
      </c>
      <c r="S161" s="125">
        <f>Valores!$C$19</f>
        <v>16771.31</v>
      </c>
      <c r="T161" s="125">
        <f t="shared" si="25"/>
        <v>16771.31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26214.39</v>
      </c>
      <c r="AA161" s="125">
        <f>Valores!$C$25</f>
        <v>737.18</v>
      </c>
      <c r="AB161" s="214">
        <v>0</v>
      </c>
      <c r="AC161" s="125">
        <f t="shared" si="20"/>
        <v>0</v>
      </c>
      <c r="AD161" s="125">
        <f>Valores!$C$26</f>
        <v>737.18</v>
      </c>
      <c r="AE161" s="192">
        <v>0</v>
      </c>
      <c r="AF161" s="125">
        <f>ROUND(AE161*Valores!$C$2,2)</f>
        <v>0</v>
      </c>
      <c r="AG161" s="125">
        <f>ROUND(IF($F$4="NO",Valores!$C$63,Valores!$C$63/2),2)</f>
        <v>8427.87</v>
      </c>
      <c r="AH161" s="125">
        <f t="shared" si="23"/>
        <v>175630.08999999997</v>
      </c>
      <c r="AI161" s="125">
        <f>Valores!$C$31</f>
        <v>0</v>
      </c>
      <c r="AJ161" s="125">
        <f>Valores!$C$87</f>
        <v>0</v>
      </c>
      <c r="AK161" s="125">
        <f>Valores!C$38*B161</f>
        <v>0</v>
      </c>
      <c r="AL161" s="125">
        <f>IF($F$3="NO",0,Valores!$C$56)</f>
        <v>0</v>
      </c>
      <c r="AM161" s="125">
        <f t="shared" si="21"/>
        <v>0</v>
      </c>
      <c r="AN161" s="125">
        <f>AH161*Valores!$C$71</f>
        <v>-19319.309899999997</v>
      </c>
      <c r="AO161" s="125">
        <f>AH161*-Valores!$C$72</f>
        <v>0</v>
      </c>
      <c r="AP161" s="125">
        <f>AH161*Valores!$C$73</f>
        <v>-7903.354049999998</v>
      </c>
      <c r="AQ161" s="125">
        <f>Valores!$C$100</f>
        <v>-554.86</v>
      </c>
      <c r="AR161" s="125">
        <f>IF($F$5=0,Valores!$C$101,(Valores!$C$101+$F$5*(Valores!$C$101)))</f>
        <v>-550</v>
      </c>
      <c r="AS161" s="125">
        <f t="shared" si="24"/>
        <v>147302.56604999996</v>
      </c>
      <c r="AT161" s="125">
        <f t="shared" si="18"/>
        <v>-19319.309899999997</v>
      </c>
      <c r="AU161" s="125">
        <f>AH161*Valores!$C$74</f>
        <v>-4742.012429999999</v>
      </c>
      <c r="AV161" s="125">
        <f>AH161*Valores!$C$75</f>
        <v>-526.8902699999999</v>
      </c>
      <c r="AW161" s="125">
        <f t="shared" si="22"/>
        <v>151041.87739999997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37549.34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9920.41</v>
      </c>
      <c r="N162" s="125">
        <f t="shared" si="19"/>
        <v>0</v>
      </c>
      <c r="O162" s="125">
        <f>Valores!$C$16</f>
        <v>30467.13</v>
      </c>
      <c r="P162" s="125">
        <f>Valores!$D$5</f>
        <v>18023.69</v>
      </c>
      <c r="Q162" s="125">
        <f>Valores!$C$23</f>
        <v>14966.19</v>
      </c>
      <c r="R162" s="125">
        <f>IF($F$4="NO",Valores!$C$43,Valores!$C$43/2)</f>
        <v>11815.4</v>
      </c>
      <c r="S162" s="125">
        <f>Valores!$C$19</f>
        <v>16771.31</v>
      </c>
      <c r="T162" s="125">
        <f t="shared" si="25"/>
        <v>16771.31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26214.39</v>
      </c>
      <c r="AA162" s="125">
        <f>Valores!$C$25</f>
        <v>737.18</v>
      </c>
      <c r="AB162" s="214">
        <v>0</v>
      </c>
      <c r="AC162" s="125">
        <f t="shared" si="20"/>
        <v>0</v>
      </c>
      <c r="AD162" s="125">
        <f>Valores!$C$26</f>
        <v>737.18</v>
      </c>
      <c r="AE162" s="192">
        <v>94</v>
      </c>
      <c r="AF162" s="125">
        <f>ROUND(AE162*Valores!$C$2,2)</f>
        <v>3314.21</v>
      </c>
      <c r="AG162" s="125">
        <f>ROUND(IF($F$4="NO",Valores!$C$63,Valores!$C$63/2),2)</f>
        <v>8427.87</v>
      </c>
      <c r="AH162" s="125">
        <f t="shared" si="23"/>
        <v>178944.29999999996</v>
      </c>
      <c r="AI162" s="125">
        <f>Valores!$C$31</f>
        <v>0</v>
      </c>
      <c r="AJ162" s="125">
        <f>Valores!$C$87</f>
        <v>0</v>
      </c>
      <c r="AK162" s="125">
        <f>Valores!C$38*B162</f>
        <v>0</v>
      </c>
      <c r="AL162" s="125">
        <f>IF($F$3="NO",0,Valores!$C$56)</f>
        <v>0</v>
      </c>
      <c r="AM162" s="125">
        <f t="shared" si="21"/>
        <v>0</v>
      </c>
      <c r="AN162" s="125">
        <f>AH162*Valores!$C$71</f>
        <v>-19683.872999999996</v>
      </c>
      <c r="AO162" s="125">
        <f>AH162*-Valores!$C$72</f>
        <v>0</v>
      </c>
      <c r="AP162" s="125">
        <f>AH162*Valores!$C$73</f>
        <v>-8052.493499999998</v>
      </c>
      <c r="AQ162" s="125">
        <f>Valores!$C$100</f>
        <v>-554.86</v>
      </c>
      <c r="AR162" s="125">
        <f>IF($F$5=0,Valores!$C$101,(Valores!$C$101+$F$5*(Valores!$C$101)))</f>
        <v>-550</v>
      </c>
      <c r="AS162" s="125">
        <f t="shared" si="24"/>
        <v>150103.07349999997</v>
      </c>
      <c r="AT162" s="125">
        <f t="shared" si="18"/>
        <v>-19683.872999999996</v>
      </c>
      <c r="AU162" s="125">
        <f>AH162*Valores!$C$74</f>
        <v>-4831.4960999999985</v>
      </c>
      <c r="AV162" s="125">
        <f>AH162*Valores!$C$75</f>
        <v>-536.8328999999999</v>
      </c>
      <c r="AW162" s="125">
        <f t="shared" si="22"/>
        <v>153892.09799999997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3455.24</v>
      </c>
      <c r="G163" s="192">
        <v>2686</v>
      </c>
      <c r="H163" s="125">
        <f>ROUND(G163*Valores!$C$2,2)</f>
        <v>94701.91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23767.62</v>
      </c>
      <c r="N163" s="125">
        <f t="shared" si="19"/>
        <v>0</v>
      </c>
      <c r="O163" s="125">
        <f>Valores!$C$8</f>
        <v>44191.25</v>
      </c>
      <c r="P163" s="125">
        <f>Valores!$D$5</f>
        <v>18023.69</v>
      </c>
      <c r="Q163" s="125">
        <f>Valores!$C$22</f>
        <v>16079.99</v>
      </c>
      <c r="R163" s="125">
        <f>IF($F$4="NO",Valores!$C$47,Valores!$C$47/2)</f>
        <v>18842.02</v>
      </c>
      <c r="S163" s="125">
        <f>Valores!$C$19</f>
        <v>16771.31</v>
      </c>
      <c r="T163" s="125">
        <f t="shared" si="25"/>
        <v>16771.31</v>
      </c>
      <c r="U163" s="125">
        <v>0</v>
      </c>
      <c r="V163" s="125">
        <v>0</v>
      </c>
      <c r="W163" s="192">
        <v>700</v>
      </c>
      <c r="X163" s="125">
        <f>ROUND(W163*Valores!$C$2,2)</f>
        <v>24680.32</v>
      </c>
      <c r="Y163" s="125">
        <f>ROUND(SUM(J163,H163,F163,R163)*Valores!$C$3,2)</f>
        <v>17549.88</v>
      </c>
      <c r="Z163" s="125">
        <f>Valores!$C$96</f>
        <v>52428.78</v>
      </c>
      <c r="AA163" s="125">
        <f>Valores!$C$25</f>
        <v>737.18</v>
      </c>
      <c r="AB163" s="214">
        <v>0</v>
      </c>
      <c r="AC163" s="125">
        <f t="shared" si="20"/>
        <v>0</v>
      </c>
      <c r="AD163" s="125">
        <f>Valores!$C$26</f>
        <v>737.18</v>
      </c>
      <c r="AE163" s="192">
        <v>94</v>
      </c>
      <c r="AF163" s="125">
        <f>ROUND(AE163*Valores!$C$2,2)</f>
        <v>3314.21</v>
      </c>
      <c r="AG163" s="125">
        <f>ROUND(IF($F$4="NO",Valores!$C$63,Valores!$C$63/2),2)</f>
        <v>8427.87</v>
      </c>
      <c r="AH163" s="125">
        <f t="shared" si="23"/>
        <v>343708.45</v>
      </c>
      <c r="AI163" s="125">
        <f>Valores!$C$31</f>
        <v>0</v>
      </c>
      <c r="AJ163" s="125">
        <f>Valores!$C$89</f>
        <v>0</v>
      </c>
      <c r="AK163" s="125">
        <f>Valores!C$38*B163</f>
        <v>0</v>
      </c>
      <c r="AL163" s="125">
        <f>IF($F$3="NO",0,224.5)</f>
        <v>0</v>
      </c>
      <c r="AM163" s="125">
        <f t="shared" si="21"/>
        <v>0</v>
      </c>
      <c r="AN163" s="125">
        <f>AH163*Valores!$C$71</f>
        <v>-37807.9295</v>
      </c>
      <c r="AO163" s="125">
        <f>AH163*-Valores!$C$72</f>
        <v>0</v>
      </c>
      <c r="AP163" s="125">
        <f>AH163*Valores!$C$73</f>
        <v>-15466.88025</v>
      </c>
      <c r="AQ163" s="125">
        <f>Valores!$C$100</f>
        <v>-554.86</v>
      </c>
      <c r="AR163" s="125">
        <f>IF($F$5=0,Valores!$C$101,(Valores!$C$101+$F$5*(Valores!$C$101)))</f>
        <v>-550</v>
      </c>
      <c r="AS163" s="125">
        <f t="shared" si="24"/>
        <v>289328.78025</v>
      </c>
      <c r="AT163" s="125">
        <f t="shared" si="18"/>
        <v>-37807.9295</v>
      </c>
      <c r="AU163" s="125">
        <f>AH163*Valores!$C$74</f>
        <v>-9280.12815</v>
      </c>
      <c r="AV163" s="125">
        <f>AH163*Valores!$C$75</f>
        <v>-1031.12535</v>
      </c>
      <c r="AW163" s="125">
        <f t="shared" si="22"/>
        <v>295589.267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3278.96</v>
      </c>
      <c r="G164" s="192">
        <v>2547</v>
      </c>
      <c r="H164" s="125">
        <f>ROUND(G164*Valores!$C$2,2)</f>
        <v>89801.11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23006.06</v>
      </c>
      <c r="N164" s="125">
        <f t="shared" si="19"/>
        <v>0</v>
      </c>
      <c r="O164" s="125">
        <f>Valores!$C$16</f>
        <v>30467.13</v>
      </c>
      <c r="P164" s="125">
        <f>Valores!$D$5</f>
        <v>18023.69</v>
      </c>
      <c r="Q164" s="125">
        <f>Valores!$C$22</f>
        <v>16079.99</v>
      </c>
      <c r="R164" s="125">
        <f>IF($F$4="NO",Valores!$C$47,Valores!$C$47/2)</f>
        <v>18842.02</v>
      </c>
      <c r="S164" s="125">
        <f>Valores!$C$19</f>
        <v>16771.31</v>
      </c>
      <c r="T164" s="125">
        <f t="shared" si="25"/>
        <v>16771.31</v>
      </c>
      <c r="U164" s="125">
        <v>0</v>
      </c>
      <c r="V164" s="125">
        <v>0</v>
      </c>
      <c r="W164" s="192">
        <v>700</v>
      </c>
      <c r="X164" s="125">
        <f>ROUND(W164*Valores!$C$2,2)</f>
        <v>24680.32</v>
      </c>
      <c r="Y164" s="125">
        <f>ROUND(SUM(J164,H164,F164,R164)*Valores!$C$3,2)</f>
        <v>16788.31</v>
      </c>
      <c r="Z164" s="125">
        <f>Valores!$C$96</f>
        <v>52428.78</v>
      </c>
      <c r="AA164" s="125">
        <f>Valores!$C$25</f>
        <v>737.18</v>
      </c>
      <c r="AB164" s="214">
        <v>0</v>
      </c>
      <c r="AC164" s="125">
        <f t="shared" si="20"/>
        <v>0</v>
      </c>
      <c r="AD164" s="125">
        <f>Valores!$C$26</f>
        <v>737.18</v>
      </c>
      <c r="AE164" s="192">
        <v>94</v>
      </c>
      <c r="AF164" s="125">
        <f>ROUND(AE164*Valores!$C$2,2)</f>
        <v>3314.21</v>
      </c>
      <c r="AG164" s="125">
        <f>ROUND(IF($F$4="NO",Valores!$C$63,Valores!$C$63/2),2)</f>
        <v>8427.87</v>
      </c>
      <c r="AH164" s="125">
        <f t="shared" si="23"/>
        <v>323384.12</v>
      </c>
      <c r="AI164" s="125">
        <f>Valores!$C$31</f>
        <v>0</v>
      </c>
      <c r="AJ164" s="125">
        <f>Valores!$C$89</f>
        <v>0</v>
      </c>
      <c r="AK164" s="125">
        <f>Valores!C$38*B164</f>
        <v>0</v>
      </c>
      <c r="AL164" s="125">
        <f>IF($F$3="NO",0,224.5)</f>
        <v>0</v>
      </c>
      <c r="AM164" s="125">
        <f t="shared" si="21"/>
        <v>0</v>
      </c>
      <c r="AN164" s="125">
        <f>AH164*Valores!$C$71</f>
        <v>-35572.2532</v>
      </c>
      <c r="AO164" s="125">
        <f>AH164*-Valores!$C$72</f>
        <v>0</v>
      </c>
      <c r="AP164" s="125">
        <f>AH164*Valores!$C$73</f>
        <v>-14552.285399999999</v>
      </c>
      <c r="AQ164" s="125">
        <f>Valores!$C$100</f>
        <v>-554.86</v>
      </c>
      <c r="AR164" s="125">
        <f>IF($F$5=0,Valores!$C$101,(Valores!$C$101+$F$5*(Valores!$C$101)))</f>
        <v>-550</v>
      </c>
      <c r="AS164" s="125">
        <f t="shared" si="24"/>
        <v>272154.7214</v>
      </c>
      <c r="AT164" s="125">
        <f t="shared" si="18"/>
        <v>-35572.2532</v>
      </c>
      <c r="AU164" s="125">
        <f>AH164*Valores!$C$74</f>
        <v>-8731.37124</v>
      </c>
      <c r="AV164" s="125">
        <f>AH164*Valores!$C$75</f>
        <v>-970.15236</v>
      </c>
      <c r="AW164" s="125">
        <f t="shared" si="22"/>
        <v>278110.3432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3137.93</v>
      </c>
      <c r="G165" s="192">
        <v>2251</v>
      </c>
      <c r="H165" s="125">
        <f>ROUND(G165*Valores!$C$2,2)</f>
        <v>79364.86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21419.47</v>
      </c>
      <c r="N165" s="125">
        <f t="shared" si="19"/>
        <v>0</v>
      </c>
      <c r="O165" s="125">
        <f>Valores!$C$16</f>
        <v>30467.13</v>
      </c>
      <c r="P165" s="125">
        <f>Valores!$D$5</f>
        <v>18023.69</v>
      </c>
      <c r="Q165" s="125">
        <f>Valores!$C$22</f>
        <v>16079.99</v>
      </c>
      <c r="R165" s="125">
        <f>IF($F$4="NO",Valores!$C$47,Valores!$C$47/2)</f>
        <v>18842.02</v>
      </c>
      <c r="S165" s="125">
        <f>Valores!$C$19</f>
        <v>16771.31</v>
      </c>
      <c r="T165" s="125">
        <f t="shared" si="25"/>
        <v>16771.31</v>
      </c>
      <c r="U165" s="125">
        <v>0</v>
      </c>
      <c r="V165" s="125">
        <v>0</v>
      </c>
      <c r="W165" s="192">
        <v>700</v>
      </c>
      <c r="X165" s="125">
        <f>ROUND(W165*Valores!$C$2,2)</f>
        <v>24680.32</v>
      </c>
      <c r="Y165" s="125">
        <f>ROUND(SUM(J165,H165,F165,R165)*Valores!$C$3,2)</f>
        <v>15201.72</v>
      </c>
      <c r="Z165" s="125">
        <f>Valores!$C$96</f>
        <v>52428.78</v>
      </c>
      <c r="AA165" s="125">
        <f>Valores!$C$25</f>
        <v>737.18</v>
      </c>
      <c r="AB165" s="214">
        <v>0</v>
      </c>
      <c r="AC165" s="125">
        <f t="shared" si="20"/>
        <v>0</v>
      </c>
      <c r="AD165" s="125">
        <f>Valores!$C$26</f>
        <v>737.18</v>
      </c>
      <c r="AE165" s="192">
        <v>94</v>
      </c>
      <c r="AF165" s="125">
        <f>ROUND(AE165*Valores!$C$2,2)</f>
        <v>3314.21</v>
      </c>
      <c r="AG165" s="125">
        <f>ROUND(IF($F$4="NO",Valores!$C$63,Valores!$C$63/2),2)</f>
        <v>8427.87</v>
      </c>
      <c r="AH165" s="125">
        <f t="shared" si="23"/>
        <v>309633.66</v>
      </c>
      <c r="AI165" s="125">
        <f>Valores!$C$31</f>
        <v>0</v>
      </c>
      <c r="AJ165" s="125">
        <f>Valores!$C$89</f>
        <v>0</v>
      </c>
      <c r="AK165" s="125">
        <f>Valores!C$38*B165</f>
        <v>0</v>
      </c>
      <c r="AL165" s="125">
        <f>IF($F$3="NO",0,224.5)</f>
        <v>0</v>
      </c>
      <c r="AM165" s="125">
        <f t="shared" si="21"/>
        <v>0</v>
      </c>
      <c r="AN165" s="125">
        <f>AH165*Valores!$C$71</f>
        <v>-34059.7026</v>
      </c>
      <c r="AO165" s="125">
        <f>AH165*-Valores!$C$72</f>
        <v>0</v>
      </c>
      <c r="AP165" s="125">
        <f>AH165*Valores!$C$73</f>
        <v>-13933.514699999998</v>
      </c>
      <c r="AQ165" s="125">
        <f>Valores!$C$100</f>
        <v>-554.86</v>
      </c>
      <c r="AR165" s="125">
        <f>IF($F$5=0,Valores!$C$101,(Valores!$C$101+$F$5*(Valores!$C$101)))</f>
        <v>-550</v>
      </c>
      <c r="AS165" s="125">
        <f t="shared" si="24"/>
        <v>260535.58269999997</v>
      </c>
      <c r="AT165" s="125">
        <f t="shared" si="18"/>
        <v>-34059.7026</v>
      </c>
      <c r="AU165" s="125">
        <f>AH165*Valores!$C$74</f>
        <v>-8360.10882</v>
      </c>
      <c r="AV165" s="125">
        <f>AH165*Valores!$C$75</f>
        <v>-928.9009799999999</v>
      </c>
      <c r="AW165" s="125">
        <f t="shared" si="22"/>
        <v>266284.94759999996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2926.38</v>
      </c>
      <c r="G166" s="192">
        <v>2352</v>
      </c>
      <c r="H166" s="125">
        <f>ROUND(G166*Valores!$C$2,2)</f>
        <v>82925.88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21921.89</v>
      </c>
      <c r="N166" s="125">
        <f t="shared" si="19"/>
        <v>0</v>
      </c>
      <c r="O166" s="125">
        <f>Valores!$C$16</f>
        <v>30467.13</v>
      </c>
      <c r="P166" s="125">
        <f>Valores!$D$5</f>
        <v>18023.69</v>
      </c>
      <c r="Q166" s="125">
        <v>0</v>
      </c>
      <c r="R166" s="125">
        <f>IF($F$4="NO",Valores!$C$47,Valores!$C$47/2)</f>
        <v>18842.02</v>
      </c>
      <c r="S166" s="125">
        <f>Valores!$C$19</f>
        <v>16771.31</v>
      </c>
      <c r="T166" s="125">
        <f t="shared" si="25"/>
        <v>16771.31</v>
      </c>
      <c r="U166" s="125">
        <v>0</v>
      </c>
      <c r="V166" s="125">
        <v>0</v>
      </c>
      <c r="W166" s="192">
        <v>700</v>
      </c>
      <c r="X166" s="125">
        <f>ROUND(W166*Valores!$C$2,2)</f>
        <v>24680.32</v>
      </c>
      <c r="Y166" s="125">
        <f>ROUND(SUM(J166,H166,F166,R166)*Valores!$C$3,2)</f>
        <v>15704.14</v>
      </c>
      <c r="Z166" s="125">
        <f>Valores!$C$96</f>
        <v>52428.78</v>
      </c>
      <c r="AA166" s="125">
        <f>Valores!$C$25</f>
        <v>737.18</v>
      </c>
      <c r="AB166" s="214">
        <v>0</v>
      </c>
      <c r="AC166" s="125">
        <f t="shared" si="20"/>
        <v>0</v>
      </c>
      <c r="AD166" s="125">
        <f>Valores!$C$26</f>
        <v>737.18</v>
      </c>
      <c r="AE166" s="192">
        <v>94</v>
      </c>
      <c r="AF166" s="125">
        <f>ROUND(AE166*Valores!$C$2,2)</f>
        <v>3314.21</v>
      </c>
      <c r="AG166" s="125">
        <f>ROUND(IF($F$4="NO",Valores!$C$63,Valores!$C$63/2),2)</f>
        <v>8427.87</v>
      </c>
      <c r="AH166" s="125">
        <f t="shared" si="23"/>
        <v>297907.98000000004</v>
      </c>
      <c r="AI166" s="125">
        <f>Valores!$C$31</f>
        <v>0</v>
      </c>
      <c r="AJ166" s="125">
        <f>Valores!$C$89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AH166*Valores!$C$71</f>
        <v>-32769.8778</v>
      </c>
      <c r="AO166" s="125">
        <f>AH166*-Valores!$C$72</f>
        <v>0</v>
      </c>
      <c r="AP166" s="125">
        <f>AH166*Valores!$C$73</f>
        <v>-13405.859100000001</v>
      </c>
      <c r="AQ166" s="125">
        <f>Valores!$C$100</f>
        <v>-554.86</v>
      </c>
      <c r="AR166" s="125">
        <f>IF($F$5=0,Valores!$C$101,(Valores!$C$101+$F$5*(Valores!$C$101)))</f>
        <v>-550</v>
      </c>
      <c r="AS166" s="125">
        <f t="shared" si="24"/>
        <v>250627.38310000004</v>
      </c>
      <c r="AT166" s="125">
        <f t="shared" si="18"/>
        <v>-32769.8778</v>
      </c>
      <c r="AU166" s="125">
        <f>AH166*Valores!$C$74</f>
        <v>-8043.5154600000005</v>
      </c>
      <c r="AV166" s="125">
        <f>AH166*Valores!$C$75</f>
        <v>-893.7239400000001</v>
      </c>
      <c r="AW166" s="125">
        <f t="shared" si="22"/>
        <v>256200.86280000003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2926.38</v>
      </c>
      <c r="G167" s="192">
        <v>2092</v>
      </c>
      <c r="H167" s="125">
        <f>ROUND(G167*Valores!$C$2,2)</f>
        <v>73758.9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20546.84</v>
      </c>
      <c r="N167" s="125">
        <f t="shared" si="19"/>
        <v>0</v>
      </c>
      <c r="O167" s="125">
        <f>Valores!$C$16</f>
        <v>30467.13</v>
      </c>
      <c r="P167" s="125">
        <f>Valores!$D$5</f>
        <v>18023.69</v>
      </c>
      <c r="Q167" s="125">
        <v>0</v>
      </c>
      <c r="R167" s="125">
        <f>IF($F$4="NO",Valores!$C$47,Valores!$C$47/2)</f>
        <v>18842.02</v>
      </c>
      <c r="S167" s="125">
        <f>Valores!$C$19</f>
        <v>16771.31</v>
      </c>
      <c r="T167" s="125">
        <f t="shared" si="25"/>
        <v>16771.31</v>
      </c>
      <c r="U167" s="125">
        <v>0</v>
      </c>
      <c r="V167" s="125">
        <v>0</v>
      </c>
      <c r="W167" s="192">
        <v>700</v>
      </c>
      <c r="X167" s="125">
        <f>ROUND(W167*Valores!$C$2,2)</f>
        <v>24680.32</v>
      </c>
      <c r="Y167" s="125">
        <f>ROUND(SUM(J167,H167,F167,R167)*Valores!$C$3,2)</f>
        <v>14329.1</v>
      </c>
      <c r="Z167" s="125">
        <f>Valores!$C$96</f>
        <v>52428.78</v>
      </c>
      <c r="AA167" s="125">
        <f>Valores!$C$25</f>
        <v>737.18</v>
      </c>
      <c r="AB167" s="214">
        <v>0</v>
      </c>
      <c r="AC167" s="125">
        <f t="shared" si="20"/>
        <v>0</v>
      </c>
      <c r="AD167" s="125">
        <f>Valores!$C$26</f>
        <v>737.18</v>
      </c>
      <c r="AE167" s="192">
        <v>94</v>
      </c>
      <c r="AF167" s="125">
        <f>ROUND(AE167*Valores!$C$2,2)</f>
        <v>3314.21</v>
      </c>
      <c r="AG167" s="125">
        <f>ROUND(IF($F$4="NO",Valores!$C$63,Valores!$C$63/2),2)</f>
        <v>8427.87</v>
      </c>
      <c r="AH167" s="125">
        <f t="shared" si="23"/>
        <v>285990.91</v>
      </c>
      <c r="AI167" s="125">
        <f>Valores!$C$31</f>
        <v>0</v>
      </c>
      <c r="AJ167" s="125">
        <f>Valores!$C$89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AH167*Valores!$C$71</f>
        <v>-31459.000099999997</v>
      </c>
      <c r="AO167" s="125">
        <f>AH167*-Valores!$C$72</f>
        <v>0</v>
      </c>
      <c r="AP167" s="125">
        <f>AH167*Valores!$C$73</f>
        <v>-12869.590949999998</v>
      </c>
      <c r="AQ167" s="125">
        <f>Valores!$C$100</f>
        <v>-554.86</v>
      </c>
      <c r="AR167" s="125">
        <f>IF($F$5=0,Valores!$C$101,(Valores!$C$101+$F$5*(Valores!$C$101)))</f>
        <v>-550</v>
      </c>
      <c r="AS167" s="125">
        <f t="shared" si="24"/>
        <v>240557.45894999997</v>
      </c>
      <c r="AT167" s="125">
        <f t="shared" si="18"/>
        <v>-31459.000099999997</v>
      </c>
      <c r="AU167" s="125">
        <f>AH167*Valores!$C$74</f>
        <v>-7721.754569999999</v>
      </c>
      <c r="AV167" s="125">
        <f>AH167*Valores!$C$75</f>
        <v>-857.97273</v>
      </c>
      <c r="AW167" s="125">
        <f t="shared" si="22"/>
        <v>245952.18259999997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2891.12</v>
      </c>
      <c r="G168" s="192">
        <v>1941</v>
      </c>
      <c r="H168" s="125">
        <f>ROUND(G168*Valores!$C$2,2)</f>
        <v>68435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19742.97</v>
      </c>
      <c r="N168" s="125">
        <f t="shared" si="19"/>
        <v>0</v>
      </c>
      <c r="O168" s="125">
        <f>Valores!$C$16</f>
        <v>30467.13</v>
      </c>
      <c r="P168" s="125">
        <f>Valores!$D$5</f>
        <v>18023.69</v>
      </c>
      <c r="Q168" s="125">
        <v>0</v>
      </c>
      <c r="R168" s="125">
        <f>IF($F$4="NO",Valores!$C$47,Valores!$C$47/2)</f>
        <v>18842.02</v>
      </c>
      <c r="S168" s="125">
        <f>Valores!$C$19</f>
        <v>16771.31</v>
      </c>
      <c r="T168" s="125">
        <f t="shared" si="25"/>
        <v>16771.31</v>
      </c>
      <c r="U168" s="125">
        <v>0</v>
      </c>
      <c r="V168" s="125">
        <v>0</v>
      </c>
      <c r="W168" s="192">
        <v>700</v>
      </c>
      <c r="X168" s="125">
        <f>ROUND(W168*Valores!$C$2,2)</f>
        <v>24680.32</v>
      </c>
      <c r="Y168" s="125">
        <f>ROUND(SUM(J168,H168,F168,R168)*Valores!$C$3,2)</f>
        <v>13525.22</v>
      </c>
      <c r="Z168" s="125">
        <f>Valores!$C$96</f>
        <v>52428.78</v>
      </c>
      <c r="AA168" s="125">
        <f>Valores!$C$25</f>
        <v>737.18</v>
      </c>
      <c r="AB168" s="214">
        <v>0</v>
      </c>
      <c r="AC168" s="125">
        <f t="shared" si="20"/>
        <v>0</v>
      </c>
      <c r="AD168" s="125">
        <f>Valores!$C$26</f>
        <v>737.18</v>
      </c>
      <c r="AE168" s="192">
        <v>94</v>
      </c>
      <c r="AF168" s="125">
        <f>ROUND(AE168*Valores!$C$2,2)</f>
        <v>3314.21</v>
      </c>
      <c r="AG168" s="125">
        <f>ROUND(IF($F$4="NO",Valores!$C$63,Valores!$C$63/2),2)</f>
        <v>8427.87</v>
      </c>
      <c r="AH168" s="125">
        <f t="shared" si="23"/>
        <v>279024</v>
      </c>
      <c r="AI168" s="125">
        <f>Valores!$C$31</f>
        <v>0</v>
      </c>
      <c r="AJ168" s="125">
        <f>Valores!$C$89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AH168*Valores!$C$71</f>
        <v>-30692.64</v>
      </c>
      <c r="AO168" s="125">
        <f>AH168*-Valores!$C$72</f>
        <v>0</v>
      </c>
      <c r="AP168" s="125">
        <f>AH168*Valores!$C$73</f>
        <v>-12556.08</v>
      </c>
      <c r="AQ168" s="125">
        <f>Valores!$C$100</f>
        <v>-554.86</v>
      </c>
      <c r="AR168" s="125">
        <f>IF($F$5=0,Valores!$C$101,(Valores!$C$101+$F$5*(Valores!$C$101)))</f>
        <v>-550</v>
      </c>
      <c r="AS168" s="125">
        <f t="shared" si="24"/>
        <v>234670.41999999998</v>
      </c>
      <c r="AT168" s="125">
        <f t="shared" si="18"/>
        <v>-30692.64</v>
      </c>
      <c r="AU168" s="125">
        <f>AH168*Valores!$C$74</f>
        <v>-7533.648</v>
      </c>
      <c r="AV168" s="125">
        <f>AH168*Valores!$C$75</f>
        <v>-837.072</v>
      </c>
      <c r="AW168" s="125">
        <f t="shared" si="22"/>
        <v>239960.64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2785.35</v>
      </c>
      <c r="G169" s="192">
        <v>2161</v>
      </c>
      <c r="H169" s="125">
        <f>ROUND(G169*Valores!$C$2,2)</f>
        <v>76191.67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20890.6</v>
      </c>
      <c r="N169" s="125">
        <f t="shared" si="19"/>
        <v>0</v>
      </c>
      <c r="O169" s="125">
        <f>Valores!$C$16</f>
        <v>30467.13</v>
      </c>
      <c r="P169" s="125">
        <f>Valores!$D$5</f>
        <v>18023.69</v>
      </c>
      <c r="Q169" s="125">
        <v>0</v>
      </c>
      <c r="R169" s="125">
        <f>IF($F$4="NO",Valores!$C$47,Valores!$C$47/2)</f>
        <v>18842.02</v>
      </c>
      <c r="S169" s="125">
        <f>Valores!$C$19</f>
        <v>16771.31</v>
      </c>
      <c r="T169" s="125">
        <f t="shared" si="25"/>
        <v>16771.31</v>
      </c>
      <c r="U169" s="125">
        <v>0</v>
      </c>
      <c r="V169" s="125">
        <v>0</v>
      </c>
      <c r="W169" s="192">
        <v>700</v>
      </c>
      <c r="X169" s="125">
        <f>ROUND(W169*Valores!$C$2,2)</f>
        <v>24680.32</v>
      </c>
      <c r="Y169" s="125">
        <f>ROUND(SUM(J169,H169,F169,R169)*Valores!$C$3,2)</f>
        <v>14672.86</v>
      </c>
      <c r="Z169" s="125">
        <f>Valores!$C$96</f>
        <v>52428.78</v>
      </c>
      <c r="AA169" s="125">
        <f>Valores!$C$25</f>
        <v>737.18</v>
      </c>
      <c r="AB169" s="214">
        <v>0</v>
      </c>
      <c r="AC169" s="125">
        <f t="shared" si="20"/>
        <v>0</v>
      </c>
      <c r="AD169" s="125">
        <f>Valores!$C$26</f>
        <v>737.18</v>
      </c>
      <c r="AE169" s="192">
        <v>94</v>
      </c>
      <c r="AF169" s="125">
        <f>ROUND(AE169*Valores!$C$2,2)</f>
        <v>3314.21</v>
      </c>
      <c r="AG169" s="125">
        <f>ROUND(IF($F$4="NO",Valores!$C$63,Valores!$C$63/2),2)</f>
        <v>8427.87</v>
      </c>
      <c r="AH169" s="125">
        <f t="shared" si="23"/>
        <v>288970.17</v>
      </c>
      <c r="AI169" s="125">
        <f>Valores!$C$31</f>
        <v>0</v>
      </c>
      <c r="AJ169" s="125">
        <f>Valores!$C$89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AH169*Valores!$C$71</f>
        <v>-31786.718699999998</v>
      </c>
      <c r="AO169" s="125">
        <f>AH169*-Valores!$C$72</f>
        <v>0</v>
      </c>
      <c r="AP169" s="125">
        <f>AH169*Valores!$C$73</f>
        <v>-13003.65765</v>
      </c>
      <c r="AQ169" s="125">
        <f>Valores!$C$100</f>
        <v>-554.86</v>
      </c>
      <c r="AR169" s="125">
        <f>IF($F$5=0,Valores!$C$101,(Valores!$C$101+$F$5*(Valores!$C$101)))</f>
        <v>-550</v>
      </c>
      <c r="AS169" s="125">
        <f t="shared" si="24"/>
        <v>243074.93365</v>
      </c>
      <c r="AT169" s="125">
        <f t="shared" si="18"/>
        <v>-31786.718699999998</v>
      </c>
      <c r="AU169" s="125">
        <f>AH169*Valores!$C$74</f>
        <v>-7802.194589999999</v>
      </c>
      <c r="AV169" s="125">
        <f>AH169*Valores!$C$75</f>
        <v>-866.9105099999999</v>
      </c>
      <c r="AW169" s="125">
        <f t="shared" si="22"/>
        <v>248514.34619999997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3455.24</v>
      </c>
      <c r="G170" s="192">
        <v>2686</v>
      </c>
      <c r="H170" s="125">
        <f>ROUND(G170*Valores!$C$2,2)</f>
        <v>94701.91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23767.62</v>
      </c>
      <c r="N170" s="125">
        <f t="shared" si="19"/>
        <v>0</v>
      </c>
      <c r="O170" s="125">
        <f>Valores!$C$16</f>
        <v>30467.13</v>
      </c>
      <c r="P170" s="125">
        <f>Valores!$D$5</f>
        <v>18023.69</v>
      </c>
      <c r="Q170" s="125">
        <v>0</v>
      </c>
      <c r="R170" s="125">
        <f>IF($F$4="NO",Valores!$C$47,Valores!$C$47/2)</f>
        <v>18842.02</v>
      </c>
      <c r="S170" s="125">
        <f>Valores!$C$19</f>
        <v>16771.31</v>
      </c>
      <c r="T170" s="125">
        <f t="shared" si="25"/>
        <v>16771.31</v>
      </c>
      <c r="U170" s="125">
        <v>0</v>
      </c>
      <c r="V170" s="125">
        <v>0</v>
      </c>
      <c r="W170" s="192">
        <v>700</v>
      </c>
      <c r="X170" s="125">
        <f>ROUND(W170*Valores!$C$2,2)</f>
        <v>24680.32</v>
      </c>
      <c r="Y170" s="125">
        <f>ROUND(SUM(J170,H170,F170,R170)*Valores!$C$3,2)</f>
        <v>17549.88</v>
      </c>
      <c r="Z170" s="125">
        <f>Valores!$C$96</f>
        <v>52428.78</v>
      </c>
      <c r="AA170" s="125">
        <f>Valores!$C$25</f>
        <v>737.18</v>
      </c>
      <c r="AB170" s="214">
        <v>0</v>
      </c>
      <c r="AC170" s="125">
        <f t="shared" si="20"/>
        <v>0</v>
      </c>
      <c r="AD170" s="125">
        <f>Valores!$C$26</f>
        <v>737.18</v>
      </c>
      <c r="AE170" s="192">
        <v>0</v>
      </c>
      <c r="AF170" s="125">
        <f>ROUND(AE170*Valores!$C$2,2)</f>
        <v>0</v>
      </c>
      <c r="AG170" s="125">
        <f>ROUND(IF($F$4="NO",Valores!$C$63,Valores!$C$63/2),2)</f>
        <v>8427.87</v>
      </c>
      <c r="AH170" s="125">
        <f t="shared" si="23"/>
        <v>310590.13</v>
      </c>
      <c r="AI170" s="125">
        <f>Valores!$C$31</f>
        <v>0</v>
      </c>
      <c r="AJ170" s="125">
        <f>Valores!$C$89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AH170*Valores!$C$71</f>
        <v>-34164.914300000004</v>
      </c>
      <c r="AO170" s="125">
        <f>AH170*-Valores!$C$72</f>
        <v>0</v>
      </c>
      <c r="AP170" s="125">
        <f>AH170*Valores!$C$73</f>
        <v>-13976.555849999999</v>
      </c>
      <c r="AQ170" s="125">
        <f>Valores!$C$100</f>
        <v>-554.86</v>
      </c>
      <c r="AR170" s="125">
        <f>IF($F$5=0,Valores!$C$101,(Valores!$C$101+$F$5*(Valores!$C$101)))</f>
        <v>-550</v>
      </c>
      <c r="AS170" s="125">
        <f t="shared" si="24"/>
        <v>261343.79985</v>
      </c>
      <c r="AT170" s="125">
        <f t="shared" si="18"/>
        <v>-34164.914300000004</v>
      </c>
      <c r="AU170" s="125">
        <f>AH170*Valores!$C$74</f>
        <v>-8385.93351</v>
      </c>
      <c r="AV170" s="125">
        <f>AH170*Valores!$C$75</f>
        <v>-931.77039</v>
      </c>
      <c r="AW170" s="125">
        <f t="shared" si="22"/>
        <v>267107.5118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3278.96</v>
      </c>
      <c r="G171" s="192">
        <v>2547</v>
      </c>
      <c r="H171" s="125">
        <f>ROUND(G171*Valores!$C$2,2)</f>
        <v>89801.11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23006.06</v>
      </c>
      <c r="N171" s="125">
        <f t="shared" si="19"/>
        <v>0</v>
      </c>
      <c r="O171" s="125">
        <f>Valores!$C$16</f>
        <v>30467.13</v>
      </c>
      <c r="P171" s="125">
        <f>Valores!$D$5</f>
        <v>18023.69</v>
      </c>
      <c r="Q171" s="125">
        <v>0</v>
      </c>
      <c r="R171" s="125">
        <f>IF($F$4="NO",Valores!$C$47,Valores!$C$47/2)</f>
        <v>18842.02</v>
      </c>
      <c r="S171" s="125">
        <f>Valores!$C$19</f>
        <v>16771.31</v>
      </c>
      <c r="T171" s="125">
        <f t="shared" si="25"/>
        <v>16771.31</v>
      </c>
      <c r="U171" s="125">
        <v>0</v>
      </c>
      <c r="V171" s="125">
        <v>0</v>
      </c>
      <c r="W171" s="192">
        <v>700</v>
      </c>
      <c r="X171" s="125">
        <f>ROUND(W171*Valores!$C$2,2)</f>
        <v>24680.32</v>
      </c>
      <c r="Y171" s="125">
        <f>ROUND(SUM(J171,H171,F171,R171)*Valores!$C$3,2)</f>
        <v>16788.31</v>
      </c>
      <c r="Z171" s="125">
        <f>Valores!$C$96</f>
        <v>52428.78</v>
      </c>
      <c r="AA171" s="125">
        <f>Valores!$C$25</f>
        <v>737.18</v>
      </c>
      <c r="AB171" s="214">
        <v>0</v>
      </c>
      <c r="AC171" s="125">
        <f t="shared" si="20"/>
        <v>0</v>
      </c>
      <c r="AD171" s="125">
        <f>Valores!$C$26</f>
        <v>737.18</v>
      </c>
      <c r="AE171" s="192">
        <v>0</v>
      </c>
      <c r="AF171" s="125">
        <f>ROUND(AE171*Valores!$C$2,2)</f>
        <v>0</v>
      </c>
      <c r="AG171" s="125">
        <f>ROUND(IF($F$4="NO",Valores!$C$63,Valores!$C$63/2),2)</f>
        <v>8427.87</v>
      </c>
      <c r="AH171" s="125">
        <f t="shared" si="23"/>
        <v>303989.92</v>
      </c>
      <c r="AI171" s="125">
        <f>Valores!$C$31</f>
        <v>0</v>
      </c>
      <c r="AJ171" s="125">
        <f>Valores!$C$89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AH171*Valores!$C$71</f>
        <v>-33438.8912</v>
      </c>
      <c r="AO171" s="125">
        <f>AH171*-Valores!$C$72</f>
        <v>0</v>
      </c>
      <c r="AP171" s="125">
        <f>AH171*Valores!$C$73</f>
        <v>-13679.5464</v>
      </c>
      <c r="AQ171" s="125">
        <f>Valores!$C$100</f>
        <v>-554.86</v>
      </c>
      <c r="AR171" s="125">
        <f>IF($F$5=0,Valores!$C$101,(Valores!$C$101+$F$5*(Valores!$C$101)))</f>
        <v>-550</v>
      </c>
      <c r="AS171" s="125">
        <f t="shared" si="24"/>
        <v>255766.6224</v>
      </c>
      <c r="AT171" s="125">
        <f t="shared" si="18"/>
        <v>-33438.8912</v>
      </c>
      <c r="AU171" s="125">
        <f>AH171*Valores!$C$74</f>
        <v>-8207.72784</v>
      </c>
      <c r="AV171" s="125">
        <f>AH171*Valores!$C$75</f>
        <v>-911.96976</v>
      </c>
      <c r="AW171" s="125">
        <f t="shared" si="22"/>
        <v>261431.3312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45059.21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16860.66</v>
      </c>
      <c r="N172" s="125">
        <f t="shared" si="19"/>
        <v>0</v>
      </c>
      <c r="O172" s="125">
        <f>Valores!$C$16</f>
        <v>30467.13</v>
      </c>
      <c r="P172" s="125">
        <f>Valores!$D$5</f>
        <v>18023.69</v>
      </c>
      <c r="Q172" s="125">
        <v>0</v>
      </c>
      <c r="R172" s="125">
        <f>IF($F$4="NO",Valores!$C$47,Valores!$C$47/2)</f>
        <v>18842.02</v>
      </c>
      <c r="S172" s="125">
        <f>Valores!$C$19</f>
        <v>16771.31</v>
      </c>
      <c r="T172" s="125">
        <f t="shared" si="25"/>
        <v>16771.31</v>
      </c>
      <c r="U172" s="125">
        <v>0</v>
      </c>
      <c r="V172" s="125">
        <v>0</v>
      </c>
      <c r="W172" s="192">
        <v>900</v>
      </c>
      <c r="X172" s="125">
        <f>ROUND(W172*Valores!$C$2,2)</f>
        <v>31731.84</v>
      </c>
      <c r="Y172" s="125">
        <f>ROUND(SUM(J172,H172,F172,R172)*Valores!$C$3,2)</f>
        <v>9585.18</v>
      </c>
      <c r="Z172" s="125">
        <f>Valores!$C$96</f>
        <v>52428.78</v>
      </c>
      <c r="AA172" s="125">
        <f>Valores!$C$25</f>
        <v>737.18</v>
      </c>
      <c r="AB172" s="214">
        <v>0</v>
      </c>
      <c r="AC172" s="125">
        <f t="shared" si="20"/>
        <v>0</v>
      </c>
      <c r="AD172" s="125">
        <f>Valores!$C$26</f>
        <v>737.18</v>
      </c>
      <c r="AE172" s="192">
        <v>94</v>
      </c>
      <c r="AF172" s="125">
        <f>ROUND(AE172*Valores!$C$2,2)</f>
        <v>3314.21</v>
      </c>
      <c r="AG172" s="125">
        <f>ROUND(IF($F$4="NO",Valores!$C$63,Valores!$C$63/2),2)</f>
        <v>8427.87</v>
      </c>
      <c r="AH172" s="125">
        <f t="shared" si="23"/>
        <v>252986.25999999998</v>
      </c>
      <c r="AI172" s="125">
        <f>Valores!$C$31</f>
        <v>0</v>
      </c>
      <c r="AJ172" s="125">
        <f>Valores!$C$89</f>
        <v>0</v>
      </c>
      <c r="AK172" s="125">
        <f>Valores!C$38*B172</f>
        <v>0</v>
      </c>
      <c r="AL172" s="125">
        <f>IF($F$3="NO",0,Valores!$C$55)</f>
        <v>0</v>
      </c>
      <c r="AM172" s="125">
        <f t="shared" si="21"/>
        <v>0</v>
      </c>
      <c r="AN172" s="125">
        <f>AH172*Valores!$C$71</f>
        <v>-27828.488599999997</v>
      </c>
      <c r="AO172" s="125">
        <f>AH172*-Valores!$C$72</f>
        <v>0</v>
      </c>
      <c r="AP172" s="125">
        <f>AH172*Valores!$C$73</f>
        <v>-11384.381699999998</v>
      </c>
      <c r="AQ172" s="125">
        <f>Valores!$C$100</f>
        <v>-554.86</v>
      </c>
      <c r="AR172" s="125">
        <f>IF($F$5=0,Valores!$C$101,(Valores!$C$101+$F$5*(Valores!$C$101)))</f>
        <v>-550</v>
      </c>
      <c r="AS172" s="125">
        <f t="shared" si="24"/>
        <v>212668.52969999998</v>
      </c>
      <c r="AT172" s="125">
        <f t="shared" si="18"/>
        <v>-27828.488599999997</v>
      </c>
      <c r="AU172" s="125">
        <f>AH172*Valores!$C$74</f>
        <v>-6830.629019999999</v>
      </c>
      <c r="AV172" s="125">
        <f>AH172*Valores!$C$75</f>
        <v>-758.9587799999999</v>
      </c>
      <c r="AW172" s="125">
        <f t="shared" si="22"/>
        <v>217568.1836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7650.9</v>
      </c>
      <c r="G173" s="192">
        <f>2245</f>
        <v>2245</v>
      </c>
      <c r="H173" s="125">
        <f>ROUND(G173*Valores!$C$2,2)</f>
        <v>79153.31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45834.88</v>
      </c>
      <c r="M173" s="125">
        <f>ROUND(IF($H$2=0,IF(AND(A173&lt;&gt;"13-930",A173&lt;&gt;"13-940"),(SUM(F173,H173,J173,L173,X173,T173,R173)*Valores!$C$4),0),0),2)</f>
        <v>25237.86</v>
      </c>
      <c r="N173" s="125">
        <f t="shared" si="19"/>
        <v>0</v>
      </c>
      <c r="O173" s="125">
        <f>Valores!$C$9</f>
        <v>44305.44</v>
      </c>
      <c r="P173" s="125">
        <f>Valores!$D$5</f>
        <v>18023.69</v>
      </c>
      <c r="Q173" s="125">
        <f>Valores!$C$22</f>
        <v>16079.99</v>
      </c>
      <c r="R173" s="125">
        <f>IF($F$4="NO",Valores!$C$47,Valores!$C$47/2)</f>
        <v>18842.02</v>
      </c>
      <c r="S173" s="125">
        <f>Valores!$C$19</f>
        <v>16771.31</v>
      </c>
      <c r="T173" s="125">
        <f t="shared" si="25"/>
        <v>16771.31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52428.78</v>
      </c>
      <c r="AA173" s="125">
        <f>Valores!$C$25</f>
        <v>737.18</v>
      </c>
      <c r="AB173" s="214">
        <v>0</v>
      </c>
      <c r="AC173" s="125">
        <f t="shared" si="20"/>
        <v>0</v>
      </c>
      <c r="AD173" s="125">
        <f>Valores!$C$26</f>
        <v>737.18</v>
      </c>
      <c r="AE173" s="192">
        <v>0</v>
      </c>
      <c r="AF173" s="125">
        <f>ROUND(AE173*Valores!$C$2,2)</f>
        <v>0</v>
      </c>
      <c r="AG173" s="125">
        <f>ROUND(IF($F$4="NO",Valores!$C$63,Valores!$C$63/2),2)</f>
        <v>8427.87</v>
      </c>
      <c r="AH173" s="125">
        <f t="shared" si="23"/>
        <v>334230.41000000003</v>
      </c>
      <c r="AI173" s="125">
        <f>Valores!$C$31</f>
        <v>0</v>
      </c>
      <c r="AJ173" s="125">
        <f>Valores!$C$89</f>
        <v>0</v>
      </c>
      <c r="AK173" s="125">
        <f>Valores!C$38*B173</f>
        <v>0</v>
      </c>
      <c r="AL173" s="125">
        <f>IF($F$3="NO",0,Valores!$C$55)</f>
        <v>0</v>
      </c>
      <c r="AM173" s="125">
        <f t="shared" si="21"/>
        <v>0</v>
      </c>
      <c r="AN173" s="125">
        <f>AH173*Valores!$C$71</f>
        <v>-36765.345100000006</v>
      </c>
      <c r="AO173" s="125">
        <f>AH173*-Valores!$C$72</f>
        <v>0</v>
      </c>
      <c r="AP173" s="125">
        <f>AH173*Valores!$C$73</f>
        <v>-15040.368450000002</v>
      </c>
      <c r="AQ173" s="125">
        <f>Valores!$C$100</f>
        <v>-554.86</v>
      </c>
      <c r="AR173" s="125">
        <f>IF($F$5=0,Valores!$C$101,(Valores!$C$101+$F$5*(Valores!$C$101)))</f>
        <v>-550</v>
      </c>
      <c r="AS173" s="125">
        <f t="shared" si="24"/>
        <v>281319.83645</v>
      </c>
      <c r="AT173" s="125">
        <f t="shared" si="18"/>
        <v>-36765.345100000006</v>
      </c>
      <c r="AU173" s="125">
        <f>AH173*Valores!$C$74</f>
        <v>-9024.221070000001</v>
      </c>
      <c r="AV173" s="125">
        <f>AH173*Valores!$C$75</f>
        <v>-1002.6912300000001</v>
      </c>
      <c r="AW173" s="125">
        <f t="shared" si="22"/>
        <v>287438.15260000003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6522.66</v>
      </c>
      <c r="G174" s="192">
        <f>1835</f>
        <v>1835</v>
      </c>
      <c r="H174" s="125">
        <f>ROUND(G174*Valores!$C$2,2)</f>
        <v>64697.7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45834.88</v>
      </c>
      <c r="M174" s="125">
        <f>ROUND(IF($H$2=0,IF(AND(A174&lt;&gt;"13-930",A174&lt;&gt;"13-940"),(SUM(F174,H174,J174,L174,X174,T174,R174)*Valores!$C$4),0),0),2)</f>
        <v>22900.29</v>
      </c>
      <c r="N174" s="125">
        <f t="shared" si="19"/>
        <v>0</v>
      </c>
      <c r="O174" s="125">
        <f>Valores!$C$9</f>
        <v>44305.44</v>
      </c>
      <c r="P174" s="125">
        <f>Valores!$D$5</f>
        <v>18023.69</v>
      </c>
      <c r="Q174" s="125">
        <f>Valores!$C$22</f>
        <v>16079.99</v>
      </c>
      <c r="R174" s="125">
        <f>IF($F$4="NO",Valores!$C$47,Valores!$C$47/2)</f>
        <v>18842.02</v>
      </c>
      <c r="S174" s="125">
        <f>Valores!$C$19</f>
        <v>16771.31</v>
      </c>
      <c r="T174" s="125">
        <f t="shared" si="25"/>
        <v>16771.31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52428.78</v>
      </c>
      <c r="AA174" s="125">
        <f>Valores!$C$25</f>
        <v>737.18</v>
      </c>
      <c r="AB174" s="214">
        <v>0</v>
      </c>
      <c r="AC174" s="125">
        <f t="shared" si="20"/>
        <v>0</v>
      </c>
      <c r="AD174" s="125">
        <f>Valores!$C$26</f>
        <v>737.18</v>
      </c>
      <c r="AE174" s="192">
        <v>0</v>
      </c>
      <c r="AF174" s="125">
        <f>ROUND(AE174*Valores!$C$2,2)</f>
        <v>0</v>
      </c>
      <c r="AG174" s="125">
        <f>ROUND(IF($F$4="NO",Valores!$C$63,Valores!$C$63/2),2)</f>
        <v>8427.87</v>
      </c>
      <c r="AH174" s="125">
        <f t="shared" si="23"/>
        <v>316308.99</v>
      </c>
      <c r="AI174" s="125">
        <f>Valores!$C$31</f>
        <v>0</v>
      </c>
      <c r="AJ174" s="125">
        <f>Valores!$C$89</f>
        <v>0</v>
      </c>
      <c r="AK174" s="125">
        <f>Valores!C$38*B174</f>
        <v>0</v>
      </c>
      <c r="AL174" s="125">
        <f>IF($F$3="NO",0,Valores!$C$55)</f>
        <v>0</v>
      </c>
      <c r="AM174" s="125">
        <f t="shared" si="21"/>
        <v>0</v>
      </c>
      <c r="AN174" s="125">
        <f>AH174*Valores!$C$71</f>
        <v>-34793.9889</v>
      </c>
      <c r="AO174" s="125">
        <f>AH174*-Valores!$C$72</f>
        <v>0</v>
      </c>
      <c r="AP174" s="125">
        <f>AH174*Valores!$C$73</f>
        <v>-14233.90455</v>
      </c>
      <c r="AQ174" s="125">
        <f>Valores!$C$100</f>
        <v>-554.86</v>
      </c>
      <c r="AR174" s="125">
        <f>IF($F$5=0,Valores!$C$101,(Valores!$C$101+$F$5*(Valores!$C$101)))</f>
        <v>-550</v>
      </c>
      <c r="AS174" s="125">
        <f t="shared" si="24"/>
        <v>266176.23655</v>
      </c>
      <c r="AT174" s="125">
        <f t="shared" si="18"/>
        <v>-34793.9889</v>
      </c>
      <c r="AU174" s="125">
        <f>AH174*Valores!$C$74</f>
        <v>-8540.34273</v>
      </c>
      <c r="AV174" s="125">
        <f>AH174*Valores!$C$75</f>
        <v>-948.92697</v>
      </c>
      <c r="AW174" s="125">
        <f t="shared" si="22"/>
        <v>272025.7314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5641.22</v>
      </c>
      <c r="G175" s="192">
        <f>1484</f>
        <v>1484</v>
      </c>
      <c r="H175" s="125">
        <f>ROUND(G175*Valores!$C$2,2)</f>
        <v>52322.28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45834.88</v>
      </c>
      <c r="M175" s="125">
        <f>ROUND(IF($H$2=0,IF(AND(A175&lt;&gt;"13-930",A175&lt;&gt;"13-940"),(SUM(F175,H175,J175,L175,X175,T175,R175)*Valores!$C$4),0),0),2)</f>
        <v>20911.76</v>
      </c>
      <c r="N175" s="125">
        <f t="shared" si="19"/>
        <v>0</v>
      </c>
      <c r="O175" s="125">
        <f>Valores!$C$9</f>
        <v>44305.44</v>
      </c>
      <c r="P175" s="125">
        <f>Valores!$D$5</f>
        <v>18023.69</v>
      </c>
      <c r="Q175" s="125">
        <f>Valores!$C$22</f>
        <v>16079.99</v>
      </c>
      <c r="R175" s="125">
        <f>IF($F$4="NO",Valores!$C$47,Valores!$C$47/2)</f>
        <v>18842.02</v>
      </c>
      <c r="S175" s="125">
        <f>Valores!$C$19</f>
        <v>16771.31</v>
      </c>
      <c r="T175" s="125">
        <f t="shared" si="25"/>
        <v>16771.31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52428.78</v>
      </c>
      <c r="AA175" s="125">
        <f>Valores!$C$25</f>
        <v>737.18</v>
      </c>
      <c r="AB175" s="214">
        <v>0</v>
      </c>
      <c r="AC175" s="125">
        <f t="shared" si="20"/>
        <v>0</v>
      </c>
      <c r="AD175" s="125">
        <f>Valores!$C$26</f>
        <v>737.18</v>
      </c>
      <c r="AE175" s="192">
        <v>0</v>
      </c>
      <c r="AF175" s="125">
        <f>ROUND(AE175*Valores!$C$2,2)</f>
        <v>0</v>
      </c>
      <c r="AG175" s="125">
        <f>ROUND(IF($F$4="NO",Valores!$C$63,Valores!$C$63/2),2)</f>
        <v>8427.87</v>
      </c>
      <c r="AH175" s="125">
        <f t="shared" si="23"/>
        <v>301063.6</v>
      </c>
      <c r="AI175" s="125">
        <f>Valores!$C$31</f>
        <v>0</v>
      </c>
      <c r="AJ175" s="125">
        <f>Valores!$C$89</f>
        <v>0</v>
      </c>
      <c r="AK175" s="125">
        <f>Valores!C$38*B175</f>
        <v>0</v>
      </c>
      <c r="AL175" s="125">
        <f>IF($F$3="NO",0,Valores!$C$55)</f>
        <v>0</v>
      </c>
      <c r="AM175" s="125">
        <f t="shared" si="21"/>
        <v>0</v>
      </c>
      <c r="AN175" s="125">
        <f>AH175*Valores!$C$71</f>
        <v>-33116.996</v>
      </c>
      <c r="AO175" s="125">
        <f>AH175*-Valores!$C$72</f>
        <v>0</v>
      </c>
      <c r="AP175" s="125">
        <f>AH175*Valores!$C$73</f>
        <v>-13547.862</v>
      </c>
      <c r="AQ175" s="125">
        <f>Valores!$C$100</f>
        <v>-554.86</v>
      </c>
      <c r="AR175" s="125">
        <f>IF($F$5=0,Valores!$C$101,(Valores!$C$101+$F$5*(Valores!$C$101)))</f>
        <v>-550</v>
      </c>
      <c r="AS175" s="125">
        <f t="shared" si="24"/>
        <v>253293.88199999998</v>
      </c>
      <c r="AT175" s="125">
        <f t="shared" si="18"/>
        <v>-33116.996</v>
      </c>
      <c r="AU175" s="125">
        <f>AH175*Valores!$C$74</f>
        <v>-8128.717199999999</v>
      </c>
      <c r="AV175" s="125">
        <f>AH175*Valores!$C$75</f>
        <v>-903.1908</v>
      </c>
      <c r="AW175" s="125">
        <f t="shared" si="22"/>
        <v>258914.696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6275.85</v>
      </c>
      <c r="G176" s="192">
        <f>1842</f>
        <v>1842</v>
      </c>
      <c r="H176" s="125">
        <f>ROUND(G176*Valores!$C$2,2)</f>
        <v>64944.5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45834.88</v>
      </c>
      <c r="M176" s="125">
        <f>ROUND(IF($H$2=0,IF(AND(A176&lt;&gt;"13-930",A176&lt;&gt;"13-940"),(SUM(F176,H176,J176,L176,X176,T176,R176)*Valores!$C$4),0),0),2)</f>
        <v>22900.28</v>
      </c>
      <c r="N176" s="125">
        <f t="shared" si="19"/>
        <v>0</v>
      </c>
      <c r="O176" s="125">
        <f>Valores!$C$9</f>
        <v>44305.44</v>
      </c>
      <c r="P176" s="125">
        <f>Valores!$D$5</f>
        <v>18023.69</v>
      </c>
      <c r="Q176" s="125">
        <f>Valores!$C$22</f>
        <v>16079.99</v>
      </c>
      <c r="R176" s="125">
        <f>IF($F$4="NO",Valores!$C$47,Valores!$C$47/2)</f>
        <v>18842.02</v>
      </c>
      <c r="S176" s="125">
        <f>Valores!$C$19</f>
        <v>16771.31</v>
      </c>
      <c r="T176" s="125">
        <f t="shared" si="25"/>
        <v>16771.31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52428.78</v>
      </c>
      <c r="AA176" s="125">
        <f>Valores!$C$25</f>
        <v>737.18</v>
      </c>
      <c r="AB176" s="214">
        <v>0</v>
      </c>
      <c r="AC176" s="125">
        <f t="shared" si="20"/>
        <v>0</v>
      </c>
      <c r="AD176" s="125">
        <f>Valores!$C$26</f>
        <v>737.18</v>
      </c>
      <c r="AE176" s="192">
        <v>0</v>
      </c>
      <c r="AF176" s="125">
        <f>ROUND(AE176*Valores!$C$2,2)</f>
        <v>0</v>
      </c>
      <c r="AG176" s="125">
        <f>ROUND(IF($F$4="NO",Valores!$C$63,Valores!$C$63/2),2)</f>
        <v>8427.87</v>
      </c>
      <c r="AH176" s="125">
        <f t="shared" si="23"/>
        <v>316308.97</v>
      </c>
      <c r="AI176" s="125">
        <f>Valores!$C$31</f>
        <v>0</v>
      </c>
      <c r="AJ176" s="125">
        <f>Valores!$C$89</f>
        <v>0</v>
      </c>
      <c r="AK176" s="125">
        <f>Valores!C$38*B176</f>
        <v>0</v>
      </c>
      <c r="AL176" s="125">
        <f>IF($F$3="NO",0,Valores!$C$55)</f>
        <v>0</v>
      </c>
      <c r="AM176" s="125">
        <f t="shared" si="21"/>
        <v>0</v>
      </c>
      <c r="AN176" s="125">
        <f>AH176*Valores!$C$71</f>
        <v>-34793.986699999994</v>
      </c>
      <c r="AO176" s="125">
        <f>AH176*-Valores!$C$72</f>
        <v>0</v>
      </c>
      <c r="AP176" s="125">
        <f>AH176*Valores!$C$73</f>
        <v>-14233.903649999998</v>
      </c>
      <c r="AQ176" s="125">
        <f>Valores!$C$100</f>
        <v>-554.86</v>
      </c>
      <c r="AR176" s="125">
        <f>IF($F$5=0,Valores!$C$101,(Valores!$C$101+$F$5*(Valores!$C$101)))</f>
        <v>-550</v>
      </c>
      <c r="AS176" s="125">
        <f t="shared" si="24"/>
        <v>266176.21965</v>
      </c>
      <c r="AT176" s="125">
        <f t="shared" si="18"/>
        <v>-34793.986699999994</v>
      </c>
      <c r="AU176" s="125">
        <f>AH176*Valores!$C$74</f>
        <v>-8540.34219</v>
      </c>
      <c r="AV176" s="125">
        <f>AH176*Valores!$C$75</f>
        <v>-948.9269099999999</v>
      </c>
      <c r="AW176" s="125">
        <f t="shared" si="22"/>
        <v>272025.7142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45059.21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42309.12</v>
      </c>
      <c r="M177" s="125">
        <f>ROUND(IF($H$2=0,IF(AND(A177&lt;&gt;"13-930",A177&lt;&gt;"13-940"),(SUM(F177,H177,J177,L177,X177,T177,R177)*Valores!$C$4),0),0),2)</f>
        <v>18447.25</v>
      </c>
      <c r="N177" s="125">
        <f t="shared" si="19"/>
        <v>0</v>
      </c>
      <c r="O177" s="125">
        <f>Valores!$C$16</f>
        <v>30467.13</v>
      </c>
      <c r="P177" s="125">
        <f>Valores!$D$5</f>
        <v>18023.69</v>
      </c>
      <c r="Q177" s="125">
        <f>Valores!$C$22</f>
        <v>16079.99</v>
      </c>
      <c r="R177" s="125">
        <f>IF($F$4="NO",Valores!$C$47,Valores!$C$47/2)</f>
        <v>18842.02</v>
      </c>
      <c r="S177" s="125">
        <f>Valores!$C$19</f>
        <v>16771.31</v>
      </c>
      <c r="T177" s="125">
        <f t="shared" si="25"/>
        <v>16771.31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52428.78</v>
      </c>
      <c r="AA177" s="125">
        <f>Valores!$C$25</f>
        <v>737.18</v>
      </c>
      <c r="AB177" s="214">
        <v>0</v>
      </c>
      <c r="AC177" s="125">
        <f t="shared" si="20"/>
        <v>0</v>
      </c>
      <c r="AD177" s="125">
        <f>Valores!$C$26</f>
        <v>737.18</v>
      </c>
      <c r="AE177" s="192">
        <v>0</v>
      </c>
      <c r="AF177" s="125">
        <f>ROUND(AE177*Valores!$C$2,2)</f>
        <v>0</v>
      </c>
      <c r="AG177" s="125">
        <f>ROUND(IF($F$4="NO",Valores!$C$63,Valores!$C$63/2),2)</f>
        <v>8427.87</v>
      </c>
      <c r="AH177" s="125">
        <f t="shared" si="23"/>
        <v>268330.73</v>
      </c>
      <c r="AI177" s="125">
        <f>Valores!$C$31</f>
        <v>0</v>
      </c>
      <c r="AJ177" s="125">
        <f>Valores!$C$89</f>
        <v>0</v>
      </c>
      <c r="AK177" s="125">
        <f>Valores!C$38*B177</f>
        <v>0</v>
      </c>
      <c r="AL177" s="125">
        <f>IF($F$3="NO",0,Valores!$C$55)</f>
        <v>0</v>
      </c>
      <c r="AM177" s="125">
        <f t="shared" si="21"/>
        <v>0</v>
      </c>
      <c r="AN177" s="125">
        <f>AH177*Valores!$C$71</f>
        <v>-29516.380299999997</v>
      </c>
      <c r="AO177" s="125">
        <f>AH177*-Valores!$C$72</f>
        <v>0</v>
      </c>
      <c r="AP177" s="125">
        <f>AH177*Valores!$C$73</f>
        <v>-12074.882849999998</v>
      </c>
      <c r="AQ177" s="125">
        <f>Valores!$C$100</f>
        <v>-554.86</v>
      </c>
      <c r="AR177" s="125">
        <f>IF($F$5=0,Valores!$C$101,(Valores!$C$101+$F$5*(Valores!$C$101)))</f>
        <v>-550</v>
      </c>
      <c r="AS177" s="125">
        <f t="shared" si="24"/>
        <v>225634.60684999998</v>
      </c>
      <c r="AT177" s="125">
        <f t="shared" si="18"/>
        <v>-29516.380299999997</v>
      </c>
      <c r="AU177" s="125">
        <f>AH177*Valores!$C$74</f>
        <v>-7244.929709999999</v>
      </c>
      <c r="AV177" s="125">
        <f>AH177*Valores!$C$75</f>
        <v>-804.9921899999999</v>
      </c>
      <c r="AW177" s="125">
        <f t="shared" si="22"/>
        <v>230764.4278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34235.13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23270.02</v>
      </c>
      <c r="M178" s="125">
        <f>ROUND(IF($H$2=0,IF(AND(A178&lt;&gt;"13-930",A178&lt;&gt;"13-940"),(SUM(F178,H178,J178,L178,X178,T178,R178)*Valores!$C$4),0),0),2)</f>
        <v>13967.77</v>
      </c>
      <c r="N178" s="125">
        <f t="shared" si="19"/>
        <v>0</v>
      </c>
      <c r="O178" s="125">
        <f>Valores!$C$16</f>
        <v>30467.13</v>
      </c>
      <c r="P178" s="125">
        <f>Valores!$D$5</f>
        <v>18023.69</v>
      </c>
      <c r="Q178" s="125">
        <f>Valores!$C$22</f>
        <v>16079.99</v>
      </c>
      <c r="R178" s="125">
        <f>IF($F$4="NO",Valores!$C$47,Valores!$C$47/2)</f>
        <v>18842.02</v>
      </c>
      <c r="S178" s="125">
        <f>Valores!$C$19</f>
        <v>16771.31</v>
      </c>
      <c r="T178" s="125">
        <f t="shared" si="25"/>
        <v>16771.31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52428.78</v>
      </c>
      <c r="AA178" s="125">
        <f>Valores!$C$25</f>
        <v>737.18</v>
      </c>
      <c r="AB178" s="214">
        <v>0</v>
      </c>
      <c r="AC178" s="125">
        <f t="shared" si="20"/>
        <v>0</v>
      </c>
      <c r="AD178" s="125">
        <f>Valores!$C$26</f>
        <v>737.18</v>
      </c>
      <c r="AE178" s="192">
        <v>0</v>
      </c>
      <c r="AF178" s="125">
        <f>ROUND(AE178*Valores!$C$2,2)</f>
        <v>0</v>
      </c>
      <c r="AG178" s="125">
        <f>ROUND(IF($F$4="NO",Valores!$C$63,Valores!$C$63/2),2)</f>
        <v>8427.87</v>
      </c>
      <c r="AH178" s="125">
        <f t="shared" si="23"/>
        <v>233988.06999999998</v>
      </c>
      <c r="AI178" s="125">
        <f>Valores!$C$31</f>
        <v>0</v>
      </c>
      <c r="AJ178" s="125">
        <f>Valores!$C$89</f>
        <v>0</v>
      </c>
      <c r="AK178" s="125">
        <f>Valores!C$38*B178</f>
        <v>0</v>
      </c>
      <c r="AL178" s="125">
        <f>IF($F$3="NO",0,Valores!$C$55)</f>
        <v>0</v>
      </c>
      <c r="AM178" s="125">
        <f t="shared" si="21"/>
        <v>0</v>
      </c>
      <c r="AN178" s="125">
        <f>AH178*Valores!$C$71</f>
        <v>-25738.6877</v>
      </c>
      <c r="AO178" s="125">
        <f>AH178*-Valores!$C$72</f>
        <v>0</v>
      </c>
      <c r="AP178" s="125">
        <f>AH178*Valores!$C$73</f>
        <v>-10529.463149999998</v>
      </c>
      <c r="AQ178" s="125">
        <f>Valores!$C$100</f>
        <v>-554.86</v>
      </c>
      <c r="AR178" s="125">
        <f>IF($F$5=0,Valores!$C$101,(Valores!$C$101+$F$5*(Valores!$C$101)))</f>
        <v>-550</v>
      </c>
      <c r="AS178" s="125">
        <f t="shared" si="24"/>
        <v>196615.05915</v>
      </c>
      <c r="AT178" s="125">
        <f t="shared" si="18"/>
        <v>-25738.6877</v>
      </c>
      <c r="AU178" s="125">
        <f>AH178*Valores!$C$74</f>
        <v>-6317.677889999999</v>
      </c>
      <c r="AV178" s="125">
        <f>AH178*Valores!$C$75</f>
        <v>-701.96421</v>
      </c>
      <c r="AW178" s="125">
        <f t="shared" si="22"/>
        <v>201229.74019999997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7509.87</v>
      </c>
      <c r="G179" s="192">
        <f>1835</f>
        <v>1835</v>
      </c>
      <c r="H179" s="125">
        <f>ROUND(G179*Valores!$C$2,2)</f>
        <v>64697.7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45834.88</v>
      </c>
      <c r="M179" s="125">
        <f>ROUND(IF($H$2=0,IF(AND(A179&lt;&gt;"13-930",A179&lt;&gt;"13-940"),(SUM(F179,H179,J179,L179,X179,T179,R179)*Valores!$C$4),0),0),2)</f>
        <v>23048.37</v>
      </c>
      <c r="N179" s="125">
        <f t="shared" si="19"/>
        <v>0</v>
      </c>
      <c r="O179" s="125">
        <f>Valores!$C$9</f>
        <v>44305.44</v>
      </c>
      <c r="P179" s="125">
        <f>Valores!$D$5</f>
        <v>18023.69</v>
      </c>
      <c r="Q179" s="125">
        <f>Valores!$C$22</f>
        <v>16079.99</v>
      </c>
      <c r="R179" s="125">
        <f>IF($F$4="NO",Valores!$C$47,Valores!$C$47/2)</f>
        <v>18842.02</v>
      </c>
      <c r="S179" s="125">
        <f>Valores!$C$19</f>
        <v>16771.31</v>
      </c>
      <c r="T179" s="125">
        <f t="shared" si="25"/>
        <v>16771.31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52428.78</v>
      </c>
      <c r="AA179" s="125">
        <f>Valores!$C$25</f>
        <v>737.18</v>
      </c>
      <c r="AB179" s="214">
        <v>0</v>
      </c>
      <c r="AC179" s="125">
        <f t="shared" si="20"/>
        <v>0</v>
      </c>
      <c r="AD179" s="125">
        <f>Valores!$C$26</f>
        <v>737.18</v>
      </c>
      <c r="AE179" s="192">
        <v>0</v>
      </c>
      <c r="AF179" s="125">
        <f>ROUND(AE179*Valores!$C$2,2)</f>
        <v>0</v>
      </c>
      <c r="AG179" s="125">
        <f>ROUND(IF($F$4="NO",Valores!$C$63,Valores!$C$63/2),2)</f>
        <v>8427.87</v>
      </c>
      <c r="AH179" s="125">
        <f t="shared" si="23"/>
        <v>317444.2799999999</v>
      </c>
      <c r="AI179" s="125">
        <f>Valores!$C$31</f>
        <v>0</v>
      </c>
      <c r="AJ179" s="125">
        <f>Valores!$C$89</f>
        <v>0</v>
      </c>
      <c r="AK179" s="125">
        <f>Valores!C$38*B179</f>
        <v>0</v>
      </c>
      <c r="AL179" s="125">
        <f>IF($F$3="NO",0,Valores!$C$55)</f>
        <v>0</v>
      </c>
      <c r="AM179" s="125">
        <f t="shared" si="21"/>
        <v>0</v>
      </c>
      <c r="AN179" s="125">
        <f>AH179*Valores!$C$71</f>
        <v>-34918.87079999999</v>
      </c>
      <c r="AO179" s="125">
        <f>AH179*-Valores!$C$72</f>
        <v>0</v>
      </c>
      <c r="AP179" s="125">
        <f>AH179*Valores!$C$73</f>
        <v>-14284.992599999996</v>
      </c>
      <c r="AQ179" s="125">
        <f>Valores!$C$100</f>
        <v>-554.86</v>
      </c>
      <c r="AR179" s="125">
        <f>IF($F$5=0,Valores!$C$101,(Valores!$C$101+$F$5*(Valores!$C$101)))</f>
        <v>-550</v>
      </c>
      <c r="AS179" s="125">
        <f t="shared" si="24"/>
        <v>267135.5565999999</v>
      </c>
      <c r="AT179" s="125">
        <f t="shared" si="18"/>
        <v>-34918.87079999999</v>
      </c>
      <c r="AU179" s="125">
        <f>AH179*Valores!$C$74</f>
        <v>-8570.995559999998</v>
      </c>
      <c r="AV179" s="125">
        <f>AH179*Valores!$C$75</f>
        <v>-952.3328399999998</v>
      </c>
      <c r="AW179" s="125">
        <f t="shared" si="22"/>
        <v>273002.08079999994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6522.66</v>
      </c>
      <c r="G180" s="192">
        <f>1835</f>
        <v>1835</v>
      </c>
      <c r="H180" s="125">
        <f>ROUND(G180*Valores!$C$2,2)</f>
        <v>64697.7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45834.88</v>
      </c>
      <c r="M180" s="125">
        <f>ROUND(IF($H$2=0,IF(AND(A180&lt;&gt;"13-930",A180&lt;&gt;"13-940"),(SUM(F180,H180,J180,L180,X180,T180,R180)*Valores!$C$4),0),0),2)</f>
        <v>22900.29</v>
      </c>
      <c r="N180" s="125">
        <f t="shared" si="19"/>
        <v>0</v>
      </c>
      <c r="O180" s="125">
        <f>Valores!$C$9</f>
        <v>44305.44</v>
      </c>
      <c r="P180" s="125">
        <f>Valores!$D$5</f>
        <v>18023.69</v>
      </c>
      <c r="Q180" s="125">
        <f>Valores!$C$22</f>
        <v>16079.99</v>
      </c>
      <c r="R180" s="125">
        <f>IF($F$4="NO",Valores!$C$47,Valores!$C$47/2)</f>
        <v>18842.02</v>
      </c>
      <c r="S180" s="125">
        <f>Valores!$C$19</f>
        <v>16771.31</v>
      </c>
      <c r="T180" s="125">
        <f t="shared" si="25"/>
        <v>16771.31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52428.78</v>
      </c>
      <c r="AA180" s="125">
        <f>Valores!$C$25</f>
        <v>737.18</v>
      </c>
      <c r="AB180" s="214">
        <v>0</v>
      </c>
      <c r="AC180" s="125">
        <f t="shared" si="20"/>
        <v>0</v>
      </c>
      <c r="AD180" s="125">
        <f>Valores!$C$26</f>
        <v>737.18</v>
      </c>
      <c r="AE180" s="192">
        <v>0</v>
      </c>
      <c r="AF180" s="125">
        <f>ROUND(AE180*Valores!$C$2,2)</f>
        <v>0</v>
      </c>
      <c r="AG180" s="125">
        <f>ROUND(IF($F$4="NO",Valores!$C$63,Valores!$C$63/2),2)</f>
        <v>8427.87</v>
      </c>
      <c r="AH180" s="125">
        <f t="shared" si="23"/>
        <v>316308.99</v>
      </c>
      <c r="AI180" s="125">
        <f>Valores!$C$31</f>
        <v>0</v>
      </c>
      <c r="AJ180" s="125">
        <f>Valores!$C$89</f>
        <v>0</v>
      </c>
      <c r="AK180" s="125">
        <f>Valores!C$38*B180</f>
        <v>0</v>
      </c>
      <c r="AL180" s="125">
        <f>IF($F$3="NO",0,Valores!$C$55)</f>
        <v>0</v>
      </c>
      <c r="AM180" s="125">
        <f t="shared" si="21"/>
        <v>0</v>
      </c>
      <c r="AN180" s="125">
        <f>AH180*Valores!$C$71</f>
        <v>-34793.9889</v>
      </c>
      <c r="AO180" s="125">
        <f>AH180*-Valores!$C$72</f>
        <v>0</v>
      </c>
      <c r="AP180" s="125">
        <f>AH180*Valores!$C$73</f>
        <v>-14233.90455</v>
      </c>
      <c r="AQ180" s="125">
        <f>Valores!$C$100</f>
        <v>-554.86</v>
      </c>
      <c r="AR180" s="125">
        <f>IF($F$5=0,Valores!$C$101,(Valores!$C$101+$F$5*(Valores!$C$101)))</f>
        <v>-550</v>
      </c>
      <c r="AS180" s="125">
        <f t="shared" si="24"/>
        <v>266176.23655</v>
      </c>
      <c r="AT180" s="125">
        <f t="shared" si="18"/>
        <v>-34793.9889</v>
      </c>
      <c r="AU180" s="125">
        <f>AH180*Valores!$C$74</f>
        <v>-8540.34273</v>
      </c>
      <c r="AV180" s="125">
        <f>AH180*Valores!$C$75</f>
        <v>-948.92697</v>
      </c>
      <c r="AW180" s="125">
        <f t="shared" si="22"/>
        <v>272025.7314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5641.22</v>
      </c>
      <c r="G181" s="192">
        <f>1484</f>
        <v>1484</v>
      </c>
      <c r="H181" s="125">
        <f>ROUND(G181*Valores!$C$2,2)</f>
        <v>52322.28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45834.88</v>
      </c>
      <c r="M181" s="125">
        <f>ROUND(IF($H$2=0,IF(AND(A181&lt;&gt;"13-930",A181&lt;&gt;"13-940"),(SUM(F181,H181,J181,L181,X181,T181,R181)*Valores!$C$4),0),0),2)</f>
        <v>20911.76</v>
      </c>
      <c r="N181" s="125">
        <f t="shared" si="19"/>
        <v>0</v>
      </c>
      <c r="O181" s="125">
        <f>Valores!$C$9</f>
        <v>44305.44</v>
      </c>
      <c r="P181" s="125">
        <f>Valores!$D$5</f>
        <v>18023.69</v>
      </c>
      <c r="Q181" s="125">
        <f>Valores!$C$22</f>
        <v>16079.99</v>
      </c>
      <c r="R181" s="125">
        <f>IF($F$4="NO",Valores!$C$47,Valores!$C$47/2)</f>
        <v>18842.02</v>
      </c>
      <c r="S181" s="125">
        <f>Valores!$C$19</f>
        <v>16771.31</v>
      </c>
      <c r="T181" s="125">
        <f t="shared" si="25"/>
        <v>16771.31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52428.78</v>
      </c>
      <c r="AA181" s="125">
        <f>Valores!$C$25</f>
        <v>737.18</v>
      </c>
      <c r="AB181" s="214">
        <v>0</v>
      </c>
      <c r="AC181" s="125">
        <f t="shared" si="20"/>
        <v>0</v>
      </c>
      <c r="AD181" s="125">
        <f>Valores!$C$26</f>
        <v>737.18</v>
      </c>
      <c r="AE181" s="192">
        <v>0</v>
      </c>
      <c r="AF181" s="125">
        <f>ROUND(AE181*Valores!$C$2,2)</f>
        <v>0</v>
      </c>
      <c r="AG181" s="125">
        <f>ROUND(IF($F$4="NO",Valores!$C$63,Valores!$C$63/2),2)</f>
        <v>8427.87</v>
      </c>
      <c r="AH181" s="125">
        <f t="shared" si="23"/>
        <v>301063.6</v>
      </c>
      <c r="AI181" s="125">
        <f>Valores!$C$31</f>
        <v>0</v>
      </c>
      <c r="AJ181" s="125">
        <f>Valores!$C$89</f>
        <v>0</v>
      </c>
      <c r="AK181" s="125">
        <f>Valores!C$38*B181</f>
        <v>0</v>
      </c>
      <c r="AL181" s="125">
        <f>IF($F$3="NO",0,Valores!$C$55)</f>
        <v>0</v>
      </c>
      <c r="AM181" s="125">
        <f t="shared" si="21"/>
        <v>0</v>
      </c>
      <c r="AN181" s="125">
        <f>AH181*Valores!$C$71</f>
        <v>-33116.996</v>
      </c>
      <c r="AO181" s="125">
        <f>AH181*-Valores!$C$72</f>
        <v>0</v>
      </c>
      <c r="AP181" s="125">
        <f>AH181*Valores!$C$73</f>
        <v>-13547.862</v>
      </c>
      <c r="AQ181" s="125">
        <f>Valores!$C$100</f>
        <v>-554.86</v>
      </c>
      <c r="AR181" s="125">
        <f>IF($F$5=0,Valores!$C$101,(Valores!$C$101+$F$5*(Valores!$C$101)))</f>
        <v>-550</v>
      </c>
      <c r="AS181" s="125">
        <f t="shared" si="24"/>
        <v>253293.88199999998</v>
      </c>
      <c r="AT181" s="125">
        <f t="shared" si="18"/>
        <v>-33116.996</v>
      </c>
      <c r="AU181" s="125">
        <f>AH181*Valores!$C$74</f>
        <v>-8128.717199999999</v>
      </c>
      <c r="AV181" s="125">
        <f>AH181*Valores!$C$75</f>
        <v>-903.1908</v>
      </c>
      <c r="AW181" s="125">
        <f t="shared" si="22"/>
        <v>258914.696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45059.21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42309.12</v>
      </c>
      <c r="M182" s="125">
        <f>ROUND(IF($H$2=0,IF(AND(A182&lt;&gt;"13-930",A182&lt;&gt;"13-940"),(SUM(F182,H182,J182,L182,X182,T182,R182)*Valores!$C$4),0),0),2)</f>
        <v>18447.25</v>
      </c>
      <c r="N182" s="125">
        <f t="shared" si="19"/>
        <v>0</v>
      </c>
      <c r="O182" s="125">
        <f>Valores!$C$16</f>
        <v>30467.13</v>
      </c>
      <c r="P182" s="125">
        <f>Valores!$D$5</f>
        <v>18023.69</v>
      </c>
      <c r="Q182" s="125">
        <f>Valores!$C$22</f>
        <v>16079.99</v>
      </c>
      <c r="R182" s="125">
        <f>IF($F$4="NO",Valores!$C$47,Valores!$C$47/2)</f>
        <v>18842.02</v>
      </c>
      <c r="S182" s="125">
        <f>Valores!$C$19</f>
        <v>16771.31</v>
      </c>
      <c r="T182" s="125">
        <f t="shared" si="25"/>
        <v>16771.31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52428.78</v>
      </c>
      <c r="AA182" s="125">
        <f>Valores!$C$25</f>
        <v>737.18</v>
      </c>
      <c r="AB182" s="214">
        <v>0</v>
      </c>
      <c r="AC182" s="125">
        <f t="shared" si="20"/>
        <v>0</v>
      </c>
      <c r="AD182" s="125">
        <f>Valores!$C$26</f>
        <v>737.18</v>
      </c>
      <c r="AE182" s="192">
        <v>0</v>
      </c>
      <c r="AF182" s="125">
        <f>ROUND(AE182*Valores!$C$2,2)</f>
        <v>0</v>
      </c>
      <c r="AG182" s="125">
        <f>ROUND(IF($F$4="NO",Valores!$C$63,Valores!$C$63/2),2)</f>
        <v>8427.87</v>
      </c>
      <c r="AH182" s="125">
        <f t="shared" si="23"/>
        <v>268330.73</v>
      </c>
      <c r="AI182" s="125">
        <f>Valores!$C$31</f>
        <v>0</v>
      </c>
      <c r="AJ182" s="125">
        <f>Valores!$C$89</f>
        <v>0</v>
      </c>
      <c r="AK182" s="125">
        <f>Valores!C$38*B182</f>
        <v>0</v>
      </c>
      <c r="AL182" s="125">
        <f>IF($F$3="NO",0,Valores!$C$55)</f>
        <v>0</v>
      </c>
      <c r="AM182" s="125">
        <f t="shared" si="21"/>
        <v>0</v>
      </c>
      <c r="AN182" s="125">
        <f>AH182*Valores!$C$71</f>
        <v>-29516.380299999997</v>
      </c>
      <c r="AO182" s="125">
        <f>AH182*-Valores!$C$72</f>
        <v>0</v>
      </c>
      <c r="AP182" s="125">
        <f>AH182*Valores!$C$73</f>
        <v>-12074.882849999998</v>
      </c>
      <c r="AQ182" s="125">
        <f>Valores!$C$100</f>
        <v>-554.86</v>
      </c>
      <c r="AR182" s="125">
        <f>IF($F$5=0,Valores!$C$101,(Valores!$C$101+$F$5*(Valores!$C$101)))</f>
        <v>-550</v>
      </c>
      <c r="AS182" s="125">
        <f t="shared" si="24"/>
        <v>225634.60684999998</v>
      </c>
      <c r="AT182" s="125">
        <f t="shared" si="18"/>
        <v>-29516.380299999997</v>
      </c>
      <c r="AU182" s="125">
        <f>AH182*Valores!$C$74</f>
        <v>-7244.929709999999</v>
      </c>
      <c r="AV182" s="125">
        <f>AH182*Valores!$C$75</f>
        <v>-804.9921899999999</v>
      </c>
      <c r="AW182" s="125">
        <f t="shared" si="22"/>
        <v>230764.4278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34235.13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23270.02</v>
      </c>
      <c r="M183" s="125">
        <f>ROUND(IF($H$2=0,IF(AND(A183&lt;&gt;"13-930",A183&lt;&gt;"13-940"),(SUM(F183,H183,J183,L183,X183,T183,R183)*Valores!$C$4),0),0),2)</f>
        <v>13967.77</v>
      </c>
      <c r="N183" s="125">
        <f t="shared" si="19"/>
        <v>0</v>
      </c>
      <c r="O183" s="125">
        <f>Valores!$C$16</f>
        <v>30467.13</v>
      </c>
      <c r="P183" s="125">
        <f>Valores!$D$5</f>
        <v>18023.69</v>
      </c>
      <c r="Q183" s="125">
        <f>Valores!$C$23</f>
        <v>14966.19</v>
      </c>
      <c r="R183" s="125">
        <f>IF($F$4="NO",Valores!$C$47,Valores!$C$47/2)</f>
        <v>18842.02</v>
      </c>
      <c r="S183" s="125">
        <f>Valores!$C$19</f>
        <v>16771.31</v>
      </c>
      <c r="T183" s="125">
        <f t="shared" si="25"/>
        <v>16771.31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52428.78</v>
      </c>
      <c r="AA183" s="125">
        <f>Valores!$C$25</f>
        <v>737.18</v>
      </c>
      <c r="AB183" s="214">
        <v>0</v>
      </c>
      <c r="AC183" s="125">
        <f t="shared" si="20"/>
        <v>0</v>
      </c>
      <c r="AD183" s="125">
        <f>Valores!$C$26</f>
        <v>737.18</v>
      </c>
      <c r="AE183" s="192">
        <v>0</v>
      </c>
      <c r="AF183" s="125">
        <f>ROUND(AE183*Valores!$C$2,2)</f>
        <v>0</v>
      </c>
      <c r="AG183" s="125">
        <f>ROUND(IF($F$4="NO",Valores!$C$63,Valores!$C$63/2),2)</f>
        <v>8427.87</v>
      </c>
      <c r="AH183" s="125">
        <f t="shared" si="23"/>
        <v>232874.26999999996</v>
      </c>
      <c r="AI183" s="125">
        <f>Valores!$C$31</f>
        <v>0</v>
      </c>
      <c r="AJ183" s="125">
        <f>Valores!$C$89</f>
        <v>0</v>
      </c>
      <c r="AK183" s="125">
        <f>Valores!C$38*B183</f>
        <v>0</v>
      </c>
      <c r="AL183" s="125">
        <f>IF($F$3="NO",0,Valores!$C$55)</f>
        <v>0</v>
      </c>
      <c r="AM183" s="125">
        <f t="shared" si="21"/>
        <v>0</v>
      </c>
      <c r="AN183" s="125">
        <f>AH183*Valores!$C$71</f>
        <v>-25616.169699999995</v>
      </c>
      <c r="AO183" s="125">
        <f>AH183*-Valores!$C$72</f>
        <v>0</v>
      </c>
      <c r="AP183" s="125">
        <f>AH183*Valores!$C$73</f>
        <v>-10479.342149999999</v>
      </c>
      <c r="AQ183" s="125">
        <f>Valores!$C$100</f>
        <v>-554.86</v>
      </c>
      <c r="AR183" s="125">
        <f>IF($F$5=0,Valores!$C$101,(Valores!$C$101+$F$5*(Valores!$C$101)))</f>
        <v>-550</v>
      </c>
      <c r="AS183" s="125">
        <f t="shared" si="24"/>
        <v>195673.89814999996</v>
      </c>
      <c r="AT183" s="125">
        <f t="shared" si="18"/>
        <v>-25616.169699999995</v>
      </c>
      <c r="AU183" s="125">
        <f>AH183*Valores!$C$74</f>
        <v>-6287.605289999999</v>
      </c>
      <c r="AV183" s="125">
        <f>AH183*Valores!$C$75</f>
        <v>-698.6228099999998</v>
      </c>
      <c r="AW183" s="125">
        <f t="shared" si="22"/>
        <v>200271.87219999995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6311.11</v>
      </c>
      <c r="G184" s="192">
        <f>1323</f>
        <v>1323</v>
      </c>
      <c r="H184" s="125">
        <f>ROUND(G184*Valores!$C$2,2)</f>
        <v>46645.8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45834.88</v>
      </c>
      <c r="M184" s="125">
        <f>ROUND(IF($H$2=0,IF(AND(A184&lt;&gt;"13-930",A184&lt;&gt;"13-940"),(SUM(F184,H184,J184,L184,X184,T184,R184)*Valores!$C$4),0),0),2)</f>
        <v>20160.77</v>
      </c>
      <c r="N184" s="125">
        <f t="shared" si="19"/>
        <v>0</v>
      </c>
      <c r="O184" s="125">
        <f>Valores!$C$9</f>
        <v>44305.44</v>
      </c>
      <c r="P184" s="125">
        <f>Valores!$D$5</f>
        <v>18023.69</v>
      </c>
      <c r="Q184" s="125">
        <f>Valores!$C$22</f>
        <v>16079.99</v>
      </c>
      <c r="R184" s="125">
        <f>IF($F$4="NO",Valores!$C$47,Valores!$C$47/2)</f>
        <v>18842.02</v>
      </c>
      <c r="S184" s="125">
        <f>Valores!$C$19</f>
        <v>16771.31</v>
      </c>
      <c r="T184" s="125">
        <f t="shared" si="25"/>
        <v>16771.31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52428.78</v>
      </c>
      <c r="AA184" s="125">
        <f>Valores!$C$25</f>
        <v>737.18</v>
      </c>
      <c r="AB184" s="214">
        <v>0</v>
      </c>
      <c r="AC184" s="125">
        <f t="shared" si="20"/>
        <v>0</v>
      </c>
      <c r="AD184" s="125">
        <f>Valores!$C$26</f>
        <v>737.18</v>
      </c>
      <c r="AE184" s="192">
        <v>0</v>
      </c>
      <c r="AF184" s="125">
        <f>ROUND(AE184*Valores!$C$2,2)</f>
        <v>0</v>
      </c>
      <c r="AG184" s="125">
        <f>ROUND(IF($F$4="NO",Valores!$C$63,Valores!$C$63/2),2)</f>
        <v>8427.87</v>
      </c>
      <c r="AH184" s="125">
        <f t="shared" si="23"/>
        <v>295306.01999999996</v>
      </c>
      <c r="AI184" s="125">
        <f>Valores!$C$31</f>
        <v>0</v>
      </c>
      <c r="AJ184" s="125">
        <f>Valores!$C$89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AH184*Valores!$C$71</f>
        <v>-32483.662199999995</v>
      </c>
      <c r="AO184" s="125">
        <f>AH184*-Valores!$C$72</f>
        <v>0</v>
      </c>
      <c r="AP184" s="125">
        <f>AH184*Valores!$C$73</f>
        <v>-13288.770899999998</v>
      </c>
      <c r="AQ184" s="125">
        <f>Valores!$C$100</f>
        <v>-554.86</v>
      </c>
      <c r="AR184" s="125">
        <f>IF($F$5=0,Valores!$C$101,(Valores!$C$101+$F$5*(Valores!$C$101)))</f>
        <v>-550</v>
      </c>
      <c r="AS184" s="125">
        <f t="shared" si="24"/>
        <v>248428.72689999995</v>
      </c>
      <c r="AT184" s="125">
        <f t="shared" si="18"/>
        <v>-32483.662199999995</v>
      </c>
      <c r="AU184" s="125">
        <f>AH184*Valores!$C$74</f>
        <v>-7973.262539999999</v>
      </c>
      <c r="AV184" s="125">
        <f>AH184*Valores!$C$75</f>
        <v>-885.9180599999999</v>
      </c>
      <c r="AW184" s="125">
        <f t="shared" si="22"/>
        <v>253963.17719999998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2256.49</v>
      </c>
      <c r="G185" s="192">
        <v>1354</v>
      </c>
      <c r="H185" s="125">
        <f>ROUND(G185*Valores!$C$2,2)</f>
        <v>47738.79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42309.12</v>
      </c>
      <c r="M185" s="125">
        <f>ROUND(IF($H$2=0,IF(AND(A185&lt;&gt;"13-930",A185&lt;&gt;"13-940"),(SUM(F185,H185,J185,L185,X185,T185,R185)*Valores!$C$4),0),0),2)</f>
        <v>19161.94</v>
      </c>
      <c r="N185" s="125">
        <f t="shared" si="19"/>
        <v>0</v>
      </c>
      <c r="O185" s="125">
        <f>Valores!$C$14</f>
        <v>35109.44</v>
      </c>
      <c r="P185" s="125">
        <f>Valores!$D$5</f>
        <v>18023.69</v>
      </c>
      <c r="Q185" s="125">
        <v>0</v>
      </c>
      <c r="R185" s="125">
        <f>IF($F$4="NO",Valores!$C$47,Valores!$C$47/2)</f>
        <v>18842.02</v>
      </c>
      <c r="S185" s="125">
        <f>Valores!$C$20</f>
        <v>16599.84</v>
      </c>
      <c r="T185" s="125">
        <f t="shared" si="25"/>
        <v>16599.84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52428.78</v>
      </c>
      <c r="AA185" s="125">
        <f>Valores!$C$25</f>
        <v>737.18</v>
      </c>
      <c r="AB185" s="214">
        <v>0</v>
      </c>
      <c r="AC185" s="125">
        <f t="shared" si="20"/>
        <v>0</v>
      </c>
      <c r="AD185" s="125">
        <f>Valores!$C$26</f>
        <v>737.18</v>
      </c>
      <c r="AE185" s="192">
        <v>0</v>
      </c>
      <c r="AF185" s="125">
        <f>ROUND(AE185*Valores!$C$2,2)</f>
        <v>0</v>
      </c>
      <c r="AG185" s="125">
        <f>ROUND(IF($F$4="NO",Valores!$C$63,Valores!$C$63/2),2)</f>
        <v>8427.87</v>
      </c>
      <c r="AH185" s="125">
        <f t="shared" si="23"/>
        <v>262372.33999999997</v>
      </c>
      <c r="AI185" s="125">
        <f>Valores!$C$31</f>
        <v>0</v>
      </c>
      <c r="AJ185" s="125">
        <f>Valores!$C$89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AH185*Valores!$C$71</f>
        <v>-28860.957399999996</v>
      </c>
      <c r="AO185" s="125">
        <f>AH185*-Valores!$C$72</f>
        <v>0</v>
      </c>
      <c r="AP185" s="125">
        <f>AH185*Valores!$C$73</f>
        <v>-11806.755299999999</v>
      </c>
      <c r="AQ185" s="125">
        <f>Valores!$C$100</f>
        <v>-554.86</v>
      </c>
      <c r="AR185" s="125">
        <f>IF($F$5=0,Valores!$C$101,(Valores!$C$101+$F$5*(Valores!$C$101)))</f>
        <v>-550</v>
      </c>
      <c r="AS185" s="125">
        <f t="shared" si="24"/>
        <v>220599.76729999998</v>
      </c>
      <c r="AT185" s="125">
        <f t="shared" si="18"/>
        <v>-28860.957399999996</v>
      </c>
      <c r="AU185" s="125">
        <f>AH185*Valores!$C$74</f>
        <v>-7084.053179999999</v>
      </c>
      <c r="AV185" s="125">
        <f>AH185*Valores!$C$75</f>
        <v>-787.1170199999999</v>
      </c>
      <c r="AW185" s="125">
        <f t="shared" si="22"/>
        <v>225640.21239999996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1939.17</v>
      </c>
      <c r="G186" s="192">
        <v>1279</v>
      </c>
      <c r="H186" s="125">
        <f>ROUND(G186*Valores!$C$2,2)</f>
        <v>45094.47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42309.12</v>
      </c>
      <c r="M186" s="125">
        <f>ROUND(IF($H$2=0,IF(AND(A186&lt;&gt;"13-930",A186&lt;&gt;"13-940"),(SUM(F186,H186,J186,L186,X186,T186,R186)*Valores!$C$4),0),0),2)</f>
        <v>18743.41</v>
      </c>
      <c r="N186" s="125">
        <f t="shared" si="19"/>
        <v>0</v>
      </c>
      <c r="O186" s="125">
        <f>Valores!$C$16</f>
        <v>30467.13</v>
      </c>
      <c r="P186" s="125">
        <f>Valores!$D$5</f>
        <v>18023.69</v>
      </c>
      <c r="Q186" s="125">
        <v>0</v>
      </c>
      <c r="R186" s="125">
        <f>IF($F$4="NO",Valores!$C$47,Valores!$C$47/2)</f>
        <v>18842.02</v>
      </c>
      <c r="S186" s="125">
        <f>Valores!$C$19</f>
        <v>16771.31</v>
      </c>
      <c r="T186" s="125">
        <f t="shared" si="25"/>
        <v>16771.31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52428.78</v>
      </c>
      <c r="AA186" s="125">
        <f>Valores!$C$25</f>
        <v>737.18</v>
      </c>
      <c r="AB186" s="214">
        <v>0</v>
      </c>
      <c r="AC186" s="125">
        <f t="shared" si="20"/>
        <v>0</v>
      </c>
      <c r="AD186" s="125">
        <f>Valores!$C$26</f>
        <v>737.18</v>
      </c>
      <c r="AE186" s="192">
        <v>0</v>
      </c>
      <c r="AF186" s="125">
        <f>ROUND(AE186*Valores!$C$2,2)</f>
        <v>0</v>
      </c>
      <c r="AG186" s="125">
        <f>ROUND(IF($F$4="NO",Valores!$C$63,Valores!$C$63/2),2)</f>
        <v>8427.87</v>
      </c>
      <c r="AH186" s="125">
        <f t="shared" si="23"/>
        <v>254521.33</v>
      </c>
      <c r="AI186" s="125">
        <f>Valores!$C$31</f>
        <v>0</v>
      </c>
      <c r="AJ186" s="125">
        <f>Valores!$C$89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AH186*Valores!$C$71</f>
        <v>-27997.346299999997</v>
      </c>
      <c r="AO186" s="125">
        <f>AH186*-Valores!$C$72</f>
        <v>0</v>
      </c>
      <c r="AP186" s="125">
        <f>AH186*Valores!$C$73</f>
        <v>-11453.45985</v>
      </c>
      <c r="AQ186" s="125">
        <f>Valores!$C$100</f>
        <v>-554.86</v>
      </c>
      <c r="AR186" s="125">
        <f>IF($F$5=0,Valores!$C$101,(Valores!$C$101+$F$5*(Valores!$C$101)))</f>
        <v>-550</v>
      </c>
      <c r="AS186" s="125">
        <f t="shared" si="24"/>
        <v>213965.66384999998</v>
      </c>
      <c r="AT186" s="125">
        <f t="shared" si="18"/>
        <v>-27997.346299999997</v>
      </c>
      <c r="AU186" s="125">
        <f>AH186*Valores!$C$74</f>
        <v>-6872.07591</v>
      </c>
      <c r="AV186" s="125">
        <f>AH186*Valores!$C$75</f>
        <v>-763.56399</v>
      </c>
      <c r="AW186" s="125">
        <f t="shared" si="22"/>
        <v>218888.34379999997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36209.56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42309.12</v>
      </c>
      <c r="M187" s="125">
        <f>ROUND(IF($H$2=0,IF(AND(A187&lt;&gt;"13-930",A187&lt;&gt;"13-940"),(SUM(F187,H187,J187,L187,X187,T187,R187)*Valores!$C$4),0),0),2)</f>
        <v>17094.08</v>
      </c>
      <c r="N187" s="125">
        <f t="shared" si="19"/>
        <v>0</v>
      </c>
      <c r="O187" s="125">
        <f>Valores!$C$16</f>
        <v>30467.13</v>
      </c>
      <c r="P187" s="125">
        <f>Valores!$D$5</f>
        <v>18023.69</v>
      </c>
      <c r="Q187" s="125">
        <v>0</v>
      </c>
      <c r="R187" s="125">
        <f>IF($F$4="NO",Valores!$C$47,Valores!$C$47/2)</f>
        <v>18842.02</v>
      </c>
      <c r="S187" s="125">
        <f>Valores!$C$20</f>
        <v>16599.84</v>
      </c>
      <c r="T187" s="125">
        <f t="shared" si="25"/>
        <v>16599.84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52428.78</v>
      </c>
      <c r="AA187" s="125">
        <f>Valores!$C$25</f>
        <v>737.18</v>
      </c>
      <c r="AB187" s="214">
        <v>0</v>
      </c>
      <c r="AC187" s="125">
        <f t="shared" si="20"/>
        <v>0</v>
      </c>
      <c r="AD187" s="125">
        <f>Valores!$C$26</f>
        <v>737.18</v>
      </c>
      <c r="AE187" s="192">
        <v>0</v>
      </c>
      <c r="AF187" s="125">
        <f>ROUND(AE187*Valores!$C$2,2)</f>
        <v>0</v>
      </c>
      <c r="AG187" s="125">
        <f>ROUND(IF($F$4="NO",Valores!$C$63,Valores!$C$63/2),2)</f>
        <v>8427.87</v>
      </c>
      <c r="AH187" s="125">
        <f t="shared" si="23"/>
        <v>241876.44999999995</v>
      </c>
      <c r="AI187" s="125">
        <f>Valores!$C$31</f>
        <v>0</v>
      </c>
      <c r="AJ187" s="125">
        <f>Valores!$C$89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AH187*Valores!$C$71</f>
        <v>-26606.409499999994</v>
      </c>
      <c r="AO187" s="125">
        <f>AH187*-Valores!$C$72</f>
        <v>0</v>
      </c>
      <c r="AP187" s="125">
        <f>AH187*Valores!$C$73</f>
        <v>-10884.440249999998</v>
      </c>
      <c r="AQ187" s="125">
        <f>Valores!$C$100</f>
        <v>-554.86</v>
      </c>
      <c r="AR187" s="125">
        <f>IF($F$5=0,Valores!$C$101,(Valores!$C$101+$F$5*(Valores!$C$101)))</f>
        <v>-550</v>
      </c>
      <c r="AS187" s="125">
        <f t="shared" si="24"/>
        <v>203280.74024999997</v>
      </c>
      <c r="AT187" s="125">
        <f t="shared" si="18"/>
        <v>-26606.409499999994</v>
      </c>
      <c r="AU187" s="125">
        <f>AH187*Valores!$C$74</f>
        <v>-6530.664149999999</v>
      </c>
      <c r="AV187" s="125">
        <f>AH187*Valores!$C$75</f>
        <v>-725.6293499999999</v>
      </c>
      <c r="AW187" s="125">
        <f t="shared" si="22"/>
        <v>208013.74699999997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45059.21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42309.12</v>
      </c>
      <c r="M188" s="125">
        <f>ROUND(IF($H$2=0,IF(AND(A188&lt;&gt;"13-930",A188&lt;&gt;"13-940"),(SUM(F188,H188,J188,L188,X188,T188,R188)*Valores!$C$4),0),0),2)</f>
        <v>18447.25</v>
      </c>
      <c r="N188" s="125">
        <f t="shared" si="19"/>
        <v>0</v>
      </c>
      <c r="O188" s="125">
        <f>Valores!$C$16</f>
        <v>30467.13</v>
      </c>
      <c r="P188" s="125">
        <f>Valores!$D$5</f>
        <v>18023.69</v>
      </c>
      <c r="Q188" s="125">
        <f>Valores!$C$22</f>
        <v>16079.99</v>
      </c>
      <c r="R188" s="125">
        <f>IF($F$4="NO",Valores!$C$47,Valores!$C$47/2)</f>
        <v>18842.02</v>
      </c>
      <c r="S188" s="125">
        <f>Valores!$C$19</f>
        <v>16771.31</v>
      </c>
      <c r="T188" s="125">
        <f t="shared" si="25"/>
        <v>16771.31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52428.78</v>
      </c>
      <c r="AA188" s="125">
        <f>Valores!$C$25</f>
        <v>737.18</v>
      </c>
      <c r="AB188" s="214">
        <v>0</v>
      </c>
      <c r="AC188" s="125">
        <f t="shared" si="20"/>
        <v>0</v>
      </c>
      <c r="AD188" s="125">
        <f>Valores!$C$26</f>
        <v>737.18</v>
      </c>
      <c r="AE188" s="192">
        <v>0</v>
      </c>
      <c r="AF188" s="125">
        <f>ROUND(AE188*Valores!$C$2,2)</f>
        <v>0</v>
      </c>
      <c r="AG188" s="125">
        <f>ROUND(IF($F$4="NO",Valores!$C$63,Valores!$C$63/2),2)</f>
        <v>8427.87</v>
      </c>
      <c r="AH188" s="125">
        <f t="shared" si="23"/>
        <v>268330.73</v>
      </c>
      <c r="AI188" s="125">
        <f>Valores!$C$31</f>
        <v>0</v>
      </c>
      <c r="AJ188" s="125">
        <f>Valores!$C$89</f>
        <v>0</v>
      </c>
      <c r="AK188" s="125">
        <f>Valores!C$38*B188</f>
        <v>0</v>
      </c>
      <c r="AL188" s="125">
        <f>IF($F$3="NO",0,Valores!$C$55)</f>
        <v>0</v>
      </c>
      <c r="AM188" s="125">
        <f t="shared" si="21"/>
        <v>0</v>
      </c>
      <c r="AN188" s="125">
        <f>AH188*Valores!$C$71</f>
        <v>-29516.380299999997</v>
      </c>
      <c r="AO188" s="125">
        <f>AH188*-Valores!$C$72</f>
        <v>0</v>
      </c>
      <c r="AP188" s="125">
        <f>AH188*Valores!$C$73</f>
        <v>-12074.882849999998</v>
      </c>
      <c r="AQ188" s="125">
        <f>Valores!$C$100</f>
        <v>-554.86</v>
      </c>
      <c r="AR188" s="125">
        <f>IF($F$5=0,Valores!$C$101,(Valores!$C$101+$F$5*(Valores!$C$101)))</f>
        <v>-550</v>
      </c>
      <c r="AS188" s="125">
        <f t="shared" si="24"/>
        <v>225634.60684999998</v>
      </c>
      <c r="AT188" s="125">
        <f t="shared" si="18"/>
        <v>-29516.380299999997</v>
      </c>
      <c r="AU188" s="125">
        <f>AH188*Valores!$C$74</f>
        <v>-7244.929709999999</v>
      </c>
      <c r="AV188" s="125">
        <f>AH188*Valores!$C$75</f>
        <v>-804.9921899999999</v>
      </c>
      <c r="AW188" s="125">
        <f t="shared" si="22"/>
        <v>230764.4278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37549.34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21154.56</v>
      </c>
      <c r="M189" s="125">
        <f>ROUND(IF($H$2=0,IF(AND(A189&lt;&gt;"13-930",A189&lt;&gt;"13-940"),(SUM(F189,H189,J189,L189,X189,T189,R189)*Valores!$C$4),0),0),2)</f>
        <v>14147.58</v>
      </c>
      <c r="N189" s="125">
        <f t="shared" si="19"/>
        <v>0</v>
      </c>
      <c r="O189" s="125">
        <f>Valores!$C$16</f>
        <v>30467.13</v>
      </c>
      <c r="P189" s="125">
        <f>Valores!$D$5</f>
        <v>18023.69</v>
      </c>
      <c r="Q189" s="125">
        <v>0</v>
      </c>
      <c r="R189" s="125">
        <f>IF($F$4="NO",Valores!$C$47,Valores!$C$47/2)</f>
        <v>18842.02</v>
      </c>
      <c r="S189" s="125">
        <f>Valores!$C$19</f>
        <v>16771.31</v>
      </c>
      <c r="T189" s="125">
        <f t="shared" si="25"/>
        <v>16771.31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52428.78</v>
      </c>
      <c r="AA189" s="125">
        <f>Valores!$C$25</f>
        <v>737.18</v>
      </c>
      <c r="AB189" s="214">
        <v>0</v>
      </c>
      <c r="AC189" s="125">
        <f t="shared" si="20"/>
        <v>0</v>
      </c>
      <c r="AD189" s="125">
        <f>Valores!$C$26</f>
        <v>737.18</v>
      </c>
      <c r="AE189" s="192">
        <v>0</v>
      </c>
      <c r="AF189" s="125">
        <f>ROUND(AE189*Valores!$C$2,2)</f>
        <v>0</v>
      </c>
      <c r="AG189" s="125">
        <f>ROUND(IF($F$4="NO",Valores!$C$63,Valores!$C$63/2),2)</f>
        <v>8427.87</v>
      </c>
      <c r="AH189" s="125">
        <f t="shared" si="23"/>
        <v>219286.63999999998</v>
      </c>
      <c r="AI189" s="125">
        <f>Valores!$C$31</f>
        <v>0</v>
      </c>
      <c r="AJ189" s="125">
        <f>Valores!$C$89</f>
        <v>0</v>
      </c>
      <c r="AK189" s="125">
        <f>Valores!C$38*B189</f>
        <v>0</v>
      </c>
      <c r="AL189" s="125">
        <f>IF($F$3="NO",0,Valores!$C$55)</f>
        <v>0</v>
      </c>
      <c r="AM189" s="125">
        <f t="shared" si="21"/>
        <v>0</v>
      </c>
      <c r="AN189" s="125">
        <f>AH189*Valores!$C$71</f>
        <v>-24121.5304</v>
      </c>
      <c r="AO189" s="125">
        <f>AH189*-Valores!$C$72</f>
        <v>0</v>
      </c>
      <c r="AP189" s="125">
        <f>AH189*Valores!$C$73</f>
        <v>-9867.898799999999</v>
      </c>
      <c r="AQ189" s="125">
        <f>Valores!$C$100</f>
        <v>-554.86</v>
      </c>
      <c r="AR189" s="125">
        <f>IF($F$5=0,Valores!$C$101,(Valores!$C$101+$F$5*(Valores!$C$101)))</f>
        <v>-550</v>
      </c>
      <c r="AS189" s="125">
        <f t="shared" si="24"/>
        <v>184192.3508</v>
      </c>
      <c r="AT189" s="125">
        <f t="shared" si="18"/>
        <v>-24121.5304</v>
      </c>
      <c r="AU189" s="125">
        <f>AH189*Valores!$C$74</f>
        <v>-5920.73928</v>
      </c>
      <c r="AV189" s="125">
        <f>AH189*Valores!$C$75</f>
        <v>-657.85992</v>
      </c>
      <c r="AW189" s="125">
        <f t="shared" si="22"/>
        <v>188586.5104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34235.13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23270.02</v>
      </c>
      <c r="M190" s="125">
        <f>ROUND(IF($H$2=0,IF(AND(A190&lt;&gt;"13-930",A190&lt;&gt;"13-940"),(SUM(F190,H190,J190,L190,X190,T190,R190)*Valores!$C$4),0),0),2)</f>
        <v>13019.6</v>
      </c>
      <c r="N190" s="125">
        <f t="shared" si="19"/>
        <v>0</v>
      </c>
      <c r="O190" s="125">
        <f>Valores!$C$16</f>
        <v>30467.13</v>
      </c>
      <c r="P190" s="125">
        <f>Valores!$D$5</f>
        <v>18023.69</v>
      </c>
      <c r="Q190" s="125">
        <f>Valores!$C$23</f>
        <v>14966.19</v>
      </c>
      <c r="R190" s="125">
        <f>IF($F$4="NO",Valores!$C$44,Valores!$C$44/2)</f>
        <v>12520.87</v>
      </c>
      <c r="S190" s="125">
        <f>Valores!$C$19</f>
        <v>16771.31</v>
      </c>
      <c r="T190" s="125">
        <f t="shared" si="25"/>
        <v>16771.31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26214.39</v>
      </c>
      <c r="AA190" s="125">
        <f>Valores!$C$25</f>
        <v>737.18</v>
      </c>
      <c r="AB190" s="214">
        <v>0</v>
      </c>
      <c r="AC190" s="125">
        <f t="shared" si="20"/>
        <v>0</v>
      </c>
      <c r="AD190" s="125">
        <f>Valores!$C$26</f>
        <v>737.18</v>
      </c>
      <c r="AE190" s="192">
        <v>0</v>
      </c>
      <c r="AF190" s="125">
        <f>ROUND(AE190*Valores!$C$2,2)</f>
        <v>0</v>
      </c>
      <c r="AG190" s="125">
        <f>ROUND(IF($F$4="NO",Valores!$C$63,Valores!$C$63/2),2)</f>
        <v>8427.87</v>
      </c>
      <c r="AH190" s="125">
        <f t="shared" si="23"/>
        <v>199390.56</v>
      </c>
      <c r="AI190" s="125">
        <f>Valores!$C$31</f>
        <v>0</v>
      </c>
      <c r="AJ190" s="125">
        <f>Valores!$C$87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AH190*Valores!$C$71</f>
        <v>-21932.9616</v>
      </c>
      <c r="AO190" s="125">
        <f>AH190*-Valores!$C$72</f>
        <v>0</v>
      </c>
      <c r="AP190" s="125">
        <f>AH190*Valores!$C$73</f>
        <v>-8972.5752</v>
      </c>
      <c r="AQ190" s="125">
        <f>Valores!$C$100</f>
        <v>-554.86</v>
      </c>
      <c r="AR190" s="125">
        <f>IF($F$5=0,Valores!$C$101,(Valores!$C$101+$F$5*(Valores!$C$101)))</f>
        <v>-550</v>
      </c>
      <c r="AS190" s="125">
        <f t="shared" si="24"/>
        <v>167380.1632</v>
      </c>
      <c r="AT190" s="125">
        <f t="shared" si="18"/>
        <v>-21932.9616</v>
      </c>
      <c r="AU190" s="125">
        <f>AH190*Valores!$C$74</f>
        <v>-5383.54512</v>
      </c>
      <c r="AV190" s="125">
        <f>AH190*Valores!$C$75</f>
        <v>-598.17168</v>
      </c>
      <c r="AW190" s="125">
        <f t="shared" si="22"/>
        <v>171475.8816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3490.5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674.46</v>
      </c>
      <c r="N191" s="125">
        <f t="shared" si="19"/>
        <v>0</v>
      </c>
      <c r="O191" s="125">
        <f>Valores!$C$7*B191</f>
        <v>1195.69</v>
      </c>
      <c r="P191" s="125">
        <f>ROUND(IF(B191&lt;15,(Valores!$E$5*B191),Valores!$D$5),2)</f>
        <v>1201.58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629.82</v>
      </c>
      <c r="S191" s="125">
        <f>Valores!$C$18*B191</f>
        <v>376.06</v>
      </c>
      <c r="T191" s="125">
        <f t="shared" si="25"/>
        <v>376.06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1221.06</v>
      </c>
      <c r="AA191" s="125">
        <f>IF((Valores!$C$28)*B191&gt;Valores!$F$28,Valores!$F$28,(Valores!$C$28)*B191)</f>
        <v>29.54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24.6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561.86</v>
      </c>
      <c r="AH191" s="125">
        <f t="shared" si="23"/>
        <v>9405.170000000002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0</v>
      </c>
      <c r="AL191" s="125">
        <f>IF($F$3="NO",0,IF(Valores!$C$61*B191&gt;Valores!$F$61,Valores!$F$61,Valores!$C$61*B191))</f>
        <v>0</v>
      </c>
      <c r="AM191" s="125">
        <f t="shared" si="21"/>
        <v>0</v>
      </c>
      <c r="AN191" s="125">
        <f>AH191*Valores!$C$71</f>
        <v>-1034.5687000000003</v>
      </c>
      <c r="AO191" s="125">
        <f>AH191*-Valores!$C$72</f>
        <v>0</v>
      </c>
      <c r="AP191" s="125">
        <f>AH191*Valores!$C$73</f>
        <v>-423.2326500000001</v>
      </c>
      <c r="AQ191" s="125">
        <f>Valores!$C$100</f>
        <v>-554.86</v>
      </c>
      <c r="AR191" s="125">
        <f>IF($F$5=0,Valores!$C$101,(Valores!$C$101+$F$5*(Valores!$C$101)))</f>
        <v>-550</v>
      </c>
      <c r="AS191" s="125">
        <f t="shared" si="24"/>
        <v>6842.508650000002</v>
      </c>
      <c r="AT191" s="125">
        <f t="shared" si="18"/>
        <v>-1034.5687000000003</v>
      </c>
      <c r="AU191" s="125">
        <f>AH191*Valores!$C$74</f>
        <v>-253.93959000000004</v>
      </c>
      <c r="AV191" s="125">
        <f>AH191*Valores!$C$75</f>
        <v>-28.215510000000005</v>
      </c>
      <c r="AW191" s="125">
        <f t="shared" si="22"/>
        <v>8088.446200000002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6981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1348.91</v>
      </c>
      <c r="N192" s="125">
        <f t="shared" si="19"/>
        <v>0</v>
      </c>
      <c r="O192" s="125">
        <f>Valores!$C$7*B192</f>
        <v>2391.38</v>
      </c>
      <c r="P192" s="125">
        <f>ROUND(IF(B192&lt;15,(Valores!$E$5*B192),Valores!$D$5),2)</f>
        <v>2403.16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1259.64</v>
      </c>
      <c r="S192" s="125">
        <f>Valores!$C$18*B192</f>
        <v>752.12</v>
      </c>
      <c r="T192" s="125">
        <f t="shared" si="25"/>
        <v>752.12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2442.12</v>
      </c>
      <c r="AA192" s="125">
        <f>IF((Valores!$C$28)*B192&gt;Valores!$F$28,Valores!$F$28,(Valores!$C$28)*B192)</f>
        <v>59.08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49.2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1123.72</v>
      </c>
      <c r="AH192" s="125">
        <f t="shared" si="23"/>
        <v>18810.330000000005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0</v>
      </c>
      <c r="AL192" s="125">
        <f>IF($F$3="NO",0,IF(Valores!$C$61*B192&gt;Valores!$F$61,Valores!$F$61,Valores!$C$61*B192))</f>
        <v>0</v>
      </c>
      <c r="AM192" s="125">
        <f t="shared" si="21"/>
        <v>0</v>
      </c>
      <c r="AN192" s="125">
        <f>AH192*Valores!$C$71</f>
        <v>-2069.1363000000006</v>
      </c>
      <c r="AO192" s="125">
        <f>AH192*-Valores!$C$72</f>
        <v>0</v>
      </c>
      <c r="AP192" s="125">
        <f>AH192*Valores!$C$73</f>
        <v>-846.4648500000002</v>
      </c>
      <c r="AQ192" s="125">
        <f>Valores!$C$100</f>
        <v>-554.86</v>
      </c>
      <c r="AR192" s="125">
        <f>IF($F$5=0,Valores!$C$101,(Valores!$C$101+$F$5*(Valores!$C$101)))</f>
        <v>-550</v>
      </c>
      <c r="AS192" s="125">
        <f t="shared" si="24"/>
        <v>14789.868850000004</v>
      </c>
      <c r="AT192" s="125">
        <f t="shared" si="18"/>
        <v>-2069.1363000000006</v>
      </c>
      <c r="AU192" s="125">
        <f>AH192*Valores!$C$74</f>
        <v>-507.87891000000013</v>
      </c>
      <c r="AV192" s="125">
        <f>AH192*Valores!$C$75</f>
        <v>-56.430990000000016</v>
      </c>
      <c r="AW192" s="125">
        <f t="shared" si="22"/>
        <v>16176.883800000005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10471.51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2023.37</v>
      </c>
      <c r="N193" s="125">
        <f t="shared" si="19"/>
        <v>0</v>
      </c>
      <c r="O193" s="125">
        <f>Valores!$C$7*B193</f>
        <v>3587.07</v>
      </c>
      <c r="P193" s="125">
        <f>ROUND(IF(B193&lt;15,(Valores!$E$5*B193),Valores!$D$5),2)</f>
        <v>3604.74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1889.46</v>
      </c>
      <c r="S193" s="125">
        <f>Valores!$C$18*B193</f>
        <v>1128.18</v>
      </c>
      <c r="T193" s="125">
        <f t="shared" si="25"/>
        <v>1128.18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3663.18</v>
      </c>
      <c r="AA193" s="125">
        <f>IF((Valores!$C$28)*B193&gt;Valores!$F$28,Valores!$F$28,(Valores!$C$28)*B193)</f>
        <v>88.62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73.80000000000001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1685.58</v>
      </c>
      <c r="AH193" s="125">
        <f t="shared" si="23"/>
        <v>28215.510000000002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0</v>
      </c>
      <c r="AL193" s="125">
        <f>IF($F$3="NO",0,IF(Valores!$C$61*B193&gt;Valores!$F$61,Valores!$F$61,Valores!$C$61*B193))</f>
        <v>0</v>
      </c>
      <c r="AM193" s="125">
        <f t="shared" si="21"/>
        <v>0</v>
      </c>
      <c r="AN193" s="125">
        <f>AH193*Valores!$C$71</f>
        <v>-3103.7061000000003</v>
      </c>
      <c r="AO193" s="125">
        <f>AH193*-Valores!$C$72</f>
        <v>0</v>
      </c>
      <c r="AP193" s="125">
        <f>AH193*Valores!$C$73</f>
        <v>-1269.69795</v>
      </c>
      <c r="AQ193" s="125">
        <f>Valores!$C$100</f>
        <v>-554.86</v>
      </c>
      <c r="AR193" s="125">
        <f>IF($F$5=0,Valores!$C$101,(Valores!$C$101+$F$5*(Valores!$C$101)))</f>
        <v>-550</v>
      </c>
      <c r="AS193" s="125">
        <f t="shared" si="24"/>
        <v>22737.245950000004</v>
      </c>
      <c r="AT193" s="125">
        <f t="shared" si="18"/>
        <v>-3103.7061000000003</v>
      </c>
      <c r="AU193" s="125">
        <f>AH193*Valores!$C$74</f>
        <v>-761.8187700000001</v>
      </c>
      <c r="AV193" s="125">
        <f>AH193*Valores!$C$75</f>
        <v>-84.64653000000001</v>
      </c>
      <c r="AW193" s="125">
        <f t="shared" si="22"/>
        <v>24265.338600000003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13962.01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2697.83</v>
      </c>
      <c r="N194" s="125">
        <f t="shared" si="19"/>
        <v>0</v>
      </c>
      <c r="O194" s="125">
        <f>Valores!$C$7*B194</f>
        <v>4782.76</v>
      </c>
      <c r="P194" s="125">
        <f>ROUND(IF(B194&lt;15,(Valores!$E$5*B194),Valores!$D$5),2)</f>
        <v>4806.32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2519.28</v>
      </c>
      <c r="S194" s="125">
        <f>Valores!$C$18*B194</f>
        <v>1504.24</v>
      </c>
      <c r="T194" s="125">
        <f t="shared" si="25"/>
        <v>1504.24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4884.24</v>
      </c>
      <c r="AA194" s="125">
        <f>IF((Valores!$C$28)*B194&gt;Valores!$F$28,Valores!$F$28,(Valores!$C$28)*B194)</f>
        <v>118.16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98.4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2247.44</v>
      </c>
      <c r="AH194" s="125">
        <f t="shared" si="23"/>
        <v>37620.68000000001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0</v>
      </c>
      <c r="AL194" s="125">
        <f>IF($F$3="NO",0,IF(Valores!$C$61*B194&gt;Valores!$F$61,Valores!$F$61,Valores!$C$61*B194))</f>
        <v>0</v>
      </c>
      <c r="AM194" s="125">
        <f t="shared" si="21"/>
        <v>0</v>
      </c>
      <c r="AN194" s="125">
        <f>AH194*Valores!$C$71</f>
        <v>-4138.274800000001</v>
      </c>
      <c r="AO194" s="125">
        <f>AH194*-Valores!$C$72</f>
        <v>0</v>
      </c>
      <c r="AP194" s="125">
        <f>AH194*Valores!$C$73</f>
        <v>-1692.9306000000004</v>
      </c>
      <c r="AQ194" s="125">
        <f>Valores!$C$100</f>
        <v>-554.86</v>
      </c>
      <c r="AR194" s="125">
        <f>IF($F$5=0,Valores!$C$101,(Valores!$C$101+$F$5*(Valores!$C$101)))</f>
        <v>-550</v>
      </c>
      <c r="AS194" s="125">
        <f t="shared" si="24"/>
        <v>30684.614600000008</v>
      </c>
      <c r="AT194" s="125">
        <f t="shared" si="18"/>
        <v>-4138.274800000001</v>
      </c>
      <c r="AU194" s="125">
        <f>AH194*Valores!$C$74</f>
        <v>-1015.7583600000002</v>
      </c>
      <c r="AV194" s="125">
        <f>AH194*Valores!$C$75</f>
        <v>-112.86204000000002</v>
      </c>
      <c r="AW194" s="125">
        <f t="shared" si="22"/>
        <v>32353.78480000001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17452.51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3372.29</v>
      </c>
      <c r="N195" s="125">
        <f t="shared" si="19"/>
        <v>0</v>
      </c>
      <c r="O195" s="125">
        <f>Valores!$C$7*B195</f>
        <v>5978.450000000001</v>
      </c>
      <c r="P195" s="125">
        <f>ROUND(IF(B195&lt;15,(Valores!$E$5*B195),Valores!$D$5),2)</f>
        <v>6007.9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3149.1000000000004</v>
      </c>
      <c r="S195" s="125">
        <f>Valores!$C$18*B195</f>
        <v>1880.3</v>
      </c>
      <c r="T195" s="125">
        <f t="shared" si="25"/>
        <v>1880.3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6105.299999999999</v>
      </c>
      <c r="AA195" s="125">
        <f>IF((Valores!$C$28)*B195&gt;Valores!$F$28,Valores!$F$28,(Valores!$C$28)*B195)</f>
        <v>147.7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123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2809.3</v>
      </c>
      <c r="AH195" s="125">
        <f t="shared" si="23"/>
        <v>47025.850000000006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0</v>
      </c>
      <c r="AL195" s="125">
        <f>IF($F$3="NO",0,IF(Valores!$C$61*B195&gt;Valores!$F$61,Valores!$F$61,Valores!$C$61*B195))</f>
        <v>0</v>
      </c>
      <c r="AM195" s="125">
        <f t="shared" si="21"/>
        <v>0</v>
      </c>
      <c r="AN195" s="125">
        <f>AH195*Valores!$C$71</f>
        <v>-5172.843500000001</v>
      </c>
      <c r="AO195" s="125">
        <f>AH195*-Valores!$C$72</f>
        <v>0</v>
      </c>
      <c r="AP195" s="125">
        <f>AH195*Valores!$C$73</f>
        <v>-2116.16325</v>
      </c>
      <c r="AQ195" s="125">
        <f>Valores!$C$100</f>
        <v>-554.86</v>
      </c>
      <c r="AR195" s="125">
        <f>IF($F$5=0,Valores!$C$101,(Valores!$C$101+$F$5*(Valores!$C$101)))</f>
        <v>-550</v>
      </c>
      <c r="AS195" s="125">
        <f t="shared" si="24"/>
        <v>38631.983250000005</v>
      </c>
      <c r="AT195" s="125">
        <f t="shared" si="18"/>
        <v>-5172.843500000001</v>
      </c>
      <c r="AU195" s="125">
        <f>AH195*Valores!$C$74</f>
        <v>-1269.6979500000002</v>
      </c>
      <c r="AV195" s="125">
        <f>AH195*Valores!$C$75</f>
        <v>-141.07755000000003</v>
      </c>
      <c r="AW195" s="125">
        <f t="shared" si="22"/>
        <v>40442.23100000001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20943.01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4046.74</v>
      </c>
      <c r="N196" s="125">
        <f t="shared" si="19"/>
        <v>0</v>
      </c>
      <c r="O196" s="125">
        <f>Valores!$C$7*B196</f>
        <v>7174.14</v>
      </c>
      <c r="P196" s="125">
        <f>ROUND(IF(B196&lt;15,(Valores!$E$5*B196),Valores!$D$5),2)</f>
        <v>7209.48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3778.92</v>
      </c>
      <c r="S196" s="125">
        <f>Valores!$C$18*B196</f>
        <v>2256.36</v>
      </c>
      <c r="T196" s="125">
        <f t="shared" si="25"/>
        <v>2256.36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7326.36</v>
      </c>
      <c r="AA196" s="125">
        <f>IF((Valores!$C$28)*B196&gt;Valores!$F$28,Valores!$F$28,(Valores!$C$28)*B196)</f>
        <v>177.24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147.60000000000002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3371.16</v>
      </c>
      <c r="AH196" s="125">
        <f t="shared" si="23"/>
        <v>56431.009999999995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0</v>
      </c>
      <c r="AL196" s="125">
        <f>IF($F$3="NO",0,IF(Valores!$C$61*B196&gt;Valores!$F$61,Valores!$F$61,Valores!$C$61*B196))</f>
        <v>0</v>
      </c>
      <c r="AM196" s="125">
        <f t="shared" si="21"/>
        <v>0</v>
      </c>
      <c r="AN196" s="125">
        <f>AH196*Valores!$C$71</f>
        <v>-6207.411099999999</v>
      </c>
      <c r="AO196" s="125">
        <f>AH196*-Valores!$C$72</f>
        <v>0</v>
      </c>
      <c r="AP196" s="125">
        <f>AH196*Valores!$C$73</f>
        <v>-2539.3954499999995</v>
      </c>
      <c r="AQ196" s="125">
        <f>Valores!$C$100</f>
        <v>-554.86</v>
      </c>
      <c r="AR196" s="125">
        <f>IF($F$5=0,Valores!$C$101,(Valores!$C$101+$F$5*(Valores!$C$101)))</f>
        <v>-550</v>
      </c>
      <c r="AS196" s="125">
        <f t="shared" si="24"/>
        <v>46579.34344999999</v>
      </c>
      <c r="AT196" s="125">
        <f t="shared" si="18"/>
        <v>-6207.411099999999</v>
      </c>
      <c r="AU196" s="125">
        <f>AH196*Valores!$C$74</f>
        <v>-1523.63727</v>
      </c>
      <c r="AV196" s="125">
        <f>AH196*Valores!$C$75</f>
        <v>-169.29303</v>
      </c>
      <c r="AW196" s="125">
        <f t="shared" si="22"/>
        <v>48530.6686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24433.52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4721.2</v>
      </c>
      <c r="N197" s="125">
        <f t="shared" si="19"/>
        <v>0</v>
      </c>
      <c r="O197" s="125">
        <f>Valores!$C$7*B197</f>
        <v>8369.83</v>
      </c>
      <c r="P197" s="125">
        <f>ROUND(IF(B197&lt;15,(Valores!$E$5*B197),Valores!$D$5),2)</f>
        <v>8411.06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4408.740000000001</v>
      </c>
      <c r="S197" s="125">
        <f>Valores!$C$18*B197</f>
        <v>2632.42</v>
      </c>
      <c r="T197" s="125">
        <f t="shared" si="25"/>
        <v>2632.42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8547.42</v>
      </c>
      <c r="AA197" s="125">
        <f>IF((Valores!$C$28)*B197&gt;Valores!$F$28,Valores!$F$28,(Valores!$C$28)*B197)</f>
        <v>206.78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172.20000000000002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3933.02</v>
      </c>
      <c r="AH197" s="125">
        <f t="shared" si="23"/>
        <v>65836.18999999999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0</v>
      </c>
      <c r="AL197" s="125">
        <f>IF($F$3="NO",0,IF(Valores!$C$61*B197&gt;Valores!$F$61,Valores!$F$61,Valores!$C$61*B197))</f>
        <v>0</v>
      </c>
      <c r="AM197" s="125">
        <f t="shared" si="21"/>
        <v>0</v>
      </c>
      <c r="AN197" s="125">
        <f>AH197*Valores!$C$71</f>
        <v>-7241.980899999999</v>
      </c>
      <c r="AO197" s="125">
        <f>AH197*-Valores!$C$72</f>
        <v>0</v>
      </c>
      <c r="AP197" s="125">
        <f>AH197*Valores!$C$73</f>
        <v>-2962.6285499999994</v>
      </c>
      <c r="AQ197" s="125">
        <f>Valores!$C$100</f>
        <v>-554.86</v>
      </c>
      <c r="AR197" s="125">
        <f>IF($F$5=0,Valores!$C$101,(Valores!$C$101+$F$5*(Valores!$C$101)))</f>
        <v>-550</v>
      </c>
      <c r="AS197" s="125">
        <f t="shared" si="24"/>
        <v>54526.72054999999</v>
      </c>
      <c r="AT197" s="125">
        <f aca="true" t="shared" si="29" ref="AT197:AT260">AN197</f>
        <v>-7241.980899999999</v>
      </c>
      <c r="AU197" s="125">
        <f>AH197*Valores!$C$74</f>
        <v>-1777.5771299999997</v>
      </c>
      <c r="AV197" s="125">
        <f>AH197*Valores!$C$75</f>
        <v>-197.50856999999996</v>
      </c>
      <c r="AW197" s="125">
        <f t="shared" si="22"/>
        <v>56619.12339999999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27924.02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5395.66</v>
      </c>
      <c r="N198" s="125">
        <f t="shared" si="19"/>
        <v>0</v>
      </c>
      <c r="O198" s="125">
        <f>Valores!$C$7*B198</f>
        <v>9565.52</v>
      </c>
      <c r="P198" s="125">
        <f>ROUND(IF(B198&lt;15,(Valores!$E$5*B198),Valores!$D$5),2)</f>
        <v>9612.64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5038.56</v>
      </c>
      <c r="S198" s="125">
        <f>Valores!$C$18*B198</f>
        <v>3008.48</v>
      </c>
      <c r="T198" s="125">
        <f t="shared" si="25"/>
        <v>3008.48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9768.48</v>
      </c>
      <c r="AA198" s="125">
        <f>IF((Valores!$C$28)*B198&gt;Valores!$F$28,Valores!$F$28,(Valores!$C$28)*B198)</f>
        <v>236.32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196.8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4494.88</v>
      </c>
      <c r="AH198" s="125">
        <f t="shared" si="23"/>
        <v>75241.36000000002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0</v>
      </c>
      <c r="AL198" s="125">
        <f>IF($F$3="NO",0,IF(Valores!$C$61*B198&gt;Valores!$F$61,Valores!$F$61,Valores!$C$61*B198))</f>
        <v>0</v>
      </c>
      <c r="AM198" s="125">
        <f t="shared" si="21"/>
        <v>0</v>
      </c>
      <c r="AN198" s="125">
        <f>AH198*Valores!$C$71</f>
        <v>-8276.549600000002</v>
      </c>
      <c r="AO198" s="125">
        <f>AH198*-Valores!$C$72</f>
        <v>0</v>
      </c>
      <c r="AP198" s="125">
        <f>AH198*Valores!$C$73</f>
        <v>-3385.8612000000007</v>
      </c>
      <c r="AQ198" s="125">
        <f>Valores!$C$100</f>
        <v>-554.86</v>
      </c>
      <c r="AR198" s="125">
        <f>IF($F$5=0,Valores!$C$101,(Valores!$C$101+$F$5*(Valores!$C$101)))</f>
        <v>-550</v>
      </c>
      <c r="AS198" s="125">
        <f t="shared" si="24"/>
        <v>62474.08920000001</v>
      </c>
      <c r="AT198" s="125">
        <f t="shared" si="29"/>
        <v>-8276.549600000002</v>
      </c>
      <c r="AU198" s="125">
        <f>AH198*Valores!$C$74</f>
        <v>-2031.5167200000003</v>
      </c>
      <c r="AV198" s="125">
        <f>AH198*Valores!$C$75</f>
        <v>-225.72408000000004</v>
      </c>
      <c r="AW198" s="125">
        <f t="shared" si="22"/>
        <v>64707.56960000002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31414.52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6070.12</v>
      </c>
      <c r="N199" s="125">
        <f t="shared" si="19"/>
        <v>0</v>
      </c>
      <c r="O199" s="125">
        <f>Valores!$C$7*B199</f>
        <v>10761.210000000001</v>
      </c>
      <c r="P199" s="125">
        <f>ROUND(IF(B199&lt;15,(Valores!$E$5*B199),Valores!$D$5),2)</f>
        <v>10814.22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5668.38</v>
      </c>
      <c r="S199" s="125">
        <f>Valores!$C$18*B199</f>
        <v>3384.54</v>
      </c>
      <c r="T199" s="125">
        <f t="shared" si="25"/>
        <v>3384.54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10989.539999999999</v>
      </c>
      <c r="AA199" s="125">
        <f>IF((Valores!$C$28)*B199&gt;Valores!$F$28,Valores!$F$28,(Valores!$C$28)*B199)</f>
        <v>265.86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221.4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5056.74</v>
      </c>
      <c r="AH199" s="125">
        <f t="shared" si="23"/>
        <v>84646.52999999998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0</v>
      </c>
      <c r="AL199" s="125">
        <f>IF($F$3="NO",0,IF(Valores!$C$61*B199&gt;Valores!$F$61,Valores!$F$61,Valores!$C$61*B199))</f>
        <v>0</v>
      </c>
      <c r="AM199" s="125">
        <f t="shared" si="21"/>
        <v>0</v>
      </c>
      <c r="AN199" s="125">
        <f>AH199*Valores!$C$71</f>
        <v>-9311.118299999998</v>
      </c>
      <c r="AO199" s="125">
        <f>AH199*-Valores!$C$72</f>
        <v>0</v>
      </c>
      <c r="AP199" s="125">
        <f>AH199*Valores!$C$73</f>
        <v>-3809.0938499999993</v>
      </c>
      <c r="AQ199" s="125">
        <f>Valores!$C$100</f>
        <v>-554.86</v>
      </c>
      <c r="AR199" s="125">
        <f>IF($F$5=0,Valores!$C$101,(Valores!$C$101+$F$5*(Valores!$C$101)))</f>
        <v>-550</v>
      </c>
      <c r="AS199" s="125">
        <f t="shared" si="24"/>
        <v>70421.45784999999</v>
      </c>
      <c r="AT199" s="125">
        <f t="shared" si="29"/>
        <v>-9311.118299999998</v>
      </c>
      <c r="AU199" s="125">
        <f>AH199*Valores!$C$74</f>
        <v>-2285.4563099999996</v>
      </c>
      <c r="AV199" s="125">
        <f>AH199*Valores!$C$75</f>
        <v>-253.93958999999995</v>
      </c>
      <c r="AW199" s="125">
        <f t="shared" si="22"/>
        <v>72796.0158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34905.02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6744.57</v>
      </c>
      <c r="N200" s="125">
        <f aca="true" t="shared" si="30" ref="N200:N263">ROUND(SUM(F200,H200,J200,L200,X200,R200)*$H$2,2)</f>
        <v>0</v>
      </c>
      <c r="O200" s="125">
        <f>Valores!$C$7*B200</f>
        <v>11956.900000000001</v>
      </c>
      <c r="P200" s="125">
        <f>ROUND(IF(B200&lt;15,(Valores!$E$5*B200),Valores!$D$5),2)</f>
        <v>12015.8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6298.200000000001</v>
      </c>
      <c r="S200" s="125">
        <f>Valores!$C$18*B200</f>
        <v>3760.6</v>
      </c>
      <c r="T200" s="125">
        <f t="shared" si="25"/>
        <v>3760.6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12210.599999999999</v>
      </c>
      <c r="AA200" s="125">
        <f>IF((Valores!$C$28)*B200&gt;Valores!$F$28,Valores!$F$28,(Valores!$C$28)*B200)</f>
        <v>295.4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246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5618.6</v>
      </c>
      <c r="AH200" s="125">
        <f t="shared" si="23"/>
        <v>94051.69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0</v>
      </c>
      <c r="AL200" s="125">
        <f>IF($F$3="NO",0,IF(Valores!$C$61*B200&gt;Valores!$F$61,Valores!$F$61,Valores!$C$61*B200))</f>
        <v>0</v>
      </c>
      <c r="AM200" s="125">
        <f aca="true" t="shared" si="32" ref="AM200:AM263">SUM(AI200:AL200)</f>
        <v>0</v>
      </c>
      <c r="AN200" s="125">
        <f>AH200*Valores!$C$71</f>
        <v>-10345.6859</v>
      </c>
      <c r="AO200" s="125">
        <f>AH200*-Valores!$C$72</f>
        <v>0</v>
      </c>
      <c r="AP200" s="125">
        <f>AH200*Valores!$C$73</f>
        <v>-4232.32605</v>
      </c>
      <c r="AQ200" s="125">
        <f>Valores!$C$100</f>
        <v>-554.86</v>
      </c>
      <c r="AR200" s="125">
        <f>IF($F$5=0,Valores!$C$101,(Valores!$C$101+$F$5*(Valores!$C$101)))</f>
        <v>-550</v>
      </c>
      <c r="AS200" s="125">
        <f t="shared" si="24"/>
        <v>78368.81805</v>
      </c>
      <c r="AT200" s="125">
        <f t="shared" si="29"/>
        <v>-10345.6859</v>
      </c>
      <c r="AU200" s="125">
        <f>AH200*Valores!$C$74</f>
        <v>-2539.39563</v>
      </c>
      <c r="AV200" s="125">
        <f>AH200*Valores!$C$75</f>
        <v>-282.15507</v>
      </c>
      <c r="AW200" s="125">
        <f aca="true" t="shared" si="33" ref="AW200:AW263">AH200+AM200+SUM(AT200:AV200)</f>
        <v>80884.4534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38395.53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7419.03</v>
      </c>
      <c r="N201" s="125">
        <f t="shared" si="30"/>
        <v>0</v>
      </c>
      <c r="O201" s="125">
        <f>Valores!$C$7*B201</f>
        <v>13152.59</v>
      </c>
      <c r="P201" s="125">
        <f>ROUND(IF(B201&lt;15,(Valores!$E$5*B201),Valores!$D$5),2)</f>
        <v>13217.38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6928.02</v>
      </c>
      <c r="S201" s="125">
        <f>Valores!$C$18*B201</f>
        <v>4136.66</v>
      </c>
      <c r="T201" s="125">
        <f t="shared" si="25"/>
        <v>4136.66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13431.66</v>
      </c>
      <c r="AA201" s="125">
        <f>IF((Valores!$C$28)*B201&gt;Valores!$F$28,Valores!$F$28,(Valores!$C$28)*B201)</f>
        <v>324.94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270.6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6180.46</v>
      </c>
      <c r="AH201" s="125">
        <f aca="true" t="shared" si="34" ref="AH201:AH264">SUM(F201,H201,J201,L201,M201,N201,O201,P201,Q201,R201,T201,U201,V201,X201,Y201,Z201,AA201,AC201,AD201,AF201,AG201)</f>
        <v>103456.87000000002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0</v>
      </c>
      <c r="AL201" s="125">
        <f>IF($F$3="NO",0,IF(Valores!$C$61*B201&gt;Valores!$F$61,Valores!$F$61,Valores!$C$61*B201))</f>
        <v>0</v>
      </c>
      <c r="AM201" s="125">
        <f t="shared" si="32"/>
        <v>0</v>
      </c>
      <c r="AN201" s="125">
        <f>AH201*Valores!$C$71</f>
        <v>-11380.255700000003</v>
      </c>
      <c r="AO201" s="125">
        <f>AH201*-Valores!$C$72</f>
        <v>0</v>
      </c>
      <c r="AP201" s="125">
        <f>AH201*Valores!$C$73</f>
        <v>-4655.559150000001</v>
      </c>
      <c r="AQ201" s="125">
        <f>Valores!$C$100</f>
        <v>-554.86</v>
      </c>
      <c r="AR201" s="125">
        <f>IF($F$5=0,Valores!$C$101,(Valores!$C$101+$F$5*(Valores!$C$101)))</f>
        <v>-550</v>
      </c>
      <c r="AS201" s="125">
        <f aca="true" t="shared" si="35" ref="AS201:AS264">AH201+SUM(AM201:AR201)</f>
        <v>86316.19515000001</v>
      </c>
      <c r="AT201" s="125">
        <f t="shared" si="29"/>
        <v>-11380.255700000003</v>
      </c>
      <c r="AU201" s="125">
        <f>AH201*Valores!$C$74</f>
        <v>-2793.335490000001</v>
      </c>
      <c r="AV201" s="125">
        <f>AH201*Valores!$C$75</f>
        <v>-310.37061000000006</v>
      </c>
      <c r="AW201" s="125">
        <f t="shared" si="33"/>
        <v>88972.90820000002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41886.03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8093.49</v>
      </c>
      <c r="N202" s="125">
        <f t="shared" si="30"/>
        <v>0</v>
      </c>
      <c r="O202" s="125">
        <f>Valores!$C$7*B202</f>
        <v>14348.28</v>
      </c>
      <c r="P202" s="125">
        <f>ROUND(IF(B202&lt;15,(Valores!$E$5*B202),Valores!$D$5),2)</f>
        <v>14418.96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7557.84</v>
      </c>
      <c r="S202" s="125">
        <f>Valores!$C$18*B202</f>
        <v>4512.72</v>
      </c>
      <c r="T202" s="125">
        <f t="shared" si="25"/>
        <v>4512.72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14652.72</v>
      </c>
      <c r="AA202" s="125">
        <f>IF((Valores!$C$28)*B202&gt;Valores!$F$28,Valores!$F$28,(Valores!$C$28)*B202)</f>
        <v>354.48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295.20000000000005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6742.32</v>
      </c>
      <c r="AH202" s="125">
        <f t="shared" si="34"/>
        <v>112862.03999999998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0</v>
      </c>
      <c r="AL202" s="125">
        <f>IF($F$3="NO",0,IF(Valores!$C$61*B202&gt;Valores!$F$61,Valores!$F$61,Valores!$C$61*B202))</f>
        <v>0</v>
      </c>
      <c r="AM202" s="125">
        <f t="shared" si="32"/>
        <v>0</v>
      </c>
      <c r="AN202" s="125">
        <f>AH202*Valores!$C$71</f>
        <v>-12414.824399999998</v>
      </c>
      <c r="AO202" s="125">
        <f>AH202*-Valores!$C$72</f>
        <v>0</v>
      </c>
      <c r="AP202" s="125">
        <f>AH202*Valores!$C$73</f>
        <v>-5078.791799999999</v>
      </c>
      <c r="AQ202" s="125">
        <f>Valores!$C$100</f>
        <v>-554.86</v>
      </c>
      <c r="AR202" s="125">
        <f>IF($F$5=0,Valores!$C$101,(Valores!$C$101+$F$5*(Valores!$C$101)))</f>
        <v>-550</v>
      </c>
      <c r="AS202" s="125">
        <f t="shared" si="35"/>
        <v>94263.56379999997</v>
      </c>
      <c r="AT202" s="125">
        <f t="shared" si="29"/>
        <v>-12414.824399999998</v>
      </c>
      <c r="AU202" s="125">
        <f>AH202*Valores!$C$74</f>
        <v>-3047.2750799999994</v>
      </c>
      <c r="AV202" s="125">
        <f>AH202*Valores!$C$75</f>
        <v>-338.58611999999994</v>
      </c>
      <c r="AW202" s="125">
        <f t="shared" si="33"/>
        <v>97061.35439999998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45376.53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8767.95</v>
      </c>
      <c r="N203" s="125">
        <f t="shared" si="30"/>
        <v>0</v>
      </c>
      <c r="O203" s="125">
        <f>Valores!$C$7*B203</f>
        <v>15543.970000000001</v>
      </c>
      <c r="P203" s="125">
        <f>ROUND(IF(B203&lt;15,(Valores!$E$5*B203),Valores!$D$5),2)</f>
        <v>15620.54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8187.660000000001</v>
      </c>
      <c r="S203" s="125">
        <f>Valores!$C$18*B203</f>
        <v>4888.78</v>
      </c>
      <c r="T203" s="125">
        <f aca="true" t="shared" si="36" ref="T203:T266">ROUND(S203*(1+$H$2),2)</f>
        <v>4888.78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15873.779999999999</v>
      </c>
      <c r="AA203" s="125">
        <f>IF((Valores!$C$28)*B203&gt;Valores!$F$28,Valores!$F$28,(Valores!$C$28)*B203)</f>
        <v>384.02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319.8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7304.18</v>
      </c>
      <c r="AH203" s="125">
        <f t="shared" si="34"/>
        <v>122267.20999999999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0</v>
      </c>
      <c r="AL203" s="125">
        <f>IF($F$3="NO",0,IF(Valores!$C$61*B203&gt;Valores!$F$61,Valores!$F$61,Valores!$C$61*B203))</f>
        <v>0</v>
      </c>
      <c r="AM203" s="125">
        <f t="shared" si="32"/>
        <v>0</v>
      </c>
      <c r="AN203" s="125">
        <f>AH203*Valores!$C$71</f>
        <v>-13449.3931</v>
      </c>
      <c r="AO203" s="125">
        <f>AH203*-Valores!$C$72</f>
        <v>0</v>
      </c>
      <c r="AP203" s="125">
        <f>AH203*Valores!$C$73</f>
        <v>-5502.024449999999</v>
      </c>
      <c r="AQ203" s="125">
        <f>Valores!$C$100</f>
        <v>-554.86</v>
      </c>
      <c r="AR203" s="125">
        <f>IF($F$5=0,Valores!$C$101,(Valores!$C$101+$F$5*(Valores!$C$101)))</f>
        <v>-550</v>
      </c>
      <c r="AS203" s="125">
        <f t="shared" si="35"/>
        <v>102210.93245</v>
      </c>
      <c r="AT203" s="125">
        <f t="shared" si="29"/>
        <v>-13449.3931</v>
      </c>
      <c r="AU203" s="125">
        <f>AH203*Valores!$C$74</f>
        <v>-3301.21467</v>
      </c>
      <c r="AV203" s="125">
        <f>AH203*Valores!$C$75</f>
        <v>-366.80163</v>
      </c>
      <c r="AW203" s="125">
        <f t="shared" si="33"/>
        <v>105149.80059999999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48867.03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9442.4</v>
      </c>
      <c r="N204" s="125">
        <f t="shared" si="30"/>
        <v>0</v>
      </c>
      <c r="O204" s="125">
        <f>Valores!$C$7*B204</f>
        <v>16739.66</v>
      </c>
      <c r="P204" s="125">
        <f>ROUND(IF(B204&lt;15,(Valores!$E$5*B204),Valores!$D$5),2)</f>
        <v>16822.12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8817.480000000001</v>
      </c>
      <c r="S204" s="125">
        <f>Valores!$C$18*B204</f>
        <v>5264.84</v>
      </c>
      <c r="T204" s="125">
        <f t="shared" si="36"/>
        <v>5264.84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17094.84</v>
      </c>
      <c r="AA204" s="125">
        <f>IF((Valores!$C$28)*B204&gt;Valores!$F$28,Valores!$F$28,(Valores!$C$28)*B204)</f>
        <v>413.56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344.40000000000003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7866.04</v>
      </c>
      <c r="AH204" s="125">
        <f t="shared" si="34"/>
        <v>131672.36999999997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0</v>
      </c>
      <c r="AL204" s="125">
        <f>IF($F$3="NO",0,IF(Valores!$C$61*B204&gt;Valores!$F$61,Valores!$F$61,Valores!$C$61*B204))</f>
        <v>0</v>
      </c>
      <c r="AM204" s="125">
        <f t="shared" si="32"/>
        <v>0</v>
      </c>
      <c r="AN204" s="125">
        <f>AH204*Valores!$C$71</f>
        <v>-14483.960699999996</v>
      </c>
      <c r="AO204" s="125">
        <f>AH204*-Valores!$C$72</f>
        <v>0</v>
      </c>
      <c r="AP204" s="125">
        <f>AH204*Valores!$C$73</f>
        <v>-5925.256649999998</v>
      </c>
      <c r="AQ204" s="125">
        <f>Valores!$C$100</f>
        <v>-554.86</v>
      </c>
      <c r="AR204" s="125">
        <f>IF($F$5=0,Valores!$C$101,(Valores!$C$101+$F$5*(Valores!$C$101)))</f>
        <v>-550</v>
      </c>
      <c r="AS204" s="125">
        <f t="shared" si="35"/>
        <v>110158.29264999997</v>
      </c>
      <c r="AT204" s="125">
        <f t="shared" si="29"/>
        <v>-14483.960699999996</v>
      </c>
      <c r="AU204" s="125">
        <f>AH204*Valores!$C$74</f>
        <v>-3555.153989999999</v>
      </c>
      <c r="AV204" s="125">
        <f>AH204*Valores!$C$75</f>
        <v>-395.0171099999999</v>
      </c>
      <c r="AW204" s="125">
        <f t="shared" si="33"/>
        <v>113238.23819999996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52357.54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10116.86</v>
      </c>
      <c r="N205" s="125">
        <f t="shared" si="30"/>
        <v>0</v>
      </c>
      <c r="O205" s="125">
        <f>Valores!$C$7*B205</f>
        <v>17935.350000000002</v>
      </c>
      <c r="P205" s="125">
        <f>ROUND(IF(B205&lt;15,(Valores!$E$5*B205),Valores!$D$5),2)</f>
        <v>18023.69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9447.300000000001</v>
      </c>
      <c r="S205" s="125">
        <f>Valores!$C$18*B205</f>
        <v>5640.9</v>
      </c>
      <c r="T205" s="125">
        <f t="shared" si="36"/>
        <v>5640.9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18315.899999999998</v>
      </c>
      <c r="AA205" s="125">
        <f>IF((Valores!$C$28)*B205&gt;Valores!$F$28,Valores!$F$28,(Valores!$C$28)*B205)</f>
        <v>443.09999999999997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369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8427.9</v>
      </c>
      <c r="AH205" s="125">
        <f t="shared" si="34"/>
        <v>141077.54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0</v>
      </c>
      <c r="AL205" s="125">
        <f>IF($F$3="NO",0,IF(Valores!$C$61*B205&gt;Valores!$F$61,Valores!$F$61,Valores!$C$61*B205))</f>
        <v>0</v>
      </c>
      <c r="AM205" s="125">
        <f t="shared" si="32"/>
        <v>0</v>
      </c>
      <c r="AN205" s="125">
        <f>AH205*Valores!$C$71</f>
        <v>-15518.529400000001</v>
      </c>
      <c r="AO205" s="125">
        <f>AH205*-Valores!$C$72</f>
        <v>0</v>
      </c>
      <c r="AP205" s="125">
        <f>AH205*Valores!$C$73</f>
        <v>-6348.4893</v>
      </c>
      <c r="AQ205" s="125">
        <f>Valores!$C$100</f>
        <v>-554.86</v>
      </c>
      <c r="AR205" s="125">
        <f>IF($F$5=0,Valores!$C$101,(Valores!$C$101+$F$5*(Valores!$C$101)))</f>
        <v>-550</v>
      </c>
      <c r="AS205" s="125">
        <f t="shared" si="35"/>
        <v>118105.6613</v>
      </c>
      <c r="AT205" s="125">
        <f t="shared" si="29"/>
        <v>-15518.529400000001</v>
      </c>
      <c r="AU205" s="125">
        <f>AH205*Valores!$C$74</f>
        <v>-3809.09358</v>
      </c>
      <c r="AV205" s="125">
        <f>AH205*Valores!$C$75</f>
        <v>-423.23262000000005</v>
      </c>
      <c r="AW205" s="125">
        <f t="shared" si="33"/>
        <v>121326.68440000001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55848.04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10791.32</v>
      </c>
      <c r="N206" s="125">
        <f t="shared" si="30"/>
        <v>0</v>
      </c>
      <c r="O206" s="125">
        <f>Valores!$C$7*B206</f>
        <v>19131.04</v>
      </c>
      <c r="P206" s="125">
        <f>ROUND(IF(B206&lt;15,(Valores!$E$5*B206),Valores!$D$5),2)</f>
        <v>18023.69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10077.12</v>
      </c>
      <c r="S206" s="125">
        <f>Valores!$C$18*B206</f>
        <v>6016.96</v>
      </c>
      <c r="T206" s="125">
        <f t="shared" si="36"/>
        <v>6016.96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19536.96</v>
      </c>
      <c r="AA206" s="125">
        <f>IF((Valores!$C$28)*B206&gt;Valores!$F$28,Valores!$F$28,(Valores!$C$28)*B206)</f>
        <v>472.64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393.6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8989.76</v>
      </c>
      <c r="AH206" s="125">
        <f t="shared" si="34"/>
        <v>149281.13000000003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0</v>
      </c>
      <c r="AL206" s="125">
        <f>IF($F$3="NO",0,IF(Valores!$C$61*B206&gt;Valores!$F$61,Valores!$F$61,Valores!$C$61*B206))</f>
        <v>0</v>
      </c>
      <c r="AM206" s="125">
        <f t="shared" si="32"/>
        <v>0</v>
      </c>
      <c r="AN206" s="125">
        <f>AH206*Valores!$C$71</f>
        <v>-16420.924300000002</v>
      </c>
      <c r="AO206" s="125">
        <f>AH206*-Valores!$C$72</f>
        <v>0</v>
      </c>
      <c r="AP206" s="125">
        <f>AH206*Valores!$C$73</f>
        <v>-6717.650850000001</v>
      </c>
      <c r="AQ206" s="125">
        <f>Valores!$C$100</f>
        <v>-554.86</v>
      </c>
      <c r="AR206" s="125">
        <f>IF($F$5=0,Valores!$C$101,(Valores!$C$101+$F$5*(Valores!$C$101)))</f>
        <v>-550</v>
      </c>
      <c r="AS206" s="125">
        <f t="shared" si="35"/>
        <v>125037.69485000003</v>
      </c>
      <c r="AT206" s="125">
        <f t="shared" si="29"/>
        <v>-16420.924300000002</v>
      </c>
      <c r="AU206" s="125">
        <f>AH206*Valores!$C$74</f>
        <v>-4030.590510000001</v>
      </c>
      <c r="AV206" s="125">
        <f>AH206*Valores!$C$75</f>
        <v>-447.8433900000001</v>
      </c>
      <c r="AW206" s="125">
        <f t="shared" si="33"/>
        <v>128381.77180000003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59338.54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11465.78</v>
      </c>
      <c r="N207" s="125">
        <f t="shared" si="30"/>
        <v>0</v>
      </c>
      <c r="O207" s="125">
        <f>Valores!$C$7*B207</f>
        <v>20326.73</v>
      </c>
      <c r="P207" s="125">
        <f>ROUND(IF(B207&lt;15,(Valores!$E$5*B207),Valores!$D$5),2)</f>
        <v>18023.69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10706.94</v>
      </c>
      <c r="S207" s="125">
        <f>Valores!$C$18*B207</f>
        <v>6393.02</v>
      </c>
      <c r="T207" s="125">
        <f t="shared" si="36"/>
        <v>6393.02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20758.02</v>
      </c>
      <c r="AA207" s="125">
        <f>IF((Valores!$C$28)*B207&gt;Valores!$F$28,Valores!$F$28,(Valores!$C$28)*B207)</f>
        <v>502.18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418.20000000000005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9551.62</v>
      </c>
      <c r="AH207" s="125">
        <f t="shared" si="34"/>
        <v>157484.72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0</v>
      </c>
      <c r="AL207" s="125">
        <f>IF($F$3="NO",0,IF(Valores!$C$61*B207&gt;Valores!$F$61,Valores!$F$61,Valores!$C$61*B207))</f>
        <v>0</v>
      </c>
      <c r="AM207" s="125">
        <f t="shared" si="32"/>
        <v>0</v>
      </c>
      <c r="AN207" s="125">
        <f>AH207*Valores!$C$71</f>
        <v>-17323.3192</v>
      </c>
      <c r="AO207" s="125">
        <f>AH207*-Valores!$C$72</f>
        <v>0</v>
      </c>
      <c r="AP207" s="125">
        <f>AH207*Valores!$C$73</f>
        <v>-7086.8124</v>
      </c>
      <c r="AQ207" s="125">
        <f>Valores!$C$100</f>
        <v>-554.86</v>
      </c>
      <c r="AR207" s="125">
        <f>IF($F$5=0,Valores!$C$101,(Valores!$C$101+$F$5*(Valores!$C$101)))</f>
        <v>-550</v>
      </c>
      <c r="AS207" s="125">
        <f t="shared" si="35"/>
        <v>131969.7284</v>
      </c>
      <c r="AT207" s="125">
        <f t="shared" si="29"/>
        <v>-17323.3192</v>
      </c>
      <c r="AU207" s="125">
        <f>AH207*Valores!$C$74</f>
        <v>-4252.08744</v>
      </c>
      <c r="AV207" s="125">
        <f>AH207*Valores!$C$75</f>
        <v>-472.45416</v>
      </c>
      <c r="AW207" s="125">
        <f t="shared" si="33"/>
        <v>135436.8592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62829.04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12140.23</v>
      </c>
      <c r="N208" s="125">
        <f t="shared" si="30"/>
        <v>0</v>
      </c>
      <c r="O208" s="125">
        <f>Valores!$C$7*B208</f>
        <v>21522.420000000002</v>
      </c>
      <c r="P208" s="125">
        <f>ROUND(IF(B208&lt;15,(Valores!$E$5*B208),Valores!$D$5),2)</f>
        <v>18023.69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11336.76</v>
      </c>
      <c r="S208" s="125">
        <f>Valores!$C$18*B208</f>
        <v>6769.08</v>
      </c>
      <c r="T208" s="125">
        <f t="shared" si="36"/>
        <v>6769.08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21979.079999999998</v>
      </c>
      <c r="AA208" s="125">
        <f>IF((Valores!$C$28)*B208&gt;Valores!$F$28,Valores!$F$28,(Valores!$C$28)*B208)</f>
        <v>531.72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442.8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10113.48</v>
      </c>
      <c r="AH208" s="125">
        <f t="shared" si="34"/>
        <v>165688.3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0</v>
      </c>
      <c r="AL208" s="125">
        <f>IF($F$3="NO",0,IF(Valores!$C$61*B208&gt;Valores!$F$61,Valores!$F$61,Valores!$C$61*B208))</f>
        <v>0</v>
      </c>
      <c r="AM208" s="125">
        <f t="shared" si="32"/>
        <v>0</v>
      </c>
      <c r="AN208" s="125">
        <f>AH208*Valores!$C$71</f>
        <v>-18225.713</v>
      </c>
      <c r="AO208" s="125">
        <f>AH208*-Valores!$C$72</f>
        <v>0</v>
      </c>
      <c r="AP208" s="125">
        <f>AH208*Valores!$C$73</f>
        <v>-7455.973499999999</v>
      </c>
      <c r="AQ208" s="125">
        <f>Valores!$C$100</f>
        <v>-554.86</v>
      </c>
      <c r="AR208" s="125">
        <f>IF($F$5=0,Valores!$C$101,(Valores!$C$101+$F$5*(Valores!$C$101)))</f>
        <v>-550</v>
      </c>
      <c r="AS208" s="125">
        <f t="shared" si="35"/>
        <v>138901.7535</v>
      </c>
      <c r="AT208" s="125">
        <f t="shared" si="29"/>
        <v>-18225.713</v>
      </c>
      <c r="AU208" s="125">
        <f>AH208*Valores!$C$74</f>
        <v>-4473.5841</v>
      </c>
      <c r="AV208" s="125">
        <f>AH208*Valores!$C$75</f>
        <v>-497.06489999999997</v>
      </c>
      <c r="AW208" s="125">
        <f t="shared" si="33"/>
        <v>142491.938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66319.55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12814.69</v>
      </c>
      <c r="N209" s="125">
        <f t="shared" si="30"/>
        <v>0</v>
      </c>
      <c r="O209" s="125">
        <f>Valores!$C$7*B209</f>
        <v>22718.11</v>
      </c>
      <c r="P209" s="125">
        <f>ROUND(IF(B209&lt;15,(Valores!$E$5*B209),Valores!$D$5),2)</f>
        <v>18023.69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11966.580000000002</v>
      </c>
      <c r="S209" s="125">
        <f>Valores!$C$18*B209</f>
        <v>7145.14</v>
      </c>
      <c r="T209" s="125">
        <f t="shared" si="36"/>
        <v>7145.14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23200.14</v>
      </c>
      <c r="AA209" s="125">
        <f>IF((Valores!$C$28)*B209&gt;Valores!$F$28,Valores!$F$28,(Valores!$C$28)*B209)</f>
        <v>561.26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467.40000000000003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10675.34</v>
      </c>
      <c r="AH209" s="125">
        <f t="shared" si="34"/>
        <v>173891.90000000002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0</v>
      </c>
      <c r="AL209" s="125">
        <f>IF($F$3="NO",0,IF(Valores!$C$61*B209&gt;Valores!$F$61,Valores!$F$61,Valores!$C$61*B209))</f>
        <v>0</v>
      </c>
      <c r="AM209" s="125">
        <f t="shared" si="32"/>
        <v>0</v>
      </c>
      <c r="AN209" s="125">
        <f>AH209*Valores!$C$71</f>
        <v>-19128.109000000004</v>
      </c>
      <c r="AO209" s="125">
        <f>AH209*-Valores!$C$72</f>
        <v>0</v>
      </c>
      <c r="AP209" s="125">
        <f>AH209*Valores!$C$73</f>
        <v>-7825.1355</v>
      </c>
      <c r="AQ209" s="125">
        <f>Valores!$C$100</f>
        <v>-554.86</v>
      </c>
      <c r="AR209" s="125">
        <f>IF($F$5=0,Valores!$C$101,(Valores!$C$101+$F$5*(Valores!$C$101)))</f>
        <v>-550</v>
      </c>
      <c r="AS209" s="125">
        <f t="shared" si="35"/>
        <v>145833.7955</v>
      </c>
      <c r="AT209" s="125">
        <f t="shared" si="29"/>
        <v>-19128.109000000004</v>
      </c>
      <c r="AU209" s="125">
        <f>AH209*Valores!$C$74</f>
        <v>-4695.081300000001</v>
      </c>
      <c r="AV209" s="125">
        <f>AH209*Valores!$C$75</f>
        <v>-521.6757000000001</v>
      </c>
      <c r="AW209" s="125">
        <f t="shared" si="33"/>
        <v>149547.034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69810.05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13489.15</v>
      </c>
      <c r="N210" s="125">
        <f t="shared" si="30"/>
        <v>0</v>
      </c>
      <c r="O210" s="125">
        <f>Valores!$C$7*B210</f>
        <v>23913.800000000003</v>
      </c>
      <c r="P210" s="125">
        <f>ROUND(IF(B210&lt;15,(Valores!$E$5*B210),Valores!$D$5),2)</f>
        <v>18023.69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12596.400000000001</v>
      </c>
      <c r="S210" s="125">
        <f>Valores!$C$18*B210</f>
        <v>7521.2</v>
      </c>
      <c r="T210" s="125">
        <f t="shared" si="36"/>
        <v>7521.2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24421.199999999997</v>
      </c>
      <c r="AA210" s="125">
        <f>IF((Valores!$C$28)*B210&gt;Valores!$F$28,Valores!$F$28,(Valores!$C$28)*B210)</f>
        <v>590.8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492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11237.2</v>
      </c>
      <c r="AH210" s="125">
        <f t="shared" si="34"/>
        <v>182095.49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0</v>
      </c>
      <c r="AL210" s="125">
        <f>IF($F$3="NO",0,IF(Valores!$C$61*B210&gt;Valores!$F$61,Valores!$F$61,Valores!$C$61*B210))</f>
        <v>0</v>
      </c>
      <c r="AM210" s="125">
        <f t="shared" si="32"/>
        <v>0</v>
      </c>
      <c r="AN210" s="125">
        <f>AH210*Valores!$C$71</f>
        <v>-20030.5039</v>
      </c>
      <c r="AO210" s="125">
        <f>AH210*-Valores!$C$72</f>
        <v>0</v>
      </c>
      <c r="AP210" s="125">
        <f>AH210*Valores!$C$73</f>
        <v>-8194.29705</v>
      </c>
      <c r="AQ210" s="125">
        <f>Valores!$C$100</f>
        <v>-554.86</v>
      </c>
      <c r="AR210" s="125">
        <f>IF($F$5=0,Valores!$C$101,(Valores!$C$101+$F$5*(Valores!$C$101)))</f>
        <v>-550</v>
      </c>
      <c r="AS210" s="125">
        <f t="shared" si="35"/>
        <v>152765.82905</v>
      </c>
      <c r="AT210" s="125">
        <f t="shared" si="29"/>
        <v>-20030.5039</v>
      </c>
      <c r="AU210" s="125">
        <f>AH210*Valores!$C$74</f>
        <v>-4916.57823</v>
      </c>
      <c r="AV210" s="125">
        <f>AH210*Valores!$C$75</f>
        <v>-546.28647</v>
      </c>
      <c r="AW210" s="125">
        <f t="shared" si="33"/>
        <v>156602.1214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73300.55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14163.6</v>
      </c>
      <c r="N211" s="125">
        <f t="shared" si="30"/>
        <v>0</v>
      </c>
      <c r="O211" s="125">
        <f>Valores!$C$7*B211</f>
        <v>25109.49</v>
      </c>
      <c r="P211" s="125">
        <f>ROUND(IF(B211&lt;15,(Valores!$E$5*B211),Valores!$D$5),2)</f>
        <v>18023.69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13226.220000000001</v>
      </c>
      <c r="S211" s="125">
        <f>Valores!$C$18*B211</f>
        <v>7897.26</v>
      </c>
      <c r="T211" s="125">
        <f t="shared" si="36"/>
        <v>7897.26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25642.26</v>
      </c>
      <c r="AA211" s="125">
        <f>IF((Valores!$C$28)*B211&gt;Valores!$F$28,Valores!$F$28,(Valores!$C$28)*B211)</f>
        <v>620.34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516.6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11799.06</v>
      </c>
      <c r="AH211" s="125">
        <f t="shared" si="34"/>
        <v>190299.07000000004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0</v>
      </c>
      <c r="AL211" s="125">
        <f>IF($F$3="NO",0,IF(Valores!$C$61*B211&gt;Valores!$F$61,Valores!$F$61,Valores!$C$61*B211))</f>
        <v>0</v>
      </c>
      <c r="AM211" s="125">
        <f t="shared" si="32"/>
        <v>0</v>
      </c>
      <c r="AN211" s="125">
        <f>AH211*Valores!$C$71</f>
        <v>-20932.897700000005</v>
      </c>
      <c r="AO211" s="125">
        <f>AH211*-Valores!$C$72</f>
        <v>0</v>
      </c>
      <c r="AP211" s="125">
        <f>AH211*Valores!$C$73</f>
        <v>-8563.458150000002</v>
      </c>
      <c r="AQ211" s="125">
        <f>Valores!$C$100</f>
        <v>-554.86</v>
      </c>
      <c r="AR211" s="125">
        <f>IF($F$5=0,Valores!$C$101,(Valores!$C$101+$F$5*(Valores!$C$101)))</f>
        <v>-550</v>
      </c>
      <c r="AS211" s="125">
        <f t="shared" si="35"/>
        <v>159697.85415000003</v>
      </c>
      <c r="AT211" s="125">
        <f t="shared" si="29"/>
        <v>-20932.897700000005</v>
      </c>
      <c r="AU211" s="125">
        <f>AH211*Valores!$C$74</f>
        <v>-5138.074890000001</v>
      </c>
      <c r="AV211" s="125">
        <f>AH211*Valores!$C$75</f>
        <v>-570.8972100000001</v>
      </c>
      <c r="AW211" s="125">
        <f t="shared" si="33"/>
        <v>163657.20020000002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76791.05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14838.06</v>
      </c>
      <c r="N212" s="125">
        <f t="shared" si="30"/>
        <v>0</v>
      </c>
      <c r="O212" s="125">
        <f>Valores!$C$7*B212</f>
        <v>26305.18</v>
      </c>
      <c r="P212" s="125">
        <f>ROUND(IF(B212&lt;15,(Valores!$E$5*B212),Valores!$D$5),2)</f>
        <v>18023.69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13856.04</v>
      </c>
      <c r="S212" s="125">
        <f>Valores!$C$18*B212</f>
        <v>8273.32</v>
      </c>
      <c r="T212" s="125">
        <f t="shared" si="36"/>
        <v>8273.32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26863.32</v>
      </c>
      <c r="AA212" s="125">
        <f>IF((Valores!$C$28)*B212&gt;Valores!$F$28,Valores!$F$28,(Valores!$C$28)*B212)</f>
        <v>649.88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541.2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12360.92</v>
      </c>
      <c r="AH212" s="125">
        <f t="shared" si="34"/>
        <v>198502.66000000006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0</v>
      </c>
      <c r="AL212" s="125">
        <f>IF($F$3="NO",0,IF(Valores!$C$61*B212&gt;Valores!$F$61,Valores!$F$61,Valores!$C$61*B212))</f>
        <v>0</v>
      </c>
      <c r="AM212" s="125">
        <f t="shared" si="32"/>
        <v>0</v>
      </c>
      <c r="AN212" s="125">
        <f>AH212*Valores!$C$71</f>
        <v>-21835.292600000008</v>
      </c>
      <c r="AO212" s="125">
        <f>AH212*-Valores!$C$72</f>
        <v>0</v>
      </c>
      <c r="AP212" s="125">
        <f>AH212*Valores!$C$73</f>
        <v>-8932.619700000003</v>
      </c>
      <c r="AQ212" s="125">
        <f>Valores!$C$100</f>
        <v>-554.86</v>
      </c>
      <c r="AR212" s="125">
        <f>IF($F$5=0,Valores!$C$101,(Valores!$C$101+$F$5*(Valores!$C$101)))</f>
        <v>-550</v>
      </c>
      <c r="AS212" s="125">
        <f t="shared" si="35"/>
        <v>166629.88770000005</v>
      </c>
      <c r="AT212" s="125">
        <f t="shared" si="29"/>
        <v>-21835.292600000008</v>
      </c>
      <c r="AU212" s="125">
        <f>AH212*Valores!$C$74</f>
        <v>-5359.571820000002</v>
      </c>
      <c r="AV212" s="125">
        <f>AH212*Valores!$C$75</f>
        <v>-595.5079800000002</v>
      </c>
      <c r="AW212" s="125">
        <f t="shared" si="33"/>
        <v>170712.28760000004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80281.56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15512.52</v>
      </c>
      <c r="N213" s="125">
        <f t="shared" si="30"/>
        <v>0</v>
      </c>
      <c r="O213" s="125">
        <f>Valores!$C$7*B213</f>
        <v>27500.870000000003</v>
      </c>
      <c r="P213" s="125">
        <f>ROUND(IF(B213&lt;15,(Valores!$E$5*B213),Valores!$D$5),2)</f>
        <v>18023.69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14485.86</v>
      </c>
      <c r="S213" s="125">
        <f>Valores!$C$18*B213</f>
        <v>8649.38</v>
      </c>
      <c r="T213" s="125">
        <f t="shared" si="36"/>
        <v>8649.38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28084.379999999997</v>
      </c>
      <c r="AA213" s="125">
        <f>IF((Valores!$C$28)*B213&gt;Valores!$F$28,Valores!$F$28,(Valores!$C$28)*B213)</f>
        <v>679.42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565.8000000000001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12922.78</v>
      </c>
      <c r="AH213" s="125">
        <f t="shared" si="34"/>
        <v>206706.26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0</v>
      </c>
      <c r="AL213" s="125">
        <f>IF($F$3="NO",0,IF(Valores!$C$61*B213&gt;Valores!$F$61,Valores!$F$61,Valores!$C$61*B213))</f>
        <v>0</v>
      </c>
      <c r="AM213" s="125">
        <f t="shared" si="32"/>
        <v>0</v>
      </c>
      <c r="AN213" s="125">
        <f>AH213*Valores!$C$71</f>
        <v>-22737.6886</v>
      </c>
      <c r="AO213" s="125">
        <f>AH213*-Valores!$C$72</f>
        <v>0</v>
      </c>
      <c r="AP213" s="125">
        <f>AH213*Valores!$C$73</f>
        <v>-9301.7817</v>
      </c>
      <c r="AQ213" s="125">
        <f>Valores!$C$100</f>
        <v>-554.86</v>
      </c>
      <c r="AR213" s="125">
        <f>IF($F$5=0,Valores!$C$101,(Valores!$C$101+$F$5*(Valores!$C$101)))</f>
        <v>-550</v>
      </c>
      <c r="AS213" s="125">
        <f t="shared" si="35"/>
        <v>173561.9297</v>
      </c>
      <c r="AT213" s="125">
        <f t="shared" si="29"/>
        <v>-22737.6886</v>
      </c>
      <c r="AU213" s="125">
        <f>AH213*Valores!$C$74</f>
        <v>-5581.06902</v>
      </c>
      <c r="AV213" s="125">
        <f>AH213*Valores!$C$75</f>
        <v>-620.11878</v>
      </c>
      <c r="AW213" s="125">
        <f t="shared" si="33"/>
        <v>177767.3836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83772.06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16186.98</v>
      </c>
      <c r="N214" s="125">
        <f t="shared" si="30"/>
        <v>0</v>
      </c>
      <c r="O214" s="125">
        <f>Valores!$C$7*B214</f>
        <v>28696.56</v>
      </c>
      <c r="P214" s="125">
        <f>ROUND(IF(B214&lt;15,(Valores!$E$5*B214),Valores!$D$5),2)</f>
        <v>18023.69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15115.68</v>
      </c>
      <c r="S214" s="125">
        <f>Valores!$C$18*B214</f>
        <v>9025.44</v>
      </c>
      <c r="T214" s="125">
        <f t="shared" si="36"/>
        <v>9025.44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29305.44</v>
      </c>
      <c r="AA214" s="125">
        <f>IF((Valores!$C$28)*B214&gt;Valores!$F$28,Valores!$F$28,(Valores!$C$28)*B214)</f>
        <v>708.96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590.4000000000001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13484.64</v>
      </c>
      <c r="AH214" s="125">
        <f t="shared" si="34"/>
        <v>214909.84999999998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0</v>
      </c>
      <c r="AL214" s="125">
        <f>IF($F$3="NO",0,IF(Valores!$C$61*B214&gt;Valores!$F$61,Valores!$F$61,Valores!$C$61*B214))</f>
        <v>0</v>
      </c>
      <c r="AM214" s="125">
        <f t="shared" si="32"/>
        <v>0</v>
      </c>
      <c r="AN214" s="125">
        <f>AH214*Valores!$C$71</f>
        <v>-23640.083499999997</v>
      </c>
      <c r="AO214" s="125">
        <f>AH214*-Valores!$C$72</f>
        <v>0</v>
      </c>
      <c r="AP214" s="125">
        <f>AH214*Valores!$C$73</f>
        <v>-9670.943249999998</v>
      </c>
      <c r="AQ214" s="125">
        <f>Valores!$C$100</f>
        <v>-554.86</v>
      </c>
      <c r="AR214" s="125">
        <f>IF($F$5=0,Valores!$C$101,(Valores!$C$101+$F$5*(Valores!$C$101)))</f>
        <v>-550</v>
      </c>
      <c r="AS214" s="125">
        <f t="shared" si="35"/>
        <v>180493.96324999997</v>
      </c>
      <c r="AT214" s="125">
        <f t="shared" si="29"/>
        <v>-23640.083499999997</v>
      </c>
      <c r="AU214" s="125">
        <f>AH214*Valores!$C$74</f>
        <v>-5802.565949999999</v>
      </c>
      <c r="AV214" s="125">
        <f>AH214*Valores!$C$75</f>
        <v>-644.7295499999999</v>
      </c>
      <c r="AW214" s="125">
        <f t="shared" si="33"/>
        <v>184822.471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87262.56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16861.43</v>
      </c>
      <c r="N215" s="125">
        <f t="shared" si="30"/>
        <v>0</v>
      </c>
      <c r="O215" s="125">
        <f>Valores!$C$7*B215</f>
        <v>29892.25</v>
      </c>
      <c r="P215" s="125">
        <f>ROUND(IF(B215&lt;15,(Valores!$E$5*B215),Valores!$D$5),2)</f>
        <v>18023.69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15745.500000000002</v>
      </c>
      <c r="S215" s="125">
        <f>Valores!$C$18*B215</f>
        <v>9401.5</v>
      </c>
      <c r="T215" s="125">
        <f t="shared" si="36"/>
        <v>9401.5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30526.5</v>
      </c>
      <c r="AA215" s="125">
        <f>IF((Valores!$C$28)*B215&gt;Valores!$F$28,Valores!$F$28,(Valores!$C$28)*B215)</f>
        <v>738.5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615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14046.5</v>
      </c>
      <c r="AH215" s="125">
        <f t="shared" si="34"/>
        <v>223113.43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0</v>
      </c>
      <c r="AL215" s="125">
        <f>IF($F$3="NO",0,IF(Valores!$C$61*B215&gt;Valores!$F$61,Valores!$F$61,Valores!$C$61*B215))</f>
        <v>0</v>
      </c>
      <c r="AM215" s="125">
        <f t="shared" si="32"/>
        <v>0</v>
      </c>
      <c r="AN215" s="125">
        <f>AH215*Valores!$C$71</f>
        <v>-24542.4773</v>
      </c>
      <c r="AO215" s="125">
        <f>AH215*-Valores!$C$72</f>
        <v>0</v>
      </c>
      <c r="AP215" s="125">
        <f>AH215*Valores!$C$73</f>
        <v>-10040.10435</v>
      </c>
      <c r="AQ215" s="125">
        <f>Valores!$C$100</f>
        <v>-554.86</v>
      </c>
      <c r="AR215" s="125">
        <f>IF($F$5=0,Valores!$C$101,(Valores!$C$101+$F$5*(Valores!$C$101)))</f>
        <v>-550</v>
      </c>
      <c r="AS215" s="125">
        <f t="shared" si="35"/>
        <v>187425.98835</v>
      </c>
      <c r="AT215" s="125">
        <f t="shared" si="29"/>
        <v>-24542.4773</v>
      </c>
      <c r="AU215" s="125">
        <f>AH215*Valores!$C$74</f>
        <v>-6024.06261</v>
      </c>
      <c r="AV215" s="125">
        <f>AH215*Valores!$C$75</f>
        <v>-669.34029</v>
      </c>
      <c r="AW215" s="125">
        <f t="shared" si="33"/>
        <v>191877.54979999998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90753.06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17535.89</v>
      </c>
      <c r="N216" s="125">
        <f t="shared" si="30"/>
        <v>0</v>
      </c>
      <c r="O216" s="125">
        <f>Valores!$C$7*B216</f>
        <v>31087.940000000002</v>
      </c>
      <c r="P216" s="125">
        <f>ROUND(IF(B216&lt;15,(Valores!$E$5*B216),Valores!$D$5),2)</f>
        <v>18023.69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16375.320000000002</v>
      </c>
      <c r="S216" s="125">
        <f>Valores!$C$18*B216</f>
        <v>9777.56</v>
      </c>
      <c r="T216" s="125">
        <f t="shared" si="36"/>
        <v>9777.56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31747.559999999998</v>
      </c>
      <c r="AA216" s="125">
        <f>IF((Valores!$C$28)*B216&gt;Valores!$F$28,Valores!$F$28,(Valores!$C$28)*B216)</f>
        <v>768.04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639.6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14608.36</v>
      </c>
      <c r="AH216" s="125">
        <f t="shared" si="34"/>
        <v>231317.02000000002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0</v>
      </c>
      <c r="AL216" s="125">
        <f>IF($F$3="NO",0,IF(Valores!$C$61*B216&gt;Valores!$F$61,Valores!$F$61,Valores!$C$61*B216))</f>
        <v>0</v>
      </c>
      <c r="AM216" s="125">
        <f t="shared" si="32"/>
        <v>0</v>
      </c>
      <c r="AN216" s="125">
        <f>AH216*Valores!$C$71</f>
        <v>-25444.8722</v>
      </c>
      <c r="AO216" s="125">
        <f>AH216*-Valores!$C$72</f>
        <v>0</v>
      </c>
      <c r="AP216" s="125">
        <f>AH216*Valores!$C$73</f>
        <v>-10409.2659</v>
      </c>
      <c r="AQ216" s="125">
        <f>Valores!$C$100</f>
        <v>-554.86</v>
      </c>
      <c r="AR216" s="125">
        <f>IF($F$5=0,Valores!$C$101,(Valores!$C$101+$F$5*(Valores!$C$101)))</f>
        <v>-550</v>
      </c>
      <c r="AS216" s="125">
        <f t="shared" si="35"/>
        <v>194358.02190000002</v>
      </c>
      <c r="AT216" s="125">
        <f t="shared" si="29"/>
        <v>-25444.8722</v>
      </c>
      <c r="AU216" s="125">
        <f>AH216*Valores!$C$74</f>
        <v>-6245.55954</v>
      </c>
      <c r="AV216" s="125">
        <f>AH216*Valores!$C$75</f>
        <v>-693.9510600000001</v>
      </c>
      <c r="AW216" s="125">
        <f t="shared" si="33"/>
        <v>198932.63720000003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94243.56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18210.35</v>
      </c>
      <c r="N217" s="125">
        <f t="shared" si="30"/>
        <v>0</v>
      </c>
      <c r="O217" s="125">
        <f>Valores!$C$7*B217</f>
        <v>32283.63</v>
      </c>
      <c r="P217" s="125">
        <f>ROUND(IF(B217&lt;15,(Valores!$E$5*B217),Valores!$D$5),2)</f>
        <v>18023.69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17005.140000000003</v>
      </c>
      <c r="S217" s="125">
        <f>Valores!$C$18*B217</f>
        <v>10153.62</v>
      </c>
      <c r="T217" s="125">
        <f t="shared" si="36"/>
        <v>10153.62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32968.619999999995</v>
      </c>
      <c r="AA217" s="125">
        <f>IF((Valores!$C$28)*B217&gt;Valores!$F$28,Valores!$F$28,(Valores!$C$28)*B217)</f>
        <v>797.5799999999999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664.2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15170.220000000001</v>
      </c>
      <c r="AH217" s="125">
        <f t="shared" si="34"/>
        <v>239520.61000000002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0</v>
      </c>
      <c r="AL217" s="125">
        <f>IF($F$3="NO",0,IF(Valores!$C$61*B217&gt;Valores!$F$61,Valores!$F$61,Valores!$C$61*B217))</f>
        <v>0</v>
      </c>
      <c r="AM217" s="125">
        <f t="shared" si="32"/>
        <v>0</v>
      </c>
      <c r="AN217" s="125">
        <f>AH217*Valores!$C$71</f>
        <v>-26347.2671</v>
      </c>
      <c r="AO217" s="125">
        <f>AH217*-Valores!$C$72</f>
        <v>0</v>
      </c>
      <c r="AP217" s="125">
        <f>AH217*Valores!$C$73</f>
        <v>-10778.427450000001</v>
      </c>
      <c r="AQ217" s="125">
        <f>Valores!$C$100</f>
        <v>-554.86</v>
      </c>
      <c r="AR217" s="125">
        <f>IF($F$5=0,Valores!$C$101,(Valores!$C$101+$F$5*(Valores!$C$101)))</f>
        <v>-550</v>
      </c>
      <c r="AS217" s="125">
        <f t="shared" si="35"/>
        <v>201290.05545</v>
      </c>
      <c r="AT217" s="125">
        <f t="shared" si="29"/>
        <v>-26347.2671</v>
      </c>
      <c r="AU217" s="125">
        <f>AH217*Valores!$C$74</f>
        <v>-6467.05647</v>
      </c>
      <c r="AV217" s="125">
        <f>AH217*Valores!$C$75</f>
        <v>-718.5618300000001</v>
      </c>
      <c r="AW217" s="125">
        <f t="shared" si="33"/>
        <v>205987.72460000002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97734.07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18884.81</v>
      </c>
      <c r="N218" s="125">
        <f t="shared" si="30"/>
        <v>0</v>
      </c>
      <c r="O218" s="125">
        <f>Valores!$C$7*B218</f>
        <v>33479.32</v>
      </c>
      <c r="P218" s="125">
        <f>ROUND(IF(B218&lt;15,(Valores!$E$5*B218),Valores!$D$5),2)</f>
        <v>18023.69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17634.960000000003</v>
      </c>
      <c r="S218" s="125">
        <f>Valores!$C$18*B218</f>
        <v>10529.68</v>
      </c>
      <c r="T218" s="125">
        <f t="shared" si="36"/>
        <v>10529.68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34189.68</v>
      </c>
      <c r="AA218" s="125">
        <f>IF((Valores!$C$28)*B218&gt;Valores!$F$28,Valores!$F$28,(Valores!$C$28)*B218)</f>
        <v>827.12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688.8000000000001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15732.08</v>
      </c>
      <c r="AH218" s="125">
        <f t="shared" si="34"/>
        <v>247724.20999999996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0</v>
      </c>
      <c r="AL218" s="125">
        <f>IF($F$3="NO",0,IF(Valores!$C$61*B218&gt;Valores!$F$61,Valores!$F$61,Valores!$C$61*B218))</f>
        <v>0</v>
      </c>
      <c r="AM218" s="125">
        <f t="shared" si="32"/>
        <v>0</v>
      </c>
      <c r="AN218" s="125">
        <f>AH218*Valores!$C$71</f>
        <v>-27249.663099999994</v>
      </c>
      <c r="AO218" s="125">
        <f>AH218*-Valores!$C$72</f>
        <v>0</v>
      </c>
      <c r="AP218" s="125">
        <f>AH218*Valores!$C$73</f>
        <v>-11147.589449999998</v>
      </c>
      <c r="AQ218" s="125">
        <f>Valores!$C$100</f>
        <v>-554.86</v>
      </c>
      <c r="AR218" s="125">
        <f>IF($F$5=0,Valores!$C$101,(Valores!$C$101+$F$5*(Valores!$C$101)))</f>
        <v>-550</v>
      </c>
      <c r="AS218" s="125">
        <f t="shared" si="35"/>
        <v>208222.09744999997</v>
      </c>
      <c r="AT218" s="125">
        <f t="shared" si="29"/>
        <v>-27249.663099999994</v>
      </c>
      <c r="AU218" s="125">
        <f>AH218*Valores!$C$74</f>
        <v>-6688.553669999999</v>
      </c>
      <c r="AV218" s="125">
        <f>AH218*Valores!$C$75</f>
        <v>-743.1726299999999</v>
      </c>
      <c r="AW218" s="125">
        <f t="shared" si="33"/>
        <v>213042.82059999998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101224.57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19559.26</v>
      </c>
      <c r="N219" s="125">
        <f t="shared" si="30"/>
        <v>0</v>
      </c>
      <c r="O219" s="125">
        <f>Valores!$C$7*B219</f>
        <v>34675.01</v>
      </c>
      <c r="P219" s="125">
        <f>ROUND(IF(B219&lt;15,(Valores!$E$5*B219),Valores!$D$5),2)</f>
        <v>18023.69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18264.780000000002</v>
      </c>
      <c r="S219" s="125">
        <f>Valores!$C$18*B219</f>
        <v>10905.74</v>
      </c>
      <c r="T219" s="125">
        <f t="shared" si="36"/>
        <v>10905.74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35410.74</v>
      </c>
      <c r="AA219" s="125">
        <f>IF((Valores!$C$28)*B219&gt;Valores!$F$28,Valores!$F$28,(Valores!$C$28)*B219)</f>
        <v>856.66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713.4000000000001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16293.94</v>
      </c>
      <c r="AH219" s="125">
        <f t="shared" si="34"/>
        <v>255927.78999999998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0</v>
      </c>
      <c r="AL219" s="125">
        <f>IF($F$3="NO",0,IF(Valores!$C$61*B219&gt;Valores!$F$61,Valores!$F$61,Valores!$C$61*B219))</f>
        <v>0</v>
      </c>
      <c r="AM219" s="125">
        <f t="shared" si="32"/>
        <v>0</v>
      </c>
      <c r="AN219" s="125">
        <f>AH219*Valores!$C$71</f>
        <v>-28152.0569</v>
      </c>
      <c r="AO219" s="125">
        <f>AH219*-Valores!$C$72</f>
        <v>0</v>
      </c>
      <c r="AP219" s="125">
        <f>AH219*Valores!$C$73</f>
        <v>-11516.750549999999</v>
      </c>
      <c r="AQ219" s="125">
        <f>Valores!$C$100</f>
        <v>-554.86</v>
      </c>
      <c r="AR219" s="125">
        <f>IF($F$5=0,Valores!$C$101,(Valores!$C$101+$F$5*(Valores!$C$101)))</f>
        <v>-550</v>
      </c>
      <c r="AS219" s="125">
        <f t="shared" si="35"/>
        <v>215154.12254999997</v>
      </c>
      <c r="AT219" s="125">
        <f t="shared" si="29"/>
        <v>-28152.0569</v>
      </c>
      <c r="AU219" s="125">
        <f>AH219*Valores!$C$74</f>
        <v>-6910.050329999999</v>
      </c>
      <c r="AV219" s="125">
        <f>AH219*Valores!$C$75</f>
        <v>-767.78337</v>
      </c>
      <c r="AW219" s="125">
        <f t="shared" si="33"/>
        <v>220097.8994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104715.07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20233.72</v>
      </c>
      <c r="N220" s="125">
        <f t="shared" si="30"/>
        <v>0</v>
      </c>
      <c r="O220" s="125">
        <f>Valores!$C$7*B220</f>
        <v>35870.700000000004</v>
      </c>
      <c r="P220" s="125">
        <f>ROUND(IF(B220&lt;15,(Valores!$E$5*B220),Valores!$D$5),2)</f>
        <v>18023.69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18894.600000000002</v>
      </c>
      <c r="S220" s="125">
        <f>Valores!$C$18*B220</f>
        <v>11281.8</v>
      </c>
      <c r="T220" s="125">
        <f t="shared" si="36"/>
        <v>11281.8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36631.799999999996</v>
      </c>
      <c r="AA220" s="125">
        <f>IF((Valores!$C$28)*B220&gt;Valores!$F$28,Valores!$F$28,(Valores!$C$28)*B220)</f>
        <v>886.1999999999999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737.18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16855.75</v>
      </c>
      <c r="AH220" s="125">
        <f t="shared" si="34"/>
        <v>264130.51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0</v>
      </c>
      <c r="AL220" s="125">
        <f>IF($F$3="NO",0,IF(Valores!$C$61*B220&gt;Valores!$F$61,Valores!$F$61,Valores!$C$61*B220))</f>
        <v>0</v>
      </c>
      <c r="AM220" s="125">
        <f t="shared" si="32"/>
        <v>0</v>
      </c>
      <c r="AN220" s="125">
        <f>AH220*Valores!$C$71</f>
        <v>-29054.3561</v>
      </c>
      <c r="AO220" s="125">
        <f>AH220*-Valores!$C$72</f>
        <v>0</v>
      </c>
      <c r="AP220" s="125">
        <f>AH220*Valores!$C$73</f>
        <v>-11885.87295</v>
      </c>
      <c r="AQ220" s="125">
        <f>Valores!$C$100</f>
        <v>-554.86</v>
      </c>
      <c r="AR220" s="125">
        <f>IF($F$5=0,Valores!$C$101,(Valores!$C$101+$F$5*(Valores!$C$101)))</f>
        <v>-550</v>
      </c>
      <c r="AS220" s="125">
        <f t="shared" si="35"/>
        <v>222085.42095</v>
      </c>
      <c r="AT220" s="125">
        <f t="shared" si="29"/>
        <v>-29054.3561</v>
      </c>
      <c r="AU220" s="125">
        <f>AH220*Valores!$C$74</f>
        <v>-7131.52377</v>
      </c>
      <c r="AV220" s="125">
        <f>AH220*Valores!$C$75</f>
        <v>-792.39153</v>
      </c>
      <c r="AW220" s="125">
        <f t="shared" si="33"/>
        <v>227152.2386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108205.57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20908.18</v>
      </c>
      <c r="N221" s="125">
        <f t="shared" si="30"/>
        <v>0</v>
      </c>
      <c r="O221" s="125">
        <f>Valores!$C$7*B221</f>
        <v>37066.39</v>
      </c>
      <c r="P221" s="125">
        <f>ROUND(IF(B221&lt;15,(Valores!$E$5*B221),Valores!$D$5),2)</f>
        <v>18023.69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19524.420000000002</v>
      </c>
      <c r="S221" s="125">
        <f>Valores!$C$18*B221</f>
        <v>11657.86</v>
      </c>
      <c r="T221" s="125">
        <f t="shared" si="36"/>
        <v>11657.86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37852.86</v>
      </c>
      <c r="AA221" s="125">
        <f>IF((Valores!$C$28)*B221&gt;Valores!$F$28,Valores!$F$28,(Valores!$C$28)*B221)</f>
        <v>915.74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737.18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16855.75</v>
      </c>
      <c r="AH221" s="125">
        <f t="shared" si="34"/>
        <v>271747.64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0</v>
      </c>
      <c r="AL221" s="125">
        <f>IF($F$3="NO",0,IF(Valores!$C$61*B221&gt;Valores!$F$61,Valores!$F$61,Valores!$C$61*B221))</f>
        <v>0</v>
      </c>
      <c r="AM221" s="125">
        <f t="shared" si="32"/>
        <v>0</v>
      </c>
      <c r="AN221" s="125">
        <f>AH221*Valores!$C$71</f>
        <v>-29892.240400000002</v>
      </c>
      <c r="AO221" s="125">
        <f>AH221*-Valores!$C$72</f>
        <v>0</v>
      </c>
      <c r="AP221" s="125">
        <f>AH221*Valores!$C$73</f>
        <v>-12228.6438</v>
      </c>
      <c r="AQ221" s="125">
        <f>Valores!$C$100</f>
        <v>-554.86</v>
      </c>
      <c r="AR221" s="125">
        <f>IF($F$5=0,Valores!$C$101,(Valores!$C$101+$F$5*(Valores!$C$101)))</f>
        <v>-550</v>
      </c>
      <c r="AS221" s="125">
        <f t="shared" si="35"/>
        <v>228521.8958</v>
      </c>
      <c r="AT221" s="125">
        <f t="shared" si="29"/>
        <v>-29892.240400000002</v>
      </c>
      <c r="AU221" s="125">
        <f>AH221*Valores!$C$74</f>
        <v>-7337.18628</v>
      </c>
      <c r="AV221" s="125">
        <f>AH221*Valores!$C$75</f>
        <v>-815.24292</v>
      </c>
      <c r="AW221" s="125">
        <f t="shared" si="33"/>
        <v>233702.97040000002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111696.08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21582.64</v>
      </c>
      <c r="N222" s="125">
        <f t="shared" si="30"/>
        <v>0</v>
      </c>
      <c r="O222" s="125">
        <f>Valores!$C$7*B222</f>
        <v>38262.08</v>
      </c>
      <c r="P222" s="125">
        <f>ROUND(IF(B222&lt;15,(Valores!$E$5*B222),Valores!$D$5),2)</f>
        <v>18023.69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20154.24</v>
      </c>
      <c r="S222" s="125">
        <f>Valores!$C$18*B222</f>
        <v>12033.92</v>
      </c>
      <c r="T222" s="125">
        <f t="shared" si="36"/>
        <v>12033.92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39073.92</v>
      </c>
      <c r="AA222" s="125">
        <f>IF((Valores!$C$28)*B222&gt;Valores!$F$28,Valores!$F$28,(Valores!$C$28)*B222)</f>
        <v>945.28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737.18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16855.75</v>
      </c>
      <c r="AH222" s="125">
        <f t="shared" si="34"/>
        <v>279364.78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0</v>
      </c>
      <c r="AL222" s="125">
        <f>IF($F$3="NO",0,IF(Valores!$C$61*B222&gt;Valores!$F$61,Valores!$F$61,Valores!$C$61*B222))</f>
        <v>0</v>
      </c>
      <c r="AM222" s="125">
        <f t="shared" si="32"/>
        <v>0</v>
      </c>
      <c r="AN222" s="125">
        <f>AH222*Valores!$C$71</f>
        <v>-30730.1258</v>
      </c>
      <c r="AO222" s="125">
        <f>AH222*-Valores!$C$72</f>
        <v>0</v>
      </c>
      <c r="AP222" s="125">
        <f>AH222*Valores!$C$73</f>
        <v>-12571.4151</v>
      </c>
      <c r="AQ222" s="125">
        <f>Valores!$C$100</f>
        <v>-554.86</v>
      </c>
      <c r="AR222" s="125">
        <f>IF($F$5=0,Valores!$C$101,(Valores!$C$101+$F$5*(Valores!$C$101)))</f>
        <v>-550</v>
      </c>
      <c r="AS222" s="125">
        <f t="shared" si="35"/>
        <v>234958.37910000002</v>
      </c>
      <c r="AT222" s="125">
        <f t="shared" si="29"/>
        <v>-30730.1258</v>
      </c>
      <c r="AU222" s="125">
        <f>AH222*Valores!$C$74</f>
        <v>-7542.8490600000005</v>
      </c>
      <c r="AV222" s="125">
        <f>AH222*Valores!$C$75</f>
        <v>-838.0943400000001</v>
      </c>
      <c r="AW222" s="125">
        <f t="shared" si="33"/>
        <v>240253.71080000003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115186.58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22257.09</v>
      </c>
      <c r="N223" s="125">
        <f t="shared" si="30"/>
        <v>0</v>
      </c>
      <c r="O223" s="125">
        <f>Valores!$C$7*B223</f>
        <v>39457.770000000004</v>
      </c>
      <c r="P223" s="125">
        <f>ROUND(IF(B223&lt;15,(Valores!$E$5*B223),Valores!$D$5),2)</f>
        <v>18023.69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20784.06</v>
      </c>
      <c r="S223" s="125">
        <f>Valores!$C$18*B223</f>
        <v>12409.98</v>
      </c>
      <c r="T223" s="125">
        <f t="shared" si="36"/>
        <v>12409.98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40294.979999999996</v>
      </c>
      <c r="AA223" s="125">
        <f>IF((Valores!$C$28)*B223&gt;Valores!$F$28,Valores!$F$28,(Valores!$C$28)*B223)</f>
        <v>974.8199999999999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737.18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16855.75</v>
      </c>
      <c r="AH223" s="125">
        <f t="shared" si="34"/>
        <v>286981.9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0</v>
      </c>
      <c r="AL223" s="125">
        <f>IF($F$3="NO",0,IF(Valores!$C$61*B223&gt;Valores!$F$61,Valores!$F$61,Valores!$C$61*B223))</f>
        <v>0</v>
      </c>
      <c r="AM223" s="125">
        <f t="shared" si="32"/>
        <v>0</v>
      </c>
      <c r="AN223" s="125">
        <f>AH223*Valores!$C$71</f>
        <v>-31568.009000000002</v>
      </c>
      <c r="AO223" s="125">
        <f>AH223*-Valores!$C$72</f>
        <v>0</v>
      </c>
      <c r="AP223" s="125">
        <f>AH223*Valores!$C$73</f>
        <v>-12914.185500000001</v>
      </c>
      <c r="AQ223" s="125">
        <f>Valores!$C$100</f>
        <v>-554.86</v>
      </c>
      <c r="AR223" s="125">
        <f>IF($F$5=0,Valores!$C$101,(Valores!$C$101+$F$5*(Valores!$C$101)))</f>
        <v>-550</v>
      </c>
      <c r="AS223" s="125">
        <f t="shared" si="35"/>
        <v>241394.84550000002</v>
      </c>
      <c r="AT223" s="125">
        <f t="shared" si="29"/>
        <v>-31568.009000000002</v>
      </c>
      <c r="AU223" s="125">
        <f>AH223*Valores!$C$74</f>
        <v>-7748.5113</v>
      </c>
      <c r="AV223" s="125">
        <f>AH223*Valores!$C$75</f>
        <v>-860.9457000000001</v>
      </c>
      <c r="AW223" s="125">
        <f t="shared" si="33"/>
        <v>246804.434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118677.08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22931.55</v>
      </c>
      <c r="N224" s="125">
        <f t="shared" si="30"/>
        <v>0</v>
      </c>
      <c r="O224" s="125">
        <f>Valores!$C$7*B224</f>
        <v>40653.46</v>
      </c>
      <c r="P224" s="125">
        <f>ROUND(IF(B224&lt;15,(Valores!$E$5*B224),Valores!$D$5),2)</f>
        <v>18023.69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21413.88</v>
      </c>
      <c r="S224" s="125">
        <f>Valores!$C$18*B224</f>
        <v>12786.04</v>
      </c>
      <c r="T224" s="125">
        <f t="shared" si="36"/>
        <v>12786.04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41516.04</v>
      </c>
      <c r="AA224" s="125">
        <f>IF((Valores!$C$28)*B224&gt;Valores!$F$28,Valores!$F$28,(Valores!$C$28)*B224)</f>
        <v>1004.36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737.18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16855.75</v>
      </c>
      <c r="AH224" s="125">
        <f t="shared" si="34"/>
        <v>294599.02999999997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0</v>
      </c>
      <c r="AL224" s="125">
        <f>IF($F$3="NO",0,IF(Valores!$C$61*B224&gt;Valores!$F$61,Valores!$F$61,Valores!$C$61*B224))</f>
        <v>0</v>
      </c>
      <c r="AM224" s="125">
        <f t="shared" si="32"/>
        <v>0</v>
      </c>
      <c r="AN224" s="125">
        <f>AH224*Valores!$C$71</f>
        <v>-32405.893299999996</v>
      </c>
      <c r="AO224" s="125">
        <f>AH224*-Valores!$C$72</f>
        <v>0</v>
      </c>
      <c r="AP224" s="125">
        <f>AH224*Valores!$C$73</f>
        <v>-13256.956349999999</v>
      </c>
      <c r="AQ224" s="125">
        <f>Valores!$C$100</f>
        <v>-554.86</v>
      </c>
      <c r="AR224" s="125">
        <f>IF($F$5=0,Valores!$C$101,(Valores!$C$101+$F$5*(Valores!$C$101)))</f>
        <v>-550</v>
      </c>
      <c r="AS224" s="125">
        <f t="shared" si="35"/>
        <v>247831.32034999997</v>
      </c>
      <c r="AT224" s="125">
        <f t="shared" si="29"/>
        <v>-32405.893299999996</v>
      </c>
      <c r="AU224" s="125">
        <f>AH224*Valores!$C$74</f>
        <v>-7954.173809999999</v>
      </c>
      <c r="AV224" s="125">
        <f>AH224*Valores!$C$75</f>
        <v>-883.7970899999999</v>
      </c>
      <c r="AW224" s="125">
        <f t="shared" si="33"/>
        <v>253355.16579999996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122167.58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23582.7</v>
      </c>
      <c r="N225" s="125">
        <f t="shared" si="30"/>
        <v>0</v>
      </c>
      <c r="O225" s="125">
        <f>Valores!$C$7*B225</f>
        <v>41849.15</v>
      </c>
      <c r="P225" s="125">
        <f>ROUND(IF(B225&lt;15,(Valores!$E$5*B225),Valores!$D$5),2)</f>
        <v>18023.69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21888.296021478523</v>
      </c>
      <c r="S225" s="125">
        <f>Valores!$C$18*B225</f>
        <v>13162.1</v>
      </c>
      <c r="T225" s="125">
        <f t="shared" si="36"/>
        <v>13162.1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42737.1</v>
      </c>
      <c r="AA225" s="125">
        <f>IF((Valores!$C$28)*B225&gt;Valores!$F$28,Valores!$F$28,(Valores!$C$28)*B225)</f>
        <v>1033.8999999999999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737.18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16855.75</v>
      </c>
      <c r="AH225" s="125">
        <f t="shared" si="34"/>
        <v>302037.4460214785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0</v>
      </c>
      <c r="AL225" s="125">
        <f>IF($F$3="NO",0,IF(Valores!$C$61*B225&gt;Valores!$F$61,Valores!$F$61,Valores!$C$61*B225))</f>
        <v>0</v>
      </c>
      <c r="AM225" s="125">
        <f t="shared" si="32"/>
        <v>0</v>
      </c>
      <c r="AN225" s="125">
        <f>AH225*Valores!$C$71</f>
        <v>-33224.11906236264</v>
      </c>
      <c r="AO225" s="125">
        <f>AH225*-Valores!$C$72</f>
        <v>0</v>
      </c>
      <c r="AP225" s="125">
        <f>AH225*Valores!$C$73</f>
        <v>-13591.685070966532</v>
      </c>
      <c r="AQ225" s="125">
        <f>Valores!$C$100</f>
        <v>-554.86</v>
      </c>
      <c r="AR225" s="125">
        <f>IF($F$5=0,Valores!$C$101,(Valores!$C$101+$F$5*(Valores!$C$101)))</f>
        <v>-550</v>
      </c>
      <c r="AS225" s="125">
        <f t="shared" si="35"/>
        <v>254116.78188814933</v>
      </c>
      <c r="AT225" s="125">
        <f t="shared" si="29"/>
        <v>-33224.11906236264</v>
      </c>
      <c r="AU225" s="125">
        <f>AH225*Valores!$C$74</f>
        <v>-8155.011042579919</v>
      </c>
      <c r="AV225" s="125">
        <f>AH225*Valores!$C$75</f>
        <v>-906.1123380644356</v>
      </c>
      <c r="AW225" s="125">
        <f t="shared" si="33"/>
        <v>259752.2035784715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125658.09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24162.68</v>
      </c>
      <c r="N226" s="125">
        <f t="shared" si="30"/>
        <v>0</v>
      </c>
      <c r="O226" s="125">
        <f>Valores!$C$7*B226</f>
        <v>43044.840000000004</v>
      </c>
      <c r="P226" s="125">
        <f>ROUND(IF(B226&lt;15,(Valores!$E$5*B226),Valores!$D$5),2)</f>
        <v>18023.69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21888.296021478523</v>
      </c>
      <c r="S226" s="125">
        <f>Valores!$C$18*B226</f>
        <v>13538.16</v>
      </c>
      <c r="T226" s="125">
        <f t="shared" si="36"/>
        <v>13538.16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43958.159999999996</v>
      </c>
      <c r="AA226" s="125">
        <f>IF((Valores!$C$28)*B226&gt;Valores!$F$28,Valores!$F$28,(Valores!$C$28)*B226)</f>
        <v>1063.44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737.18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16855.75</v>
      </c>
      <c r="AH226" s="125">
        <f t="shared" si="34"/>
        <v>308930.2860214785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0</v>
      </c>
      <c r="AL226" s="125">
        <f>IF($F$3="NO",0,IF(Valores!$C$61*B226&gt;Valores!$F$61,Valores!$F$61,Valores!$C$61*B226))</f>
        <v>0</v>
      </c>
      <c r="AM226" s="125">
        <f t="shared" si="32"/>
        <v>0</v>
      </c>
      <c r="AN226" s="125">
        <f>AH226*Valores!$C$71</f>
        <v>-33982.331462362636</v>
      </c>
      <c r="AO226" s="125">
        <f>AH226*-Valores!$C$72</f>
        <v>0</v>
      </c>
      <c r="AP226" s="125">
        <f>AH226*Valores!$C$73</f>
        <v>-13901.86287096653</v>
      </c>
      <c r="AQ226" s="125">
        <f>Valores!$C$100</f>
        <v>-554.86</v>
      </c>
      <c r="AR226" s="125">
        <f>IF($F$5=0,Valores!$C$101,(Valores!$C$101+$F$5*(Valores!$C$101)))</f>
        <v>-550</v>
      </c>
      <c r="AS226" s="125">
        <f t="shared" si="35"/>
        <v>259941.2316881493</v>
      </c>
      <c r="AT226" s="125">
        <f t="shared" si="29"/>
        <v>-33982.331462362636</v>
      </c>
      <c r="AU226" s="125">
        <f>AH226*Valores!$C$74</f>
        <v>-8341.117722579918</v>
      </c>
      <c r="AV226" s="125">
        <f>AH226*Valores!$C$75</f>
        <v>-926.7908580644355</v>
      </c>
      <c r="AW226" s="125">
        <f t="shared" si="33"/>
        <v>265680.04597847146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2785.35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568.68</v>
      </c>
      <c r="N227" s="125">
        <f t="shared" si="30"/>
        <v>0</v>
      </c>
      <c r="O227" s="125">
        <f>Valores!$C$7*B227</f>
        <v>1195.69</v>
      </c>
      <c r="P227" s="125">
        <f>ROUND(IF(B227&lt;15,(Valores!$E$5*B227),Valores!$D$5),2)</f>
        <v>1201.58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629.82</v>
      </c>
      <c r="S227" s="125">
        <f>Valores!$C$18*B227</f>
        <v>376.06</v>
      </c>
      <c r="T227" s="125">
        <f t="shared" si="36"/>
        <v>376.06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1221.06</v>
      </c>
      <c r="AA227" s="125">
        <f>IF((Valores!$C$28)*B227&gt;Valores!$F$28,Valores!$F$28,(Valores!$C$28)*B227)</f>
        <v>29.54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24.6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561.86</v>
      </c>
      <c r="AH227" s="125">
        <f t="shared" si="34"/>
        <v>8594.24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0</v>
      </c>
      <c r="AL227" s="125">
        <f>IF($F$3="NO",0,IF(Valores!$C$62*B227&gt;Valores!$F$62,Valores!$F$62,Valores!$C$62*B227))</f>
        <v>0</v>
      </c>
      <c r="AM227" s="125">
        <f t="shared" si="32"/>
        <v>0</v>
      </c>
      <c r="AN227" s="125">
        <f>AH227*Valores!$C$71</f>
        <v>-945.3664</v>
      </c>
      <c r="AO227" s="125">
        <f>AH227*-Valores!$C$72</f>
        <v>0</v>
      </c>
      <c r="AP227" s="125">
        <f>AH227*Valores!$C$73</f>
        <v>-386.7408</v>
      </c>
      <c r="AQ227" s="125">
        <f>Valores!$C$100</f>
        <v>-554.86</v>
      </c>
      <c r="AR227" s="125">
        <f>IF($F$5=0,Valores!$C$101,(Valores!$C$101+$F$5*(Valores!$C$101)))</f>
        <v>-550</v>
      </c>
      <c r="AS227" s="125">
        <f t="shared" si="35"/>
        <v>6157.2728</v>
      </c>
      <c r="AT227" s="125">
        <f t="shared" si="29"/>
        <v>-945.3664</v>
      </c>
      <c r="AU227" s="125">
        <f>AH227*Valores!$C$74</f>
        <v>-232.04448</v>
      </c>
      <c r="AV227" s="125">
        <f>AH227*Valores!$C$75</f>
        <v>-25.78272</v>
      </c>
      <c r="AW227" s="125">
        <f t="shared" si="33"/>
        <v>7391.0464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2785.35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568.68</v>
      </c>
      <c r="N228" s="125">
        <f t="shared" si="30"/>
        <v>0</v>
      </c>
      <c r="O228" s="125">
        <f>Valores!$C$7*B228</f>
        <v>1195.69</v>
      </c>
      <c r="P228" s="125">
        <f>ROUND(IF(B228&lt;15,(Valores!$E$5*B228),Valores!$D$5),2)</f>
        <v>1201.58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629.82</v>
      </c>
      <c r="S228" s="125">
        <f>Valores!$C$18*B228</f>
        <v>376.06</v>
      </c>
      <c r="T228" s="125">
        <f t="shared" si="36"/>
        <v>376.06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1221.06</v>
      </c>
      <c r="AA228" s="125">
        <f>IF((Valores!$C$28)*B228&gt;Valores!$F$28,Valores!$F$28,(Valores!$C$28)*B228)</f>
        <v>29.54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24.6</v>
      </c>
      <c r="AE228" s="192">
        <v>94</v>
      </c>
      <c r="AF228" s="125">
        <f>ROUND(AE228*Valores!$C$2,2)</f>
        <v>3314.21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561.86</v>
      </c>
      <c r="AH228" s="125">
        <f t="shared" si="34"/>
        <v>11908.45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0</v>
      </c>
      <c r="AL228" s="125">
        <f>IF($F$3="NO",0,IF(Valores!$C$62*B228&gt;Valores!$F$62,Valores!$F$62,Valores!$C$62*B228))</f>
        <v>0</v>
      </c>
      <c r="AM228" s="125">
        <f t="shared" si="32"/>
        <v>0</v>
      </c>
      <c r="AN228" s="125">
        <f>AH228*Valores!$C$71</f>
        <v>-1309.9295000000002</v>
      </c>
      <c r="AO228" s="125">
        <f>AH228*-Valores!$C$72</f>
        <v>0</v>
      </c>
      <c r="AP228" s="125">
        <f>AH228*Valores!$C$73</f>
        <v>-535.88025</v>
      </c>
      <c r="AQ228" s="125">
        <f>Valores!$C$100</f>
        <v>-554.86</v>
      </c>
      <c r="AR228" s="125">
        <f>IF($F$5=0,Valores!$C$101,(Valores!$C$101+$F$5*(Valores!$C$101)))</f>
        <v>-550</v>
      </c>
      <c r="AS228" s="125">
        <f t="shared" si="35"/>
        <v>8957.78025</v>
      </c>
      <c r="AT228" s="125">
        <f t="shared" si="29"/>
        <v>-1309.9295000000002</v>
      </c>
      <c r="AU228" s="125">
        <f>AH228*Valores!$C$74</f>
        <v>-321.52815000000004</v>
      </c>
      <c r="AV228" s="125">
        <f>AH228*Valores!$C$75</f>
        <v>-35.725350000000006</v>
      </c>
      <c r="AW228" s="125">
        <f t="shared" si="33"/>
        <v>10241.267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5570.7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1137.37</v>
      </c>
      <c r="N229" s="125">
        <f t="shared" si="30"/>
        <v>0</v>
      </c>
      <c r="O229" s="125">
        <f>Valores!$C$7*B229</f>
        <v>2391.38</v>
      </c>
      <c r="P229" s="125">
        <f>ROUND(IF(B229&lt;15,(Valores!$E$5*B229),Valores!$D$5),2)</f>
        <v>2403.16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1259.64</v>
      </c>
      <c r="S229" s="125">
        <f>Valores!$C$18*B229</f>
        <v>752.12</v>
      </c>
      <c r="T229" s="125">
        <f t="shared" si="36"/>
        <v>752.12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2442.12</v>
      </c>
      <c r="AA229" s="125">
        <f>IF((Valores!$C$28)*B229&gt;Valores!$F$28,Valores!$F$28,(Valores!$C$28)*B229)</f>
        <v>59.08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49.2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1123.72</v>
      </c>
      <c r="AH229" s="125">
        <f t="shared" si="34"/>
        <v>17188.49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0</v>
      </c>
      <c r="AL229" s="125">
        <f>IF($F$3="NO",0,IF(Valores!$C$62*B229&gt;Valores!$F$62,Valores!$F$62,Valores!$C$62*B229))</f>
        <v>0</v>
      </c>
      <c r="AM229" s="125">
        <f t="shared" si="32"/>
        <v>0</v>
      </c>
      <c r="AN229" s="125">
        <f>AH229*Valores!$C$71</f>
        <v>-1890.7339000000002</v>
      </c>
      <c r="AO229" s="125">
        <f>AH229*-Valores!$C$72</f>
        <v>0</v>
      </c>
      <c r="AP229" s="125">
        <f>AH229*Valores!$C$73</f>
        <v>-773.4820500000001</v>
      </c>
      <c r="AQ229" s="125">
        <f>Valores!$C$100</f>
        <v>-554.86</v>
      </c>
      <c r="AR229" s="125">
        <f>IF($F$5=0,Valores!$C$101,(Valores!$C$101+$F$5*(Valores!$C$101)))</f>
        <v>-550</v>
      </c>
      <c r="AS229" s="125">
        <f t="shared" si="35"/>
        <v>13419.414050000001</v>
      </c>
      <c r="AT229" s="125">
        <f t="shared" si="29"/>
        <v>-1890.7339000000002</v>
      </c>
      <c r="AU229" s="125">
        <f>AH229*Valores!$C$74</f>
        <v>-464.08923000000004</v>
      </c>
      <c r="AV229" s="125">
        <f>AH229*Valores!$C$75</f>
        <v>-51.565470000000005</v>
      </c>
      <c r="AW229" s="125">
        <f t="shared" si="33"/>
        <v>14782.101400000001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5570.7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1137.37</v>
      </c>
      <c r="N230" s="125">
        <f t="shared" si="30"/>
        <v>0</v>
      </c>
      <c r="O230" s="125">
        <f>Valores!$C$7*B230</f>
        <v>2391.38</v>
      </c>
      <c r="P230" s="125">
        <f>ROUND(IF(B230&lt;15,(Valores!$E$5*B230),Valores!$D$5),2)</f>
        <v>2403.16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1259.64</v>
      </c>
      <c r="S230" s="125">
        <f>Valores!$C$18*B230</f>
        <v>752.12</v>
      </c>
      <c r="T230" s="125">
        <f t="shared" si="36"/>
        <v>752.12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2442.12</v>
      </c>
      <c r="AA230" s="125">
        <f>IF((Valores!$C$28)*B230&gt;Valores!$F$28,Valores!$F$28,(Valores!$C$28)*B230)</f>
        <v>59.08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49.2</v>
      </c>
      <c r="AE230" s="192">
        <v>94</v>
      </c>
      <c r="AF230" s="125">
        <f>ROUND(AE230*Valores!$C$2,2)</f>
        <v>3314.21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1123.72</v>
      </c>
      <c r="AH230" s="125">
        <f t="shared" si="34"/>
        <v>20502.700000000004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0</v>
      </c>
      <c r="AL230" s="125">
        <f>IF($F$3="NO",0,IF(Valores!$C$62*B230&gt;Valores!$F$62,Valores!$F$62,Valores!$C$62*B230))</f>
        <v>0</v>
      </c>
      <c r="AM230" s="125">
        <f t="shared" si="32"/>
        <v>0</v>
      </c>
      <c r="AN230" s="125">
        <f>AH230*Valores!$C$71</f>
        <v>-2255.2970000000005</v>
      </c>
      <c r="AO230" s="125">
        <f>AH230*-Valores!$C$72</f>
        <v>0</v>
      </c>
      <c r="AP230" s="125">
        <f>AH230*Valores!$C$73</f>
        <v>-922.6215000000002</v>
      </c>
      <c r="AQ230" s="125">
        <f>Valores!$C$100</f>
        <v>-554.86</v>
      </c>
      <c r="AR230" s="125">
        <f>IF($F$5=0,Valores!$C$101,(Valores!$C$101+$F$5*(Valores!$C$101)))</f>
        <v>-550</v>
      </c>
      <c r="AS230" s="125">
        <f t="shared" si="35"/>
        <v>16219.921500000004</v>
      </c>
      <c r="AT230" s="125">
        <f t="shared" si="29"/>
        <v>-2255.2970000000005</v>
      </c>
      <c r="AU230" s="125">
        <f>AH230*Valores!$C$74</f>
        <v>-553.5729000000001</v>
      </c>
      <c r="AV230" s="125">
        <f>AH230*Valores!$C$75</f>
        <v>-61.50810000000001</v>
      </c>
      <c r="AW230" s="125">
        <f t="shared" si="33"/>
        <v>17632.322000000004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8356.05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1706.05</v>
      </c>
      <c r="N231" s="125">
        <f t="shared" si="30"/>
        <v>0</v>
      </c>
      <c r="O231" s="125">
        <f>Valores!$C$7*B231</f>
        <v>3587.07</v>
      </c>
      <c r="P231" s="125">
        <f>ROUND(IF(B231&lt;15,(Valores!$E$5*B231),Valores!$D$5),2)</f>
        <v>3604.74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1889.46</v>
      </c>
      <c r="S231" s="125">
        <f>Valores!$C$18*B231</f>
        <v>1128.18</v>
      </c>
      <c r="T231" s="125">
        <f t="shared" si="36"/>
        <v>1128.18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3663.18</v>
      </c>
      <c r="AA231" s="125">
        <f>IF((Valores!$C$28)*B231&gt;Valores!$F$28,Valores!$F$28,(Valores!$C$28)*B231)</f>
        <v>88.62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73.80000000000001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1685.58</v>
      </c>
      <c r="AH231" s="125">
        <f t="shared" si="34"/>
        <v>25782.729999999996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0</v>
      </c>
      <c r="AL231" s="125">
        <f>IF($F$3="NO",0,IF(Valores!$C$62*B231&gt;Valores!$F$62,Valores!$F$62,Valores!$C$62*B231))</f>
        <v>0</v>
      </c>
      <c r="AM231" s="125">
        <f t="shared" si="32"/>
        <v>0</v>
      </c>
      <c r="AN231" s="125">
        <f>AH231*Valores!$C$71</f>
        <v>-2836.1002999999996</v>
      </c>
      <c r="AO231" s="125">
        <f>AH231*-Valores!$C$72</f>
        <v>0</v>
      </c>
      <c r="AP231" s="125">
        <f>AH231*Valores!$C$73</f>
        <v>-1160.2228499999999</v>
      </c>
      <c r="AQ231" s="125">
        <f>Valores!$C$100</f>
        <v>-554.86</v>
      </c>
      <c r="AR231" s="125">
        <f>IF($F$5=0,Valores!$C$101,(Valores!$C$101+$F$5*(Valores!$C$101)))</f>
        <v>-550</v>
      </c>
      <c r="AS231" s="125">
        <f t="shared" si="35"/>
        <v>20681.54685</v>
      </c>
      <c r="AT231" s="125">
        <f t="shared" si="29"/>
        <v>-2836.1002999999996</v>
      </c>
      <c r="AU231" s="125">
        <f>AH231*Valores!$C$74</f>
        <v>-696.1337099999998</v>
      </c>
      <c r="AV231" s="125">
        <f>AH231*Valores!$C$75</f>
        <v>-77.34818999999999</v>
      </c>
      <c r="AW231" s="125">
        <f t="shared" si="33"/>
        <v>22173.147799999995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8356.05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1706.05</v>
      </c>
      <c r="N232" s="125">
        <f t="shared" si="30"/>
        <v>0</v>
      </c>
      <c r="O232" s="125">
        <f>Valores!$C$7*B232</f>
        <v>3587.07</v>
      </c>
      <c r="P232" s="125">
        <f>ROUND(IF(B232&lt;15,(Valores!$E$5*B232),Valores!$D$5),2)</f>
        <v>3604.74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1889.46</v>
      </c>
      <c r="S232" s="125">
        <f>Valores!$C$18*B232</f>
        <v>1128.18</v>
      </c>
      <c r="T232" s="125">
        <f t="shared" si="36"/>
        <v>1128.18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3663.18</v>
      </c>
      <c r="AA232" s="125">
        <f>IF((Valores!$C$28)*B232&gt;Valores!$F$28,Valores!$F$28,(Valores!$C$28)*B232)</f>
        <v>88.62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73.80000000000001</v>
      </c>
      <c r="AE232" s="192">
        <v>94</v>
      </c>
      <c r="AF232" s="125">
        <f>ROUND(AE232*Valores!$C$2,2)</f>
        <v>3314.21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1685.58</v>
      </c>
      <c r="AH232" s="125">
        <f t="shared" si="34"/>
        <v>29096.939999999995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0</v>
      </c>
      <c r="AL232" s="125">
        <f>IF($F$3="NO",0,IF(Valores!$C$62*B232&gt;Valores!$F$62,Valores!$F$62,Valores!$C$62*B232))</f>
        <v>0</v>
      </c>
      <c r="AM232" s="125">
        <f t="shared" si="32"/>
        <v>0</v>
      </c>
      <c r="AN232" s="125">
        <f>AH232*Valores!$C$71</f>
        <v>-3200.6633999999995</v>
      </c>
      <c r="AO232" s="125">
        <f>AH232*-Valores!$C$72</f>
        <v>0</v>
      </c>
      <c r="AP232" s="125">
        <f>AH232*Valores!$C$73</f>
        <v>-1309.3622999999998</v>
      </c>
      <c r="AQ232" s="125">
        <f>Valores!$C$100</f>
        <v>-554.86</v>
      </c>
      <c r="AR232" s="125">
        <f>IF($F$5=0,Valores!$C$101,(Valores!$C$101+$F$5*(Valores!$C$101)))</f>
        <v>-550</v>
      </c>
      <c r="AS232" s="125">
        <f t="shared" si="35"/>
        <v>23482.054299999996</v>
      </c>
      <c r="AT232" s="125">
        <f t="shared" si="29"/>
        <v>-3200.6633999999995</v>
      </c>
      <c r="AU232" s="125">
        <f>AH232*Valores!$C$74</f>
        <v>-785.6173799999999</v>
      </c>
      <c r="AV232" s="125">
        <f>AH232*Valores!$C$75</f>
        <v>-87.29081999999998</v>
      </c>
      <c r="AW232" s="125">
        <f t="shared" si="33"/>
        <v>25023.368399999996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11141.4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2274.74</v>
      </c>
      <c r="N233" s="125">
        <f t="shared" si="30"/>
        <v>0</v>
      </c>
      <c r="O233" s="125">
        <f>Valores!$C$7*B233</f>
        <v>4782.76</v>
      </c>
      <c r="P233" s="125">
        <f>ROUND(IF(B233&lt;15,(Valores!$E$5*B233),Valores!$D$5),2)</f>
        <v>4806.32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2519.28</v>
      </c>
      <c r="S233" s="125">
        <f>Valores!$C$18*B233</f>
        <v>1504.24</v>
      </c>
      <c r="T233" s="125">
        <f t="shared" si="36"/>
        <v>1504.24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4884.24</v>
      </c>
      <c r="AA233" s="125">
        <f>IF((Valores!$C$28)*B233&gt;Valores!$F$28,Valores!$F$28,(Valores!$C$28)*B233)</f>
        <v>118.16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98.4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2247.44</v>
      </c>
      <c r="AH233" s="125">
        <f t="shared" si="34"/>
        <v>34376.98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0</v>
      </c>
      <c r="AL233" s="125">
        <f>IF($F$3="NO",0,IF(Valores!$C$62*B233&gt;Valores!$F$62,Valores!$F$62,Valores!$C$62*B233))</f>
        <v>0</v>
      </c>
      <c r="AM233" s="125">
        <f t="shared" si="32"/>
        <v>0</v>
      </c>
      <c r="AN233" s="125">
        <f>AH233*Valores!$C$71</f>
        <v>-3781.4678000000004</v>
      </c>
      <c r="AO233" s="125">
        <f>AH233*-Valores!$C$72</f>
        <v>0</v>
      </c>
      <c r="AP233" s="125">
        <f>AH233*Valores!$C$73</f>
        <v>-1546.9641000000001</v>
      </c>
      <c r="AQ233" s="125">
        <f>Valores!$C$100</f>
        <v>-554.86</v>
      </c>
      <c r="AR233" s="125">
        <f>IF($F$5=0,Valores!$C$101,(Valores!$C$101+$F$5*(Valores!$C$101)))</f>
        <v>-550</v>
      </c>
      <c r="AS233" s="125">
        <f t="shared" si="35"/>
        <v>27943.688100000003</v>
      </c>
      <c r="AT233" s="125">
        <f t="shared" si="29"/>
        <v>-3781.4678000000004</v>
      </c>
      <c r="AU233" s="125">
        <f>AH233*Valores!$C$74</f>
        <v>-928.1784600000001</v>
      </c>
      <c r="AV233" s="125">
        <f>AH233*Valores!$C$75</f>
        <v>-103.13094000000001</v>
      </c>
      <c r="AW233" s="125">
        <f t="shared" si="33"/>
        <v>29564.202800000003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11141.4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2274.74</v>
      </c>
      <c r="N234" s="125">
        <f t="shared" si="30"/>
        <v>0</v>
      </c>
      <c r="O234" s="125">
        <f>Valores!$C$7*B234</f>
        <v>4782.76</v>
      </c>
      <c r="P234" s="125">
        <f>ROUND(IF(B234&lt;15,(Valores!$E$5*B234),Valores!$D$5),2)</f>
        <v>4806.32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2519.28</v>
      </c>
      <c r="S234" s="125">
        <f>Valores!$C$18*B234</f>
        <v>1504.24</v>
      </c>
      <c r="T234" s="125">
        <f t="shared" si="36"/>
        <v>1504.24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4884.24</v>
      </c>
      <c r="AA234" s="125">
        <f>IF((Valores!$C$28)*B234&gt;Valores!$F$28,Valores!$F$28,(Valores!$C$28)*B234)</f>
        <v>118.16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98.4</v>
      </c>
      <c r="AE234" s="192">
        <v>94</v>
      </c>
      <c r="AF234" s="125">
        <f>ROUND(AE234*Valores!$C$2,2)</f>
        <v>3314.21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2247.44</v>
      </c>
      <c r="AH234" s="125">
        <f t="shared" si="34"/>
        <v>37691.19000000001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0</v>
      </c>
      <c r="AL234" s="125">
        <f>IF($F$3="NO",0,IF(Valores!$C$62*B234&gt;Valores!$F$62,Valores!$F$62,Valores!$C$62*B234))</f>
        <v>0</v>
      </c>
      <c r="AM234" s="125">
        <f t="shared" si="32"/>
        <v>0</v>
      </c>
      <c r="AN234" s="125">
        <f>AH234*Valores!$C$71</f>
        <v>-4146.030900000001</v>
      </c>
      <c r="AO234" s="125">
        <f>AH234*-Valores!$C$72</f>
        <v>0</v>
      </c>
      <c r="AP234" s="125">
        <f>AH234*Valores!$C$73</f>
        <v>-1696.1035500000003</v>
      </c>
      <c r="AQ234" s="125">
        <f>Valores!$C$100</f>
        <v>-554.86</v>
      </c>
      <c r="AR234" s="125">
        <f>IF($F$5=0,Valores!$C$101,(Valores!$C$101+$F$5*(Valores!$C$101)))</f>
        <v>-550</v>
      </c>
      <c r="AS234" s="125">
        <f t="shared" si="35"/>
        <v>30744.195550000008</v>
      </c>
      <c r="AT234" s="125">
        <f t="shared" si="29"/>
        <v>-4146.030900000001</v>
      </c>
      <c r="AU234" s="125">
        <f>AH234*Valores!$C$74</f>
        <v>-1017.6621300000003</v>
      </c>
      <c r="AV234" s="125">
        <f>AH234*Valores!$C$75</f>
        <v>-113.07357000000003</v>
      </c>
      <c r="AW234" s="125">
        <f t="shared" si="33"/>
        <v>32414.423400000007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13926.75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2843.42</v>
      </c>
      <c r="N235" s="125">
        <f t="shared" si="30"/>
        <v>0</v>
      </c>
      <c r="O235" s="125">
        <f>Valores!$C$7*B235</f>
        <v>5978.450000000001</v>
      </c>
      <c r="P235" s="125">
        <f>ROUND(IF(B235&lt;15,(Valores!$E$5*B235),Valores!$D$5),2)</f>
        <v>6007.9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3149.1000000000004</v>
      </c>
      <c r="S235" s="125">
        <f>Valores!$C$18*B235</f>
        <v>1880.3</v>
      </c>
      <c r="T235" s="125">
        <f t="shared" si="36"/>
        <v>1880.3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6105.299999999999</v>
      </c>
      <c r="AA235" s="125">
        <f>IF((Valores!$C$28)*B235&gt;Valores!$F$28,Valores!$F$28,(Valores!$C$28)*B235)</f>
        <v>147.7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123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2809.3</v>
      </c>
      <c r="AH235" s="125">
        <f t="shared" si="34"/>
        <v>42971.22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0</v>
      </c>
      <c r="AL235" s="125">
        <f>IF($F$3="NO",0,IF(Valores!$C$62*B235&gt;Valores!$F$62,Valores!$F$62,Valores!$C$62*B235))</f>
        <v>0</v>
      </c>
      <c r="AM235" s="125">
        <f t="shared" si="32"/>
        <v>0</v>
      </c>
      <c r="AN235" s="125">
        <f>AH235*Valores!$C$71</f>
        <v>-4726.8342</v>
      </c>
      <c r="AO235" s="125">
        <f>AH235*-Valores!$C$72</f>
        <v>0</v>
      </c>
      <c r="AP235" s="125">
        <f>AH235*Valores!$C$73</f>
        <v>-1933.7049</v>
      </c>
      <c r="AQ235" s="125">
        <f>Valores!$C$100</f>
        <v>-554.86</v>
      </c>
      <c r="AR235" s="125">
        <f>IF($F$5=0,Valores!$C$101,(Valores!$C$101+$F$5*(Valores!$C$101)))</f>
        <v>-550</v>
      </c>
      <c r="AS235" s="125">
        <f t="shared" si="35"/>
        <v>35205.8209</v>
      </c>
      <c r="AT235" s="125">
        <f t="shared" si="29"/>
        <v>-4726.8342</v>
      </c>
      <c r="AU235" s="125">
        <f>AH235*Valores!$C$74</f>
        <v>-1160.22294</v>
      </c>
      <c r="AV235" s="125">
        <f>AH235*Valores!$C$75</f>
        <v>-128.91366</v>
      </c>
      <c r="AW235" s="125">
        <f t="shared" si="33"/>
        <v>36955.2492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13926.75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2843.42</v>
      </c>
      <c r="N236" s="125">
        <f t="shared" si="30"/>
        <v>0</v>
      </c>
      <c r="O236" s="125">
        <f>Valores!$C$7*B236</f>
        <v>5978.450000000001</v>
      </c>
      <c r="P236" s="125">
        <f>ROUND(IF(B236&lt;15,(Valores!$E$5*B236),Valores!$D$5),2)</f>
        <v>6007.9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3149.1000000000004</v>
      </c>
      <c r="S236" s="125">
        <f>Valores!$C$18*B236</f>
        <v>1880.3</v>
      </c>
      <c r="T236" s="125">
        <f t="shared" si="36"/>
        <v>1880.3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6105.299999999999</v>
      </c>
      <c r="AA236" s="125">
        <f>IF((Valores!$C$28)*B236&gt;Valores!$F$28,Valores!$F$28,(Valores!$C$28)*B236)</f>
        <v>147.7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123</v>
      </c>
      <c r="AE236" s="192">
        <v>94</v>
      </c>
      <c r="AF236" s="125">
        <f>ROUND(AE236*Valores!$C$2,2)</f>
        <v>3314.21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2809.3</v>
      </c>
      <c r="AH236" s="125">
        <f t="shared" si="34"/>
        <v>46285.43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0</v>
      </c>
      <c r="AL236" s="125">
        <f>IF($F$3="NO",0,IF(Valores!$C$62*B236&gt;Valores!$F$62,Valores!$F$62,Valores!$C$62*B236))</f>
        <v>0</v>
      </c>
      <c r="AM236" s="125">
        <f t="shared" si="32"/>
        <v>0</v>
      </c>
      <c r="AN236" s="125">
        <f>AH236*Valores!$C$71</f>
        <v>-5091.3973</v>
      </c>
      <c r="AO236" s="125">
        <f>AH236*-Valores!$C$72</f>
        <v>0</v>
      </c>
      <c r="AP236" s="125">
        <f>AH236*Valores!$C$73</f>
        <v>-2082.84435</v>
      </c>
      <c r="AQ236" s="125">
        <f>Valores!$C$100</f>
        <v>-554.86</v>
      </c>
      <c r="AR236" s="125">
        <f>IF($F$5=0,Valores!$C$101,(Valores!$C$101+$F$5*(Valores!$C$101)))</f>
        <v>-550</v>
      </c>
      <c r="AS236" s="125">
        <f t="shared" si="35"/>
        <v>38006.328349999996</v>
      </c>
      <c r="AT236" s="125">
        <f t="shared" si="29"/>
        <v>-5091.3973</v>
      </c>
      <c r="AU236" s="125">
        <f>AH236*Valores!$C$74</f>
        <v>-1249.70661</v>
      </c>
      <c r="AV236" s="125">
        <f>AH236*Valores!$C$75</f>
        <v>-138.85629</v>
      </c>
      <c r="AW236" s="125">
        <f t="shared" si="33"/>
        <v>39805.4698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16712.1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3412.11</v>
      </c>
      <c r="N237" s="125">
        <f t="shared" si="30"/>
        <v>0</v>
      </c>
      <c r="O237" s="125">
        <f>Valores!$C$7*B237</f>
        <v>7174.14</v>
      </c>
      <c r="P237" s="125">
        <f>ROUND(IF(B237&lt;15,(Valores!$E$5*B237),Valores!$D$5),2)</f>
        <v>7209.48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3778.92</v>
      </c>
      <c r="S237" s="125">
        <f>Valores!$C$18*B237</f>
        <v>2256.36</v>
      </c>
      <c r="T237" s="125">
        <f t="shared" si="36"/>
        <v>2256.36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7326.36</v>
      </c>
      <c r="AA237" s="125">
        <f>IF((Valores!$C$28)*B237&gt;Valores!$F$28,Valores!$F$28,(Valores!$C$28)*B237)</f>
        <v>177.24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147.60000000000002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3371.16</v>
      </c>
      <c r="AH237" s="125">
        <f t="shared" si="34"/>
        <v>51565.47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0</v>
      </c>
      <c r="AL237" s="125">
        <f>IF($F$3="NO",0,IF(Valores!$C$62*B237&gt;Valores!$F$62,Valores!$F$62,Valores!$C$62*B237))</f>
        <v>0</v>
      </c>
      <c r="AM237" s="125">
        <f t="shared" si="32"/>
        <v>0</v>
      </c>
      <c r="AN237" s="125">
        <f>AH237*Valores!$C$71</f>
        <v>-5672.2017000000005</v>
      </c>
      <c r="AO237" s="125">
        <f>AH237*-Valores!$C$72</f>
        <v>0</v>
      </c>
      <c r="AP237" s="125">
        <f>AH237*Valores!$C$73</f>
        <v>-2320.4461499999998</v>
      </c>
      <c r="AQ237" s="125">
        <f>Valores!$C$100</f>
        <v>-554.86</v>
      </c>
      <c r="AR237" s="125">
        <f>IF($F$5=0,Valores!$C$101,(Valores!$C$101+$F$5*(Valores!$C$101)))</f>
        <v>-550</v>
      </c>
      <c r="AS237" s="125">
        <f t="shared" si="35"/>
        <v>42467.96215</v>
      </c>
      <c r="AT237" s="125">
        <f t="shared" si="29"/>
        <v>-5672.2017000000005</v>
      </c>
      <c r="AU237" s="125">
        <f>AH237*Valores!$C$74</f>
        <v>-1392.26769</v>
      </c>
      <c r="AV237" s="125">
        <f>AH237*Valores!$C$75</f>
        <v>-154.69641000000001</v>
      </c>
      <c r="AW237" s="125">
        <f t="shared" si="33"/>
        <v>44346.3042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16712.1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3412.11</v>
      </c>
      <c r="N238" s="125">
        <f t="shared" si="30"/>
        <v>0</v>
      </c>
      <c r="O238" s="125">
        <f>Valores!$C$7*B238</f>
        <v>7174.14</v>
      </c>
      <c r="P238" s="125">
        <f>ROUND(IF(B238&lt;15,(Valores!$E$5*B238),Valores!$D$5),2)</f>
        <v>7209.48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3778.92</v>
      </c>
      <c r="S238" s="125">
        <f>Valores!$C$18*B238</f>
        <v>2256.36</v>
      </c>
      <c r="T238" s="125">
        <f t="shared" si="36"/>
        <v>2256.36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7326.36</v>
      </c>
      <c r="AA238" s="125">
        <f>IF((Valores!$C$28)*B238&gt;Valores!$F$28,Valores!$F$28,(Valores!$C$28)*B238)</f>
        <v>177.24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147.60000000000002</v>
      </c>
      <c r="AE238" s="192">
        <v>94</v>
      </c>
      <c r="AF238" s="125">
        <f>ROUND(AE238*Valores!$C$2,2)</f>
        <v>3314.21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3371.16</v>
      </c>
      <c r="AH238" s="125">
        <f t="shared" si="34"/>
        <v>54879.67999999999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0</v>
      </c>
      <c r="AL238" s="125">
        <f>IF($F$3="NO",0,IF(Valores!$C$62*B238&gt;Valores!$F$62,Valores!$F$62,Valores!$C$62*B238))</f>
        <v>0</v>
      </c>
      <c r="AM238" s="125">
        <f t="shared" si="32"/>
        <v>0</v>
      </c>
      <c r="AN238" s="125">
        <f>AH238*Valores!$C$71</f>
        <v>-6036.764799999999</v>
      </c>
      <c r="AO238" s="125">
        <f>AH238*-Valores!$C$72</f>
        <v>0</v>
      </c>
      <c r="AP238" s="125">
        <f>AH238*Valores!$C$73</f>
        <v>-2469.5855999999994</v>
      </c>
      <c r="AQ238" s="125">
        <f>Valores!$C$100</f>
        <v>-554.86</v>
      </c>
      <c r="AR238" s="125">
        <f>IF($F$5=0,Valores!$C$101,(Valores!$C$101+$F$5*(Valores!$C$101)))</f>
        <v>-550</v>
      </c>
      <c r="AS238" s="125">
        <f t="shared" si="35"/>
        <v>45268.4696</v>
      </c>
      <c r="AT238" s="125">
        <f t="shared" si="29"/>
        <v>-6036.764799999999</v>
      </c>
      <c r="AU238" s="125">
        <f>AH238*Valores!$C$74</f>
        <v>-1481.7513599999997</v>
      </c>
      <c r="AV238" s="125">
        <f>AH238*Valores!$C$75</f>
        <v>-164.63904</v>
      </c>
      <c r="AW238" s="125">
        <f t="shared" si="33"/>
        <v>47196.52479999999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19497.45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3980.79</v>
      </c>
      <c r="N239" s="125">
        <f t="shared" si="30"/>
        <v>0</v>
      </c>
      <c r="O239" s="125">
        <f>Valores!$C$7*B239</f>
        <v>8369.83</v>
      </c>
      <c r="P239" s="125">
        <f>ROUND(IF(B239&lt;15,(Valores!$E$5*B239),Valores!$D$5),2)</f>
        <v>8411.06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4408.740000000001</v>
      </c>
      <c r="S239" s="125">
        <f>Valores!$C$18*B239</f>
        <v>2632.42</v>
      </c>
      <c r="T239" s="125">
        <f t="shared" si="36"/>
        <v>2632.42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8547.42</v>
      </c>
      <c r="AA239" s="125">
        <f>IF((Valores!$C$28)*B239&gt;Valores!$F$28,Valores!$F$28,(Valores!$C$28)*B239)</f>
        <v>206.78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172.20000000000002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3933.02</v>
      </c>
      <c r="AH239" s="125">
        <f t="shared" si="34"/>
        <v>60159.709999999985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0</v>
      </c>
      <c r="AL239" s="125">
        <f>IF($F$3="NO",0,IF(Valores!$C$62*B239&gt;Valores!$F$62,Valores!$F$62,Valores!$C$62*B239))</f>
        <v>0</v>
      </c>
      <c r="AM239" s="125">
        <f t="shared" si="32"/>
        <v>0</v>
      </c>
      <c r="AN239" s="125">
        <f>AH239*Valores!$C$71</f>
        <v>-6617.568099999999</v>
      </c>
      <c r="AO239" s="125">
        <f>AH239*-Valores!$C$72</f>
        <v>0</v>
      </c>
      <c r="AP239" s="125">
        <f>AH239*Valores!$C$73</f>
        <v>-2707.1869499999993</v>
      </c>
      <c r="AQ239" s="125">
        <f>Valores!$C$100</f>
        <v>-554.86</v>
      </c>
      <c r="AR239" s="125">
        <f>IF($F$5=0,Valores!$C$101,(Valores!$C$101+$F$5*(Valores!$C$101)))</f>
        <v>-550</v>
      </c>
      <c r="AS239" s="125">
        <f t="shared" si="35"/>
        <v>49730.094949999984</v>
      </c>
      <c r="AT239" s="125">
        <f t="shared" si="29"/>
        <v>-6617.568099999999</v>
      </c>
      <c r="AU239" s="125">
        <f>AH239*Valores!$C$74</f>
        <v>-1624.3121699999995</v>
      </c>
      <c r="AV239" s="125">
        <f>AH239*Valores!$C$75</f>
        <v>-180.47912999999997</v>
      </c>
      <c r="AW239" s="125">
        <f t="shared" si="33"/>
        <v>51737.35059999999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19497.45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3980.79</v>
      </c>
      <c r="N240" s="125">
        <f t="shared" si="30"/>
        <v>0</v>
      </c>
      <c r="O240" s="125">
        <f>Valores!$C$7*B240</f>
        <v>8369.83</v>
      </c>
      <c r="P240" s="125">
        <f>ROUND(IF(B240&lt;15,(Valores!$E$5*B240),Valores!$D$5),2)</f>
        <v>8411.06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4408.740000000001</v>
      </c>
      <c r="S240" s="125">
        <f>Valores!$C$18*B240</f>
        <v>2632.42</v>
      </c>
      <c r="T240" s="125">
        <f t="shared" si="36"/>
        <v>2632.42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8547.42</v>
      </c>
      <c r="AA240" s="125">
        <f>IF((Valores!$C$28)*B240&gt;Valores!$F$28,Valores!$F$28,(Valores!$C$28)*B240)</f>
        <v>206.78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172.20000000000002</v>
      </c>
      <c r="AE240" s="192">
        <v>94</v>
      </c>
      <c r="AF240" s="125">
        <f>ROUND(AE240*Valores!$C$2,2)</f>
        <v>3314.21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3933.02</v>
      </c>
      <c r="AH240" s="125">
        <f t="shared" si="34"/>
        <v>63473.919999999984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0</v>
      </c>
      <c r="AL240" s="125">
        <f>IF($F$3="NO",0,IF(Valores!$C$62*B240&gt;Valores!$F$62,Valores!$F$62,Valores!$C$62*B240))</f>
        <v>0</v>
      </c>
      <c r="AM240" s="125">
        <f t="shared" si="32"/>
        <v>0</v>
      </c>
      <c r="AN240" s="125">
        <f>AH240*Valores!$C$71</f>
        <v>-6982.131199999998</v>
      </c>
      <c r="AO240" s="125">
        <f>AH240*-Valores!$C$72</f>
        <v>0</v>
      </c>
      <c r="AP240" s="125">
        <f>AH240*Valores!$C$73</f>
        <v>-2856.326399999999</v>
      </c>
      <c r="AQ240" s="125">
        <f>Valores!$C$100</f>
        <v>-554.86</v>
      </c>
      <c r="AR240" s="125">
        <f>IF($F$5=0,Valores!$C$101,(Valores!$C$101+$F$5*(Valores!$C$101)))</f>
        <v>-550</v>
      </c>
      <c r="AS240" s="125">
        <f t="shared" si="35"/>
        <v>52530.60239999999</v>
      </c>
      <c r="AT240" s="125">
        <f t="shared" si="29"/>
        <v>-6982.131199999998</v>
      </c>
      <c r="AU240" s="125">
        <f>AH240*Valores!$C$74</f>
        <v>-1713.7958399999995</v>
      </c>
      <c r="AV240" s="125">
        <f>AH240*Valores!$C$75</f>
        <v>-190.42175999999995</v>
      </c>
      <c r="AW240" s="125">
        <f t="shared" si="33"/>
        <v>54587.57119999999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22282.8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4549.48</v>
      </c>
      <c r="N241" s="125">
        <f t="shared" si="30"/>
        <v>0</v>
      </c>
      <c r="O241" s="125">
        <f>Valores!$C$7*B241</f>
        <v>9565.52</v>
      </c>
      <c r="P241" s="125">
        <f>ROUND(IF(B241&lt;15,(Valores!$E$5*B241),Valores!$D$5),2)</f>
        <v>9612.64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5038.56</v>
      </c>
      <c r="S241" s="125">
        <f>Valores!$C$18*B241</f>
        <v>3008.48</v>
      </c>
      <c r="T241" s="125">
        <f t="shared" si="36"/>
        <v>3008.48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9768.48</v>
      </c>
      <c r="AA241" s="125">
        <f>IF((Valores!$C$28)*B241&gt;Valores!$F$28,Valores!$F$28,(Valores!$C$28)*B241)</f>
        <v>236.32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196.8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4494.88</v>
      </c>
      <c r="AH241" s="125">
        <f t="shared" si="34"/>
        <v>68753.96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0</v>
      </c>
      <c r="AL241" s="125">
        <f>IF($F$3="NO",0,IF(Valores!$C$62*B241&gt;Valores!$F$62,Valores!$F$62,Valores!$C$62*B241))</f>
        <v>0</v>
      </c>
      <c r="AM241" s="125">
        <f t="shared" si="32"/>
        <v>0</v>
      </c>
      <c r="AN241" s="125">
        <f>AH241*Valores!$C$71</f>
        <v>-7562.935600000001</v>
      </c>
      <c r="AO241" s="125">
        <f>AH241*-Valores!$C$72</f>
        <v>0</v>
      </c>
      <c r="AP241" s="125">
        <f>AH241*Valores!$C$73</f>
        <v>-3093.9282000000003</v>
      </c>
      <c r="AQ241" s="125">
        <f>Valores!$C$100</f>
        <v>-554.86</v>
      </c>
      <c r="AR241" s="125">
        <f>IF($F$5=0,Valores!$C$101,(Valores!$C$101+$F$5*(Valores!$C$101)))</f>
        <v>-550</v>
      </c>
      <c r="AS241" s="125">
        <f t="shared" si="35"/>
        <v>56992.23620000001</v>
      </c>
      <c r="AT241" s="125">
        <f t="shared" si="29"/>
        <v>-7562.935600000001</v>
      </c>
      <c r="AU241" s="125">
        <f>AH241*Valores!$C$74</f>
        <v>-1856.3569200000002</v>
      </c>
      <c r="AV241" s="125">
        <f>AH241*Valores!$C$75</f>
        <v>-206.26188000000002</v>
      </c>
      <c r="AW241" s="125">
        <f t="shared" si="33"/>
        <v>59128.405600000006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22282.8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4549.48</v>
      </c>
      <c r="N242" s="125">
        <f t="shared" si="30"/>
        <v>0</v>
      </c>
      <c r="O242" s="125">
        <f>Valores!$C$7*B242</f>
        <v>9565.52</v>
      </c>
      <c r="P242" s="125">
        <f>ROUND(IF(B242&lt;15,(Valores!$E$5*B242),Valores!$D$5),2)</f>
        <v>9612.64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5038.56</v>
      </c>
      <c r="S242" s="125">
        <f>Valores!$C$18*B242</f>
        <v>3008.48</v>
      </c>
      <c r="T242" s="125">
        <f t="shared" si="36"/>
        <v>3008.48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9768.48</v>
      </c>
      <c r="AA242" s="125">
        <f>IF((Valores!$C$28)*B242&gt;Valores!$F$28,Valores!$F$28,(Valores!$C$28)*B242)</f>
        <v>236.32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196.8</v>
      </c>
      <c r="AE242" s="192">
        <v>94</v>
      </c>
      <c r="AF242" s="125">
        <f>ROUND(AE242*Valores!$C$2,2)</f>
        <v>3314.21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4494.88</v>
      </c>
      <c r="AH242" s="125">
        <f t="shared" si="34"/>
        <v>72068.17000000001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0</v>
      </c>
      <c r="AL242" s="125">
        <f>IF($F$3="NO",0,IF(Valores!$C$62*B242&gt;Valores!$F$62,Valores!$F$62,Valores!$C$62*B242))</f>
        <v>0</v>
      </c>
      <c r="AM242" s="125">
        <f t="shared" si="32"/>
        <v>0</v>
      </c>
      <c r="AN242" s="125">
        <f>AH242*Valores!$C$71</f>
        <v>-7927.498700000001</v>
      </c>
      <c r="AO242" s="125">
        <f>AH242*-Valores!$C$72</f>
        <v>0</v>
      </c>
      <c r="AP242" s="125">
        <f>AH242*Valores!$C$73</f>
        <v>-3243.0676500000004</v>
      </c>
      <c r="AQ242" s="125">
        <f>Valores!$C$100</f>
        <v>-554.86</v>
      </c>
      <c r="AR242" s="125">
        <f>IF($F$5=0,Valores!$C$101,(Valores!$C$101+$F$5*(Valores!$C$101)))</f>
        <v>-550</v>
      </c>
      <c r="AS242" s="125">
        <f t="shared" si="35"/>
        <v>59792.74365000001</v>
      </c>
      <c r="AT242" s="125">
        <f t="shared" si="29"/>
        <v>-7927.498700000001</v>
      </c>
      <c r="AU242" s="125">
        <f>AH242*Valores!$C$74</f>
        <v>-1945.8405900000002</v>
      </c>
      <c r="AV242" s="125">
        <f>AH242*Valores!$C$75</f>
        <v>-216.20451000000006</v>
      </c>
      <c r="AW242" s="125">
        <f t="shared" si="33"/>
        <v>61978.62620000001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25068.15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5118.16</v>
      </c>
      <c r="N243" s="125">
        <f t="shared" si="30"/>
        <v>0</v>
      </c>
      <c r="O243" s="125">
        <f>Valores!$C$7*B243</f>
        <v>10761.210000000001</v>
      </c>
      <c r="P243" s="125">
        <f>ROUND(IF(B243&lt;15,(Valores!$E$5*B243),Valores!$D$5),2)</f>
        <v>10814.22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5668.38</v>
      </c>
      <c r="S243" s="125">
        <f>Valores!$C$18*B243</f>
        <v>3384.54</v>
      </c>
      <c r="T243" s="125">
        <f t="shared" si="36"/>
        <v>3384.54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10989.539999999999</v>
      </c>
      <c r="AA243" s="125">
        <f>IF((Valores!$C$28)*B243&gt;Valores!$F$28,Valores!$F$28,(Valores!$C$28)*B243)</f>
        <v>265.86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221.4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5056.74</v>
      </c>
      <c r="AH243" s="125">
        <f t="shared" si="34"/>
        <v>77348.2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0</v>
      </c>
      <c r="AL243" s="125">
        <f>IF($F$3="NO",0,IF(Valores!$C$62*B243&gt;Valores!$F$62,Valores!$F$62,Valores!$C$62*B243))</f>
        <v>0</v>
      </c>
      <c r="AM243" s="125">
        <f t="shared" si="32"/>
        <v>0</v>
      </c>
      <c r="AN243" s="125">
        <f>AH243*Valores!$C$71</f>
        <v>-8508.302</v>
      </c>
      <c r="AO243" s="125">
        <f>AH243*-Valores!$C$72</f>
        <v>0</v>
      </c>
      <c r="AP243" s="125">
        <f>AH243*Valores!$C$73</f>
        <v>-3480.669</v>
      </c>
      <c r="AQ243" s="125">
        <f>Valores!$C$100</f>
        <v>-554.86</v>
      </c>
      <c r="AR243" s="125">
        <f>IF($F$5=0,Valores!$C$101,(Valores!$C$101+$F$5*(Valores!$C$101)))</f>
        <v>-550</v>
      </c>
      <c r="AS243" s="125">
        <f t="shared" si="35"/>
        <v>64254.369</v>
      </c>
      <c r="AT243" s="125">
        <f t="shared" si="29"/>
        <v>-8508.302</v>
      </c>
      <c r="AU243" s="125">
        <f>AH243*Valores!$C$74</f>
        <v>-2088.4013999999997</v>
      </c>
      <c r="AV243" s="125">
        <f>AH243*Valores!$C$75</f>
        <v>-232.0446</v>
      </c>
      <c r="AW243" s="125">
        <f t="shared" si="33"/>
        <v>66519.452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25068.15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5118.16</v>
      </c>
      <c r="N244" s="125">
        <f t="shared" si="30"/>
        <v>0</v>
      </c>
      <c r="O244" s="125">
        <f>Valores!$C$7*B244</f>
        <v>10761.210000000001</v>
      </c>
      <c r="P244" s="125">
        <f>ROUND(IF(B244&lt;15,(Valores!$E$5*B244),Valores!$D$5),2)</f>
        <v>10814.22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5668.38</v>
      </c>
      <c r="S244" s="125">
        <f>Valores!$C$18*B244</f>
        <v>3384.54</v>
      </c>
      <c r="T244" s="125">
        <f t="shared" si="36"/>
        <v>3384.54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10989.539999999999</v>
      </c>
      <c r="AA244" s="125">
        <f>IF((Valores!$C$28)*B244&gt;Valores!$F$28,Valores!$F$28,(Valores!$C$28)*B244)</f>
        <v>265.86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221.4</v>
      </c>
      <c r="AE244" s="192">
        <v>94</v>
      </c>
      <c r="AF244" s="125">
        <f>ROUND(AE244*Valores!$C$2,2)</f>
        <v>3314.21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5056.74</v>
      </c>
      <c r="AH244" s="125">
        <f t="shared" si="34"/>
        <v>80662.41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0</v>
      </c>
      <c r="AL244" s="125">
        <f>IF($F$3="NO",0,IF(Valores!$C$62*B244&gt;Valores!$F$62,Valores!$F$62,Valores!$C$62*B244))</f>
        <v>0</v>
      </c>
      <c r="AM244" s="125">
        <f t="shared" si="32"/>
        <v>0</v>
      </c>
      <c r="AN244" s="125">
        <f>AH244*Valores!$C$71</f>
        <v>-8872.8651</v>
      </c>
      <c r="AO244" s="125">
        <f>AH244*-Valores!$C$72</f>
        <v>0</v>
      </c>
      <c r="AP244" s="125">
        <f>AH244*Valores!$C$73</f>
        <v>-3629.80845</v>
      </c>
      <c r="AQ244" s="125">
        <f>Valores!$C$100</f>
        <v>-554.86</v>
      </c>
      <c r="AR244" s="125">
        <f>IF($F$5=0,Valores!$C$101,(Valores!$C$101+$F$5*(Valores!$C$101)))</f>
        <v>-550</v>
      </c>
      <c r="AS244" s="125">
        <f t="shared" si="35"/>
        <v>67054.87645</v>
      </c>
      <c r="AT244" s="125">
        <f t="shared" si="29"/>
        <v>-8872.8651</v>
      </c>
      <c r="AU244" s="125">
        <f>AH244*Valores!$C$74</f>
        <v>-2177.8850700000003</v>
      </c>
      <c r="AV244" s="125">
        <f>AH244*Valores!$C$75</f>
        <v>-241.98723</v>
      </c>
      <c r="AW244" s="125">
        <f t="shared" si="33"/>
        <v>69369.6726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27853.5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5686.85</v>
      </c>
      <c r="N245" s="125">
        <f t="shared" si="30"/>
        <v>0</v>
      </c>
      <c r="O245" s="125">
        <f>Valores!$C$7*B245</f>
        <v>11956.900000000001</v>
      </c>
      <c r="P245" s="125">
        <f>ROUND(IF(B245&lt;15,(Valores!$E$5*B245),Valores!$D$5),2)</f>
        <v>12015.8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6298.200000000001</v>
      </c>
      <c r="S245" s="125">
        <f>Valores!$C$18*B245</f>
        <v>3760.6</v>
      </c>
      <c r="T245" s="125">
        <f t="shared" si="36"/>
        <v>3760.6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12210.599999999999</v>
      </c>
      <c r="AA245" s="125">
        <f>IF((Valores!$C$28)*B245&gt;Valores!$F$28,Valores!$F$28,(Valores!$C$28)*B245)</f>
        <v>295.4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246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5618.6</v>
      </c>
      <c r="AH245" s="125">
        <f t="shared" si="34"/>
        <v>85942.45000000001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0</v>
      </c>
      <c r="AL245" s="125">
        <f>IF($F$3="NO",0,IF(Valores!$C$62*B245&gt;Valores!$F$62,Valores!$F$62,Valores!$C$62*B245))</f>
        <v>0</v>
      </c>
      <c r="AM245" s="125">
        <f t="shared" si="32"/>
        <v>0</v>
      </c>
      <c r="AN245" s="125">
        <f>AH245*Valores!$C$71</f>
        <v>-9453.669500000002</v>
      </c>
      <c r="AO245" s="125">
        <f>AH245*-Valores!$C$72</f>
        <v>0</v>
      </c>
      <c r="AP245" s="125">
        <f>AH245*Valores!$C$73</f>
        <v>-3867.4102500000004</v>
      </c>
      <c r="AQ245" s="125">
        <f>Valores!$C$100</f>
        <v>-554.86</v>
      </c>
      <c r="AR245" s="125">
        <f>IF($F$5=0,Valores!$C$101,(Valores!$C$101+$F$5*(Valores!$C$101)))</f>
        <v>-550</v>
      </c>
      <c r="AS245" s="125">
        <f t="shared" si="35"/>
        <v>71516.51025</v>
      </c>
      <c r="AT245" s="125">
        <f t="shared" si="29"/>
        <v>-9453.669500000002</v>
      </c>
      <c r="AU245" s="125">
        <f>AH245*Valores!$C$74</f>
        <v>-2320.44615</v>
      </c>
      <c r="AV245" s="125">
        <f>AH245*Valores!$C$75</f>
        <v>-257.82735</v>
      </c>
      <c r="AW245" s="125">
        <f t="shared" si="33"/>
        <v>73910.50700000001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27853.5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5686.85</v>
      </c>
      <c r="N246" s="125">
        <f t="shared" si="30"/>
        <v>0</v>
      </c>
      <c r="O246" s="125">
        <f>Valores!$C$7*B246</f>
        <v>11956.900000000001</v>
      </c>
      <c r="P246" s="125">
        <f>ROUND(IF(B246&lt;15,(Valores!$E$5*B246),Valores!$D$5),2)</f>
        <v>12015.8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6298.200000000001</v>
      </c>
      <c r="S246" s="125">
        <f>Valores!$C$18*B246</f>
        <v>3760.6</v>
      </c>
      <c r="T246" s="125">
        <f t="shared" si="36"/>
        <v>3760.6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12210.599999999999</v>
      </c>
      <c r="AA246" s="125">
        <f>IF((Valores!$C$28)*B246&gt;Valores!$F$28,Valores!$F$28,(Valores!$C$28)*B246)</f>
        <v>295.4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246</v>
      </c>
      <c r="AE246" s="192">
        <v>94</v>
      </c>
      <c r="AF246" s="125">
        <f>ROUND(AE246*Valores!$C$2,2)</f>
        <v>3314.21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5618.6</v>
      </c>
      <c r="AH246" s="125">
        <f t="shared" si="34"/>
        <v>89256.66000000002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0</v>
      </c>
      <c r="AL246" s="125">
        <f>IF($F$3="NO",0,IF(Valores!$C$62*B246&gt;Valores!$F$62,Valores!$F$62,Valores!$C$62*B246))</f>
        <v>0</v>
      </c>
      <c r="AM246" s="125">
        <f t="shared" si="32"/>
        <v>0</v>
      </c>
      <c r="AN246" s="125">
        <f>AH246*Valores!$C$71</f>
        <v>-9818.232600000001</v>
      </c>
      <c r="AO246" s="125">
        <f>AH246*-Valores!$C$72</f>
        <v>0</v>
      </c>
      <c r="AP246" s="125">
        <f>AH246*Valores!$C$73</f>
        <v>-4016.5497000000005</v>
      </c>
      <c r="AQ246" s="125">
        <f>Valores!$C$100</f>
        <v>-554.86</v>
      </c>
      <c r="AR246" s="125">
        <f>IF($F$5=0,Valores!$C$101,(Valores!$C$101+$F$5*(Valores!$C$101)))</f>
        <v>-550</v>
      </c>
      <c r="AS246" s="125">
        <f t="shared" si="35"/>
        <v>74317.01770000001</v>
      </c>
      <c r="AT246" s="125">
        <f t="shared" si="29"/>
        <v>-9818.232600000001</v>
      </c>
      <c r="AU246" s="125">
        <f>AH246*Valores!$C$74</f>
        <v>-2409.9298200000003</v>
      </c>
      <c r="AV246" s="125">
        <f>AH246*Valores!$C$75</f>
        <v>-267.76998000000003</v>
      </c>
      <c r="AW246" s="125">
        <f t="shared" si="33"/>
        <v>76760.72760000001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30638.85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6255.53</v>
      </c>
      <c r="N247" s="125">
        <f t="shared" si="30"/>
        <v>0</v>
      </c>
      <c r="O247" s="125">
        <f>Valores!$C$7*B247</f>
        <v>13152.59</v>
      </c>
      <c r="P247" s="125">
        <f>ROUND(IF(B247&lt;15,(Valores!$E$5*B247),Valores!$D$5),2)</f>
        <v>13217.38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6928.02</v>
      </c>
      <c r="S247" s="125">
        <f>Valores!$C$18*B247</f>
        <v>4136.66</v>
      </c>
      <c r="T247" s="125">
        <f t="shared" si="36"/>
        <v>4136.66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13431.66</v>
      </c>
      <c r="AA247" s="125">
        <f>IF((Valores!$C$28)*B247&gt;Valores!$F$28,Valores!$F$28,(Valores!$C$28)*B247)</f>
        <v>324.94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270.6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6180.46</v>
      </c>
      <c r="AH247" s="125">
        <f t="shared" si="34"/>
        <v>94536.69000000002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0</v>
      </c>
      <c r="AL247" s="125">
        <f>IF($F$3="NO",0,IF(Valores!$C$62*B247&gt;Valores!$F$62,Valores!$F$62,Valores!$C$62*B247))</f>
        <v>0</v>
      </c>
      <c r="AM247" s="125">
        <f t="shared" si="32"/>
        <v>0</v>
      </c>
      <c r="AN247" s="125">
        <f>AH247*Valores!$C$71</f>
        <v>-10399.035900000003</v>
      </c>
      <c r="AO247" s="125">
        <f>AH247*-Valores!$C$72</f>
        <v>0</v>
      </c>
      <c r="AP247" s="125">
        <f>AH247*Valores!$C$73</f>
        <v>-4254.15105</v>
      </c>
      <c r="AQ247" s="125">
        <f>Valores!$C$100</f>
        <v>-554.86</v>
      </c>
      <c r="AR247" s="125">
        <f>IF($F$5=0,Valores!$C$101,(Valores!$C$101+$F$5*(Valores!$C$101)))</f>
        <v>-550</v>
      </c>
      <c r="AS247" s="125">
        <f t="shared" si="35"/>
        <v>78778.64305000001</v>
      </c>
      <c r="AT247" s="125">
        <f t="shared" si="29"/>
        <v>-10399.035900000003</v>
      </c>
      <c r="AU247" s="125">
        <f>AH247*Valores!$C$74</f>
        <v>-2552.4906300000002</v>
      </c>
      <c r="AV247" s="125">
        <f>AH247*Valores!$C$75</f>
        <v>-283.61007000000006</v>
      </c>
      <c r="AW247" s="125">
        <f t="shared" si="33"/>
        <v>81301.55340000002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30638.85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6255.53</v>
      </c>
      <c r="N248" s="125">
        <f t="shared" si="30"/>
        <v>0</v>
      </c>
      <c r="O248" s="125">
        <f>Valores!$C$7*B248</f>
        <v>13152.59</v>
      </c>
      <c r="P248" s="125">
        <f>ROUND(IF(B248&lt;15,(Valores!$E$5*B248),Valores!$D$5),2)</f>
        <v>13217.38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6928.02</v>
      </c>
      <c r="S248" s="125">
        <f>Valores!$C$18*B248</f>
        <v>4136.66</v>
      </c>
      <c r="T248" s="125">
        <f t="shared" si="36"/>
        <v>4136.66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13431.66</v>
      </c>
      <c r="AA248" s="125">
        <f>IF((Valores!$C$28)*B248&gt;Valores!$F$28,Valores!$F$28,(Valores!$C$28)*B248)</f>
        <v>324.94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270.6</v>
      </c>
      <c r="AE248" s="192">
        <v>94</v>
      </c>
      <c r="AF248" s="125">
        <f>ROUND(AE248*Valores!$C$2,2)</f>
        <v>3314.21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6180.46</v>
      </c>
      <c r="AH248" s="125">
        <f t="shared" si="34"/>
        <v>97850.90000000002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0</v>
      </c>
      <c r="AL248" s="125">
        <f>IF($F$3="NO",0,IF(Valores!$C$62*B248&gt;Valores!$F$62,Valores!$F$62,Valores!$C$62*B248))</f>
        <v>0</v>
      </c>
      <c r="AM248" s="125">
        <f t="shared" si="32"/>
        <v>0</v>
      </c>
      <c r="AN248" s="125">
        <f>AH248*Valores!$C$71</f>
        <v>-10763.599000000002</v>
      </c>
      <c r="AO248" s="125">
        <f>AH248*-Valores!$C$72</f>
        <v>0</v>
      </c>
      <c r="AP248" s="125">
        <f>AH248*Valores!$C$73</f>
        <v>-4403.290500000001</v>
      </c>
      <c r="AQ248" s="125">
        <f>Valores!$C$100</f>
        <v>-554.86</v>
      </c>
      <c r="AR248" s="125">
        <f>IF($F$5=0,Valores!$C$101,(Valores!$C$101+$F$5*(Valores!$C$101)))</f>
        <v>-550</v>
      </c>
      <c r="AS248" s="125">
        <f t="shared" si="35"/>
        <v>81579.15050000002</v>
      </c>
      <c r="AT248" s="125">
        <f t="shared" si="29"/>
        <v>-10763.599000000002</v>
      </c>
      <c r="AU248" s="125">
        <f>AH248*Valores!$C$74</f>
        <v>-2641.9743000000008</v>
      </c>
      <c r="AV248" s="125">
        <f>AH248*Valores!$C$75</f>
        <v>-293.5527000000001</v>
      </c>
      <c r="AW248" s="125">
        <f t="shared" si="33"/>
        <v>84151.77400000002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33424.2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6824.21</v>
      </c>
      <c r="N249" s="125">
        <f t="shared" si="30"/>
        <v>0</v>
      </c>
      <c r="O249" s="125">
        <f>Valores!$C$7*B249</f>
        <v>14348.28</v>
      </c>
      <c r="P249" s="125">
        <f>ROUND(IF(B249&lt;15,(Valores!$E$5*B249),Valores!$D$5),2)</f>
        <v>14418.96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7557.84</v>
      </c>
      <c r="S249" s="125">
        <f>Valores!$C$18*B249</f>
        <v>4512.72</v>
      </c>
      <c r="T249" s="125">
        <f t="shared" si="36"/>
        <v>4512.72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14652.72</v>
      </c>
      <c r="AA249" s="125">
        <f>IF((Valores!$C$28)*B249&gt;Valores!$F$28,Valores!$F$28,(Valores!$C$28)*B249)</f>
        <v>354.48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295.20000000000005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6742.32</v>
      </c>
      <c r="AH249" s="125">
        <f t="shared" si="34"/>
        <v>103130.93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0</v>
      </c>
      <c r="AL249" s="125">
        <f>IF($F$3="NO",0,IF(Valores!$C$62*B249&gt;Valores!$F$62,Valores!$F$62,Valores!$C$62*B249))</f>
        <v>0</v>
      </c>
      <c r="AM249" s="125">
        <f t="shared" si="32"/>
        <v>0</v>
      </c>
      <c r="AN249" s="125">
        <f>AH249*Valores!$C$71</f>
        <v>-11344.4023</v>
      </c>
      <c r="AO249" s="125">
        <f>AH249*-Valores!$C$72</f>
        <v>0</v>
      </c>
      <c r="AP249" s="125">
        <f>AH249*Valores!$C$73</f>
        <v>-4640.891849999999</v>
      </c>
      <c r="AQ249" s="125">
        <f>Valores!$C$100</f>
        <v>-554.86</v>
      </c>
      <c r="AR249" s="125">
        <f>IF($F$5=0,Valores!$C$101,(Valores!$C$101+$F$5*(Valores!$C$101)))</f>
        <v>-550</v>
      </c>
      <c r="AS249" s="125">
        <f t="shared" si="35"/>
        <v>86040.77584999999</v>
      </c>
      <c r="AT249" s="125">
        <f t="shared" si="29"/>
        <v>-11344.4023</v>
      </c>
      <c r="AU249" s="125">
        <f>AH249*Valores!$C$74</f>
        <v>-2784.53511</v>
      </c>
      <c r="AV249" s="125">
        <f>AH249*Valores!$C$75</f>
        <v>-309.39279</v>
      </c>
      <c r="AW249" s="125">
        <f t="shared" si="33"/>
        <v>88692.5998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33424.2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6824.21</v>
      </c>
      <c r="N250" s="125">
        <f t="shared" si="30"/>
        <v>0</v>
      </c>
      <c r="O250" s="125">
        <f>Valores!$C$7*B250</f>
        <v>14348.28</v>
      </c>
      <c r="P250" s="125">
        <f>ROUND(IF(B250&lt;15,(Valores!$E$5*B250),Valores!$D$5),2)</f>
        <v>14418.96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7557.84</v>
      </c>
      <c r="S250" s="125">
        <f>Valores!$C$18*B250</f>
        <v>4512.72</v>
      </c>
      <c r="T250" s="125">
        <f t="shared" si="36"/>
        <v>4512.72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14652.72</v>
      </c>
      <c r="AA250" s="125">
        <f>IF((Valores!$C$28)*B250&gt;Valores!$F$28,Valores!$F$28,(Valores!$C$28)*B250)</f>
        <v>354.48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295.20000000000005</v>
      </c>
      <c r="AE250" s="192">
        <v>94</v>
      </c>
      <c r="AF250" s="125">
        <f>ROUND(AE250*Valores!$C$2,2)</f>
        <v>3314.21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6742.32</v>
      </c>
      <c r="AH250" s="125">
        <f t="shared" si="34"/>
        <v>106445.13999999998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0</v>
      </c>
      <c r="AL250" s="125">
        <f>IF($F$3="NO",0,IF(Valores!$C$62*B250&gt;Valores!$F$62,Valores!$F$62,Valores!$C$62*B250))</f>
        <v>0</v>
      </c>
      <c r="AM250" s="125">
        <f t="shared" si="32"/>
        <v>0</v>
      </c>
      <c r="AN250" s="125">
        <f>AH250*Valores!$C$71</f>
        <v>-11708.9654</v>
      </c>
      <c r="AO250" s="125">
        <f>AH250*-Valores!$C$72</f>
        <v>0</v>
      </c>
      <c r="AP250" s="125">
        <f>AH250*Valores!$C$73</f>
        <v>-4790.031299999999</v>
      </c>
      <c r="AQ250" s="125">
        <f>Valores!$C$100</f>
        <v>-554.86</v>
      </c>
      <c r="AR250" s="125">
        <f>IF($F$5=0,Valores!$C$101,(Valores!$C$101+$F$5*(Valores!$C$101)))</f>
        <v>-550</v>
      </c>
      <c r="AS250" s="125">
        <f t="shared" si="35"/>
        <v>88841.28329999998</v>
      </c>
      <c r="AT250" s="125">
        <f t="shared" si="29"/>
        <v>-11708.9654</v>
      </c>
      <c r="AU250" s="125">
        <f>AH250*Valores!$C$74</f>
        <v>-2874.0187799999994</v>
      </c>
      <c r="AV250" s="125">
        <f>AH250*Valores!$C$75</f>
        <v>-319.33541999999994</v>
      </c>
      <c r="AW250" s="125">
        <f t="shared" si="33"/>
        <v>91542.82039999998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36209.56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7392.9</v>
      </c>
      <c r="N251" s="125">
        <f t="shared" si="30"/>
        <v>0</v>
      </c>
      <c r="O251" s="125">
        <f>Valores!$C$7*B251</f>
        <v>15543.970000000001</v>
      </c>
      <c r="P251" s="125">
        <f>ROUND(IF(B251&lt;15,(Valores!$E$5*B251),Valores!$D$5),2)</f>
        <v>15620.54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8187.660000000001</v>
      </c>
      <c r="S251" s="125">
        <f>Valores!$C$18*B251</f>
        <v>4888.78</v>
      </c>
      <c r="T251" s="125">
        <f t="shared" si="36"/>
        <v>4888.78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15873.779999999999</v>
      </c>
      <c r="AA251" s="125">
        <f>IF((Valores!$C$28)*B251&gt;Valores!$F$28,Valores!$F$28,(Valores!$C$28)*B251)</f>
        <v>384.02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319.8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7304.18</v>
      </c>
      <c r="AH251" s="125">
        <f t="shared" si="34"/>
        <v>111725.19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0</v>
      </c>
      <c r="AL251" s="125">
        <f>IF($F$3="NO",0,IF(Valores!$C$62*B251&gt;Valores!$F$62,Valores!$F$62,Valores!$C$62*B251))</f>
        <v>0</v>
      </c>
      <c r="AM251" s="125">
        <f t="shared" si="32"/>
        <v>0</v>
      </c>
      <c r="AN251" s="125">
        <f>AH251*Valores!$C$71</f>
        <v>-12289.7709</v>
      </c>
      <c r="AO251" s="125">
        <f>AH251*-Valores!$C$72</f>
        <v>0</v>
      </c>
      <c r="AP251" s="125">
        <f>AH251*Valores!$C$73</f>
        <v>-5027.63355</v>
      </c>
      <c r="AQ251" s="125">
        <f>Valores!$C$100</f>
        <v>-554.86</v>
      </c>
      <c r="AR251" s="125">
        <f>IF($F$5=0,Valores!$C$101,(Valores!$C$101+$F$5*(Valores!$C$101)))</f>
        <v>-550</v>
      </c>
      <c r="AS251" s="125">
        <f t="shared" si="35"/>
        <v>93302.92555</v>
      </c>
      <c r="AT251" s="125">
        <f t="shared" si="29"/>
        <v>-12289.7709</v>
      </c>
      <c r="AU251" s="125">
        <f>AH251*Valores!$C$74</f>
        <v>-3016.58013</v>
      </c>
      <c r="AV251" s="125">
        <f>AH251*Valores!$C$75</f>
        <v>-335.17557</v>
      </c>
      <c r="AW251" s="125">
        <f t="shared" si="33"/>
        <v>96083.6634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36209.56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7392.9</v>
      </c>
      <c r="N252" s="125">
        <f t="shared" si="30"/>
        <v>0</v>
      </c>
      <c r="O252" s="125">
        <f>Valores!$C$7*B252</f>
        <v>15543.970000000001</v>
      </c>
      <c r="P252" s="125">
        <f>ROUND(IF(B252&lt;15,(Valores!$E$5*B252),Valores!$D$5),2)</f>
        <v>15620.54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8187.660000000001</v>
      </c>
      <c r="S252" s="125">
        <f>Valores!$C$18*B252</f>
        <v>4888.78</v>
      </c>
      <c r="T252" s="125">
        <f t="shared" si="36"/>
        <v>4888.78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15873.779999999999</v>
      </c>
      <c r="AA252" s="125">
        <f>IF((Valores!$C$28)*B252&gt;Valores!$F$28,Valores!$F$28,(Valores!$C$28)*B252)</f>
        <v>384.02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319.8</v>
      </c>
      <c r="AE252" s="192">
        <v>94</v>
      </c>
      <c r="AF252" s="125">
        <f>ROUND(AE252*Valores!$C$2,2)</f>
        <v>3314.21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7304.18</v>
      </c>
      <c r="AH252" s="125">
        <f t="shared" si="34"/>
        <v>115039.40000000002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0</v>
      </c>
      <c r="AL252" s="125">
        <f>IF($F$3="NO",0,IF(Valores!$C$62*B252&gt;Valores!$F$62,Valores!$F$62,Valores!$C$62*B252))</f>
        <v>0</v>
      </c>
      <c r="AM252" s="125">
        <f t="shared" si="32"/>
        <v>0</v>
      </c>
      <c r="AN252" s="125">
        <f>AH252*Valores!$C$71</f>
        <v>-12654.334000000003</v>
      </c>
      <c r="AO252" s="125">
        <f>AH252*-Valores!$C$72</f>
        <v>0</v>
      </c>
      <c r="AP252" s="125">
        <f>AH252*Valores!$C$73</f>
        <v>-5176.773000000001</v>
      </c>
      <c r="AQ252" s="125">
        <f>Valores!$C$100</f>
        <v>-554.86</v>
      </c>
      <c r="AR252" s="125">
        <f>IF($F$5=0,Valores!$C$101,(Valores!$C$101+$F$5*(Valores!$C$101)))</f>
        <v>-550</v>
      </c>
      <c r="AS252" s="125">
        <f t="shared" si="35"/>
        <v>96103.43300000002</v>
      </c>
      <c r="AT252" s="125">
        <f t="shared" si="29"/>
        <v>-12654.334000000003</v>
      </c>
      <c r="AU252" s="125">
        <f>AH252*Valores!$C$74</f>
        <v>-3106.063800000001</v>
      </c>
      <c r="AV252" s="125">
        <f>AH252*Valores!$C$75</f>
        <v>-345.11820000000006</v>
      </c>
      <c r="AW252" s="125">
        <f t="shared" si="33"/>
        <v>98933.88400000002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38994.91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7961.58</v>
      </c>
      <c r="N253" s="125">
        <f t="shared" si="30"/>
        <v>0</v>
      </c>
      <c r="O253" s="125">
        <f>Valores!$C$7*B253</f>
        <v>16739.66</v>
      </c>
      <c r="P253" s="125">
        <f>ROUND(IF(B253&lt;15,(Valores!$E$5*B253),Valores!$D$5),2)</f>
        <v>16822.12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8817.480000000001</v>
      </c>
      <c r="S253" s="125">
        <f>Valores!$C$18*B253</f>
        <v>5264.84</v>
      </c>
      <c r="T253" s="125">
        <f t="shared" si="36"/>
        <v>5264.84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17094.84</v>
      </c>
      <c r="AA253" s="125">
        <f>IF((Valores!$C$28)*B253&gt;Valores!$F$28,Valores!$F$28,(Valores!$C$28)*B253)</f>
        <v>413.56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344.40000000000003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7866.04</v>
      </c>
      <c r="AH253" s="125">
        <f t="shared" si="34"/>
        <v>120319.42999999998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0</v>
      </c>
      <c r="AL253" s="125">
        <f>IF($F$3="NO",0,IF(Valores!$C$62*B253&gt;Valores!$F$62,Valores!$F$62,Valores!$C$62*B253))</f>
        <v>0</v>
      </c>
      <c r="AM253" s="125">
        <f t="shared" si="32"/>
        <v>0</v>
      </c>
      <c r="AN253" s="125">
        <f>AH253*Valores!$C$71</f>
        <v>-13235.137299999999</v>
      </c>
      <c r="AO253" s="125">
        <f>AH253*-Valores!$C$72</f>
        <v>0</v>
      </c>
      <c r="AP253" s="125">
        <f>AH253*Valores!$C$73</f>
        <v>-5414.374349999999</v>
      </c>
      <c r="AQ253" s="125">
        <f>Valores!$C$100</f>
        <v>-554.86</v>
      </c>
      <c r="AR253" s="125">
        <f>IF($F$5=0,Valores!$C$101,(Valores!$C$101+$F$5*(Valores!$C$101)))</f>
        <v>-550</v>
      </c>
      <c r="AS253" s="125">
        <f t="shared" si="35"/>
        <v>100565.05834999998</v>
      </c>
      <c r="AT253" s="125">
        <f t="shared" si="29"/>
        <v>-13235.137299999999</v>
      </c>
      <c r="AU253" s="125">
        <f>AH253*Valores!$C$74</f>
        <v>-3248.6246099999994</v>
      </c>
      <c r="AV253" s="125">
        <f>AH253*Valores!$C$75</f>
        <v>-360.9582899999999</v>
      </c>
      <c r="AW253" s="125">
        <f t="shared" si="33"/>
        <v>103474.70979999998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38994.91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7961.58</v>
      </c>
      <c r="N254" s="125">
        <f t="shared" si="30"/>
        <v>0</v>
      </c>
      <c r="O254" s="125">
        <f>Valores!$C$7*B254</f>
        <v>16739.66</v>
      </c>
      <c r="P254" s="125">
        <f>ROUND(IF(B254&lt;15,(Valores!$E$5*B254),Valores!$D$5),2)</f>
        <v>16822.12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8817.480000000001</v>
      </c>
      <c r="S254" s="125">
        <f>Valores!$C$18*B254</f>
        <v>5264.84</v>
      </c>
      <c r="T254" s="125">
        <f t="shared" si="36"/>
        <v>5264.84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17094.84</v>
      </c>
      <c r="AA254" s="125">
        <f>IF((Valores!$C$28)*B254&gt;Valores!$F$28,Valores!$F$28,(Valores!$C$28)*B254)</f>
        <v>413.56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344.40000000000003</v>
      </c>
      <c r="AE254" s="192">
        <v>94</v>
      </c>
      <c r="AF254" s="125">
        <f>ROUND(AE254*Valores!$C$2,2)</f>
        <v>3314.21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7866.04</v>
      </c>
      <c r="AH254" s="125">
        <f t="shared" si="34"/>
        <v>123633.63999999998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0</v>
      </c>
      <c r="AL254" s="125">
        <f>IF($F$3="NO",0,IF(Valores!$C$62*B254&gt;Valores!$F$62,Valores!$F$62,Valores!$C$62*B254))</f>
        <v>0</v>
      </c>
      <c r="AM254" s="125">
        <f t="shared" si="32"/>
        <v>0</v>
      </c>
      <c r="AN254" s="125">
        <f>AH254*Valores!$C$71</f>
        <v>-13599.700399999998</v>
      </c>
      <c r="AO254" s="125">
        <f>AH254*-Valores!$C$72</f>
        <v>0</v>
      </c>
      <c r="AP254" s="125">
        <f>AH254*Valores!$C$73</f>
        <v>-5563.513799999999</v>
      </c>
      <c r="AQ254" s="125">
        <f>Valores!$C$100</f>
        <v>-554.86</v>
      </c>
      <c r="AR254" s="125">
        <f>IF($F$5=0,Valores!$C$101,(Valores!$C$101+$F$5*(Valores!$C$101)))</f>
        <v>-550</v>
      </c>
      <c r="AS254" s="125">
        <f t="shared" si="35"/>
        <v>103365.56579999998</v>
      </c>
      <c r="AT254" s="125">
        <f t="shared" si="29"/>
        <v>-13599.700399999998</v>
      </c>
      <c r="AU254" s="125">
        <f>AH254*Valores!$C$74</f>
        <v>-3338.1082799999995</v>
      </c>
      <c r="AV254" s="125">
        <f>AH254*Valores!$C$75</f>
        <v>-370.90092</v>
      </c>
      <c r="AW254" s="125">
        <f t="shared" si="33"/>
        <v>106324.93039999998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41780.26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8530.27</v>
      </c>
      <c r="N255" s="125">
        <f t="shared" si="30"/>
        <v>0</v>
      </c>
      <c r="O255" s="125">
        <f>Valores!$C$7*B255</f>
        <v>17935.350000000002</v>
      </c>
      <c r="P255" s="125">
        <f>ROUND(IF(B255&lt;15,(Valores!$E$5*B255),Valores!$D$5),2)</f>
        <v>18023.69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9447.300000000001</v>
      </c>
      <c r="S255" s="125">
        <f>Valores!$C$18*B255</f>
        <v>5640.9</v>
      </c>
      <c r="T255" s="125">
        <f t="shared" si="36"/>
        <v>5640.9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18315.899999999998</v>
      </c>
      <c r="AA255" s="125">
        <f>IF((Valores!$C$28)*B255&gt;Valores!$F$28,Valores!$F$28,(Valores!$C$28)*B255)</f>
        <v>443.09999999999997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369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8427.9</v>
      </c>
      <c r="AH255" s="125">
        <f t="shared" si="34"/>
        <v>128913.67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0</v>
      </c>
      <c r="AL255" s="125">
        <f>IF($F$3="NO",0,IF(Valores!$C$62*B255&gt;Valores!$F$62,Valores!$F$62,Valores!$C$62*B255))</f>
        <v>0</v>
      </c>
      <c r="AM255" s="125">
        <f t="shared" si="32"/>
        <v>0</v>
      </c>
      <c r="AN255" s="125">
        <f>AH255*Valores!$C$71</f>
        <v>-14180.5037</v>
      </c>
      <c r="AO255" s="125">
        <f>AH255*-Valores!$C$72</f>
        <v>0</v>
      </c>
      <c r="AP255" s="125">
        <f>AH255*Valores!$C$73</f>
        <v>-5801.11515</v>
      </c>
      <c r="AQ255" s="125">
        <f>Valores!$C$100</f>
        <v>-554.86</v>
      </c>
      <c r="AR255" s="125">
        <f>IF($F$5=0,Valores!$C$101,(Valores!$C$101+$F$5*(Valores!$C$101)))</f>
        <v>-550</v>
      </c>
      <c r="AS255" s="125">
        <f t="shared" si="35"/>
        <v>107827.19115</v>
      </c>
      <c r="AT255" s="125">
        <f t="shared" si="29"/>
        <v>-14180.5037</v>
      </c>
      <c r="AU255" s="125">
        <f>AH255*Valores!$C$74</f>
        <v>-3480.66909</v>
      </c>
      <c r="AV255" s="125">
        <f>AH255*Valores!$C$75</f>
        <v>-386.74101</v>
      </c>
      <c r="AW255" s="125">
        <f t="shared" si="33"/>
        <v>110865.7562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41780.26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8530.27</v>
      </c>
      <c r="N256" s="125">
        <f t="shared" si="30"/>
        <v>0</v>
      </c>
      <c r="O256" s="125">
        <f>Valores!$C$7*B256</f>
        <v>17935.350000000002</v>
      </c>
      <c r="P256" s="125">
        <f>ROUND(IF(B256&lt;15,(Valores!$E$5*B256),Valores!$D$5),2)</f>
        <v>18023.69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9447.300000000001</v>
      </c>
      <c r="S256" s="125">
        <f>Valores!$C$18*B256</f>
        <v>5640.9</v>
      </c>
      <c r="T256" s="125">
        <f t="shared" si="36"/>
        <v>5640.9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18315.899999999998</v>
      </c>
      <c r="AA256" s="125">
        <f>IF((Valores!$C$28)*B256&gt;Valores!$F$28,Valores!$F$28,(Valores!$C$28)*B256)</f>
        <v>443.09999999999997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369</v>
      </c>
      <c r="AE256" s="192">
        <v>94</v>
      </c>
      <c r="AF256" s="125">
        <f>ROUND(AE256*Valores!$C$2,2)</f>
        <v>3314.21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8427.9</v>
      </c>
      <c r="AH256" s="125">
        <f t="shared" si="34"/>
        <v>132227.88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0</v>
      </c>
      <c r="AL256" s="125">
        <f>IF($F$3="NO",0,IF(Valores!$C$62*B256&gt;Valores!$F$62,Valores!$F$62,Valores!$C$62*B256))</f>
        <v>0</v>
      </c>
      <c r="AM256" s="125">
        <f t="shared" si="32"/>
        <v>0</v>
      </c>
      <c r="AN256" s="125">
        <f>AH256*Valores!$C$71</f>
        <v>-14545.0668</v>
      </c>
      <c r="AO256" s="125">
        <f>AH256*-Valores!$C$72</f>
        <v>0</v>
      </c>
      <c r="AP256" s="125">
        <f>AH256*Valores!$C$73</f>
        <v>-5950.2546</v>
      </c>
      <c r="AQ256" s="125">
        <f>Valores!$C$100</f>
        <v>-554.86</v>
      </c>
      <c r="AR256" s="125">
        <f>IF($F$5=0,Valores!$C$101,(Valores!$C$101+$F$5*(Valores!$C$101)))</f>
        <v>-550</v>
      </c>
      <c r="AS256" s="125">
        <f t="shared" si="35"/>
        <v>110627.6986</v>
      </c>
      <c r="AT256" s="125">
        <f t="shared" si="29"/>
        <v>-14545.0668</v>
      </c>
      <c r="AU256" s="125">
        <f>AH256*Valores!$C$74</f>
        <v>-3570.15276</v>
      </c>
      <c r="AV256" s="125">
        <f>AH256*Valores!$C$75</f>
        <v>-396.68364</v>
      </c>
      <c r="AW256" s="125">
        <f t="shared" si="33"/>
        <v>113715.9768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44565.61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9098.95</v>
      </c>
      <c r="N257" s="125">
        <f t="shared" si="30"/>
        <v>0</v>
      </c>
      <c r="O257" s="125">
        <f>Valores!$C$7*B257</f>
        <v>19131.04</v>
      </c>
      <c r="P257" s="125">
        <f>ROUND(IF(B257&lt;15,(Valores!$E$5*B257),Valores!$D$5),2)</f>
        <v>18023.69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10077.12</v>
      </c>
      <c r="S257" s="125">
        <f>Valores!$C$18*B257</f>
        <v>6016.96</v>
      </c>
      <c r="T257" s="125">
        <f t="shared" si="36"/>
        <v>6016.96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19536.96</v>
      </c>
      <c r="AA257" s="125">
        <f>IF((Valores!$C$28)*B257&gt;Valores!$F$28,Valores!$F$28,(Valores!$C$28)*B257)</f>
        <v>472.64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393.6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8989.76</v>
      </c>
      <c r="AH257" s="125">
        <f t="shared" si="34"/>
        <v>136306.33000000002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0</v>
      </c>
      <c r="AL257" s="125">
        <f>IF($F$3="NO",0,IF(Valores!$C$62*B257&gt;Valores!$F$62,Valores!$F$62,Valores!$C$62*B257))</f>
        <v>0</v>
      </c>
      <c r="AM257" s="125">
        <f t="shared" si="32"/>
        <v>0</v>
      </c>
      <c r="AN257" s="125">
        <f>AH257*Valores!$C$71</f>
        <v>-14993.696300000001</v>
      </c>
      <c r="AO257" s="125">
        <f>AH257*-Valores!$C$72</f>
        <v>0</v>
      </c>
      <c r="AP257" s="125">
        <f>AH257*Valores!$C$73</f>
        <v>-6133.784850000001</v>
      </c>
      <c r="AQ257" s="125">
        <f>Valores!$C$100</f>
        <v>-554.86</v>
      </c>
      <c r="AR257" s="125">
        <f>IF($F$5=0,Valores!$C$101,(Valores!$C$101+$F$5*(Valores!$C$101)))</f>
        <v>-550</v>
      </c>
      <c r="AS257" s="125">
        <f t="shared" si="35"/>
        <v>114073.98885000001</v>
      </c>
      <c r="AT257" s="125">
        <f t="shared" si="29"/>
        <v>-14993.696300000001</v>
      </c>
      <c r="AU257" s="125">
        <f>AH257*Valores!$C$74</f>
        <v>-3680.27091</v>
      </c>
      <c r="AV257" s="125">
        <f>AH257*Valores!$C$75</f>
        <v>-408.91899000000006</v>
      </c>
      <c r="AW257" s="125">
        <f t="shared" si="33"/>
        <v>117223.44380000001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44565.61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9098.95</v>
      </c>
      <c r="N258" s="125">
        <f t="shared" si="30"/>
        <v>0</v>
      </c>
      <c r="O258" s="125">
        <f>Valores!$C$7*B258</f>
        <v>19131.04</v>
      </c>
      <c r="P258" s="125">
        <f>ROUND(IF(B258&lt;15,(Valores!$E$5*B258),Valores!$D$5),2)</f>
        <v>18023.69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10077.12</v>
      </c>
      <c r="S258" s="125">
        <f>Valores!$C$18*B258</f>
        <v>6016.96</v>
      </c>
      <c r="T258" s="125">
        <f t="shared" si="36"/>
        <v>6016.96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19536.96</v>
      </c>
      <c r="AA258" s="125">
        <f>IF((Valores!$C$28)*B258&gt;Valores!$F$28,Valores!$F$28,(Valores!$C$28)*B258)</f>
        <v>472.64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393.6</v>
      </c>
      <c r="AE258" s="192">
        <v>94</v>
      </c>
      <c r="AF258" s="125">
        <f>ROUND(AE258*Valores!$C$2,2)</f>
        <v>3314.21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8989.76</v>
      </c>
      <c r="AH258" s="125">
        <f t="shared" si="34"/>
        <v>139620.54000000004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0</v>
      </c>
      <c r="AL258" s="125">
        <f>IF($F$3="NO",0,IF(Valores!$C$62*B258&gt;Valores!$F$62,Valores!$F$62,Valores!$C$62*B258))</f>
        <v>0</v>
      </c>
      <c r="AM258" s="125">
        <f t="shared" si="32"/>
        <v>0</v>
      </c>
      <c r="AN258" s="125">
        <f>AH258*Valores!$C$71</f>
        <v>-15358.259400000004</v>
      </c>
      <c r="AO258" s="125">
        <f>AH258*-Valores!$C$72</f>
        <v>0</v>
      </c>
      <c r="AP258" s="125">
        <f>AH258*Valores!$C$73</f>
        <v>-6282.9243000000015</v>
      </c>
      <c r="AQ258" s="125">
        <f>Valores!$C$100</f>
        <v>-554.86</v>
      </c>
      <c r="AR258" s="125">
        <f>IF($F$5=0,Valores!$C$101,(Valores!$C$101+$F$5*(Valores!$C$101)))</f>
        <v>-550</v>
      </c>
      <c r="AS258" s="125">
        <f t="shared" si="35"/>
        <v>116874.49630000003</v>
      </c>
      <c r="AT258" s="125">
        <f t="shared" si="29"/>
        <v>-15358.259400000004</v>
      </c>
      <c r="AU258" s="125">
        <f>AH258*Valores!$C$74</f>
        <v>-3769.754580000001</v>
      </c>
      <c r="AV258" s="125">
        <f>AH258*Valores!$C$75</f>
        <v>-418.86162000000013</v>
      </c>
      <c r="AW258" s="125">
        <f t="shared" si="33"/>
        <v>120073.66440000004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47350.96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9667.64</v>
      </c>
      <c r="N259" s="125">
        <f t="shared" si="30"/>
        <v>0</v>
      </c>
      <c r="O259" s="125">
        <f>Valores!$C$7*B259</f>
        <v>20326.73</v>
      </c>
      <c r="P259" s="125">
        <f>ROUND(IF(B259&lt;15,(Valores!$E$5*B259),Valores!$D$5),2)</f>
        <v>18023.69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10706.94</v>
      </c>
      <c r="S259" s="125">
        <f>Valores!$C$18*B259</f>
        <v>6393.02</v>
      </c>
      <c r="T259" s="125">
        <f t="shared" si="36"/>
        <v>6393.02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20758.02</v>
      </c>
      <c r="AA259" s="125">
        <f>IF((Valores!$C$28)*B259&gt;Valores!$F$28,Valores!$F$28,(Valores!$C$28)*B259)</f>
        <v>502.18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418.20000000000005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9551.62</v>
      </c>
      <c r="AH259" s="125">
        <f t="shared" si="34"/>
        <v>143699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0</v>
      </c>
      <c r="AL259" s="125">
        <f>IF($F$3="NO",0,IF(Valores!$C$62*B259&gt;Valores!$F$62,Valores!$F$62,Valores!$C$62*B259))</f>
        <v>0</v>
      </c>
      <c r="AM259" s="125">
        <f t="shared" si="32"/>
        <v>0</v>
      </c>
      <c r="AN259" s="125">
        <f>AH259*Valores!$C$71</f>
        <v>-15806.89</v>
      </c>
      <c r="AO259" s="125">
        <f>AH259*-Valores!$C$72</f>
        <v>0</v>
      </c>
      <c r="AP259" s="125">
        <f>AH259*Valores!$C$73</f>
        <v>-6466.455</v>
      </c>
      <c r="AQ259" s="125">
        <f>Valores!$C$100</f>
        <v>-554.86</v>
      </c>
      <c r="AR259" s="125">
        <f>IF($F$5=0,Valores!$C$101,(Valores!$C$101+$F$5*(Valores!$C$101)))</f>
        <v>-550</v>
      </c>
      <c r="AS259" s="125">
        <f t="shared" si="35"/>
        <v>120320.795</v>
      </c>
      <c r="AT259" s="125">
        <f t="shared" si="29"/>
        <v>-15806.89</v>
      </c>
      <c r="AU259" s="125">
        <f>AH259*Valores!$C$74</f>
        <v>-3879.873</v>
      </c>
      <c r="AV259" s="125">
        <f>AH259*Valores!$C$75</f>
        <v>-431.09700000000004</v>
      </c>
      <c r="AW259" s="125">
        <f t="shared" si="33"/>
        <v>123581.14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47350.96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9667.64</v>
      </c>
      <c r="N260" s="125">
        <f t="shared" si="30"/>
        <v>0</v>
      </c>
      <c r="O260" s="125">
        <f>Valores!$C$7*B260</f>
        <v>20326.73</v>
      </c>
      <c r="P260" s="125">
        <f>ROUND(IF(B260&lt;15,(Valores!$E$5*B260),Valores!$D$5),2)</f>
        <v>18023.69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10706.94</v>
      </c>
      <c r="S260" s="125">
        <f>Valores!$C$18*B260</f>
        <v>6393.02</v>
      </c>
      <c r="T260" s="125">
        <f t="shared" si="36"/>
        <v>6393.02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20758.02</v>
      </c>
      <c r="AA260" s="125">
        <f>IF((Valores!$C$28)*B260&gt;Valores!$F$28,Valores!$F$28,(Valores!$C$28)*B260)</f>
        <v>502.18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418.20000000000005</v>
      </c>
      <c r="AE260" s="192">
        <v>94</v>
      </c>
      <c r="AF260" s="125">
        <f>ROUND(AE260*Valores!$C$2,2)</f>
        <v>3314.21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9551.62</v>
      </c>
      <c r="AH260" s="125">
        <f t="shared" si="34"/>
        <v>147013.21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0</v>
      </c>
      <c r="AL260" s="125">
        <f>IF($F$3="NO",0,IF(Valores!$C$62*B260&gt;Valores!$F$62,Valores!$F$62,Valores!$C$62*B260))</f>
        <v>0</v>
      </c>
      <c r="AM260" s="125">
        <f t="shared" si="32"/>
        <v>0</v>
      </c>
      <c r="AN260" s="125">
        <f>AH260*Valores!$C$71</f>
        <v>-16171.453099999999</v>
      </c>
      <c r="AO260" s="125">
        <f>AH260*-Valores!$C$72</f>
        <v>0</v>
      </c>
      <c r="AP260" s="125">
        <f>AH260*Valores!$C$73</f>
        <v>-6615.59445</v>
      </c>
      <c r="AQ260" s="125">
        <f>Valores!$C$100</f>
        <v>-554.86</v>
      </c>
      <c r="AR260" s="125">
        <f>IF($F$5=0,Valores!$C$101,(Valores!$C$101+$F$5*(Valores!$C$101)))</f>
        <v>-550</v>
      </c>
      <c r="AS260" s="125">
        <f t="shared" si="35"/>
        <v>123121.30244999999</v>
      </c>
      <c r="AT260" s="125">
        <f t="shared" si="29"/>
        <v>-16171.453099999999</v>
      </c>
      <c r="AU260" s="125">
        <f>AH260*Valores!$C$74</f>
        <v>-3969.3566699999997</v>
      </c>
      <c r="AV260" s="125">
        <f>AH260*Valores!$C$75</f>
        <v>-441.03963</v>
      </c>
      <c r="AW260" s="125">
        <f t="shared" si="33"/>
        <v>126431.36059999999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50136.31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10236.32</v>
      </c>
      <c r="N261" s="125">
        <f t="shared" si="30"/>
        <v>0</v>
      </c>
      <c r="O261" s="125">
        <f>Valores!$C$7*B261</f>
        <v>21522.420000000002</v>
      </c>
      <c r="P261" s="125">
        <f>ROUND(IF(B261&lt;15,(Valores!$E$5*B261),Valores!$D$5),2)</f>
        <v>18023.69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11336.76</v>
      </c>
      <c r="S261" s="125">
        <f>Valores!$C$18*B261</f>
        <v>6769.08</v>
      </c>
      <c r="T261" s="125">
        <f t="shared" si="36"/>
        <v>6769.08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21979.079999999998</v>
      </c>
      <c r="AA261" s="125">
        <f>IF((Valores!$C$28)*B261&gt;Valores!$F$28,Valores!$F$28,(Valores!$C$28)*B261)</f>
        <v>531.72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442.8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10113.48</v>
      </c>
      <c r="AH261" s="125">
        <f t="shared" si="34"/>
        <v>151091.66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0</v>
      </c>
      <c r="AL261" s="125">
        <f>IF($F$3="NO",0,IF(Valores!$C$62*B261&gt;Valores!$F$62,Valores!$F$62,Valores!$C$62*B261))</f>
        <v>0</v>
      </c>
      <c r="AM261" s="125">
        <f t="shared" si="32"/>
        <v>0</v>
      </c>
      <c r="AN261" s="125">
        <f>AH261*Valores!$C$71</f>
        <v>-16620.0826</v>
      </c>
      <c r="AO261" s="125">
        <f>AH261*-Valores!$C$72</f>
        <v>0</v>
      </c>
      <c r="AP261" s="125">
        <f>AH261*Valores!$C$73</f>
        <v>-6799.1247</v>
      </c>
      <c r="AQ261" s="125">
        <f>Valores!$C$100</f>
        <v>-554.86</v>
      </c>
      <c r="AR261" s="125">
        <f>IF($F$5=0,Valores!$C$101,(Valores!$C$101+$F$5*(Valores!$C$101)))</f>
        <v>-550</v>
      </c>
      <c r="AS261" s="125">
        <f t="shared" si="35"/>
        <v>126567.59270000001</v>
      </c>
      <c r="AT261" s="125">
        <f aca="true" t="shared" si="41" ref="AT261:AT325">AN261</f>
        <v>-16620.0826</v>
      </c>
      <c r="AU261" s="125">
        <f>AH261*Valores!$C$74</f>
        <v>-4079.47482</v>
      </c>
      <c r="AV261" s="125">
        <f>AH261*Valores!$C$75</f>
        <v>-453.27498</v>
      </c>
      <c r="AW261" s="125">
        <f t="shared" si="33"/>
        <v>129938.8276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50136.31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10236.32</v>
      </c>
      <c r="N262" s="125">
        <f t="shared" si="30"/>
        <v>0</v>
      </c>
      <c r="O262" s="125">
        <f>Valores!$C$7*B262</f>
        <v>21522.420000000002</v>
      </c>
      <c r="P262" s="125">
        <f>ROUND(IF(B262&lt;15,(Valores!$E$5*B262),Valores!$D$5),2)</f>
        <v>18023.69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11336.76</v>
      </c>
      <c r="S262" s="125">
        <f>Valores!$C$18*B262</f>
        <v>6769.08</v>
      </c>
      <c r="T262" s="125">
        <f t="shared" si="36"/>
        <v>6769.08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21979.079999999998</v>
      </c>
      <c r="AA262" s="125">
        <f>IF((Valores!$C$28)*B262&gt;Valores!$F$28,Valores!$F$28,(Valores!$C$28)*B262)</f>
        <v>531.72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442.8</v>
      </c>
      <c r="AE262" s="192">
        <v>94</v>
      </c>
      <c r="AF262" s="125">
        <f>ROUND(AE262*Valores!$C$2,2)</f>
        <v>3314.21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10113.48</v>
      </c>
      <c r="AH262" s="125">
        <f t="shared" si="34"/>
        <v>154405.87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0</v>
      </c>
      <c r="AL262" s="125">
        <f>IF($F$3="NO",0,IF(Valores!$C$62*B262&gt;Valores!$F$62,Valores!$F$62,Valores!$C$62*B262))</f>
        <v>0</v>
      </c>
      <c r="AM262" s="125">
        <f t="shared" si="32"/>
        <v>0</v>
      </c>
      <c r="AN262" s="125">
        <f>AH262*Valores!$C$71</f>
        <v>-16984.6457</v>
      </c>
      <c r="AO262" s="125">
        <f>AH262*-Valores!$C$72</f>
        <v>0</v>
      </c>
      <c r="AP262" s="125">
        <f>AH262*Valores!$C$73</f>
        <v>-6948.26415</v>
      </c>
      <c r="AQ262" s="125">
        <f>Valores!$C$100</f>
        <v>-554.86</v>
      </c>
      <c r="AR262" s="125">
        <f>IF($F$5=0,Valores!$C$101,(Valores!$C$101+$F$5*(Valores!$C$101)))</f>
        <v>-550</v>
      </c>
      <c r="AS262" s="125">
        <f t="shared" si="35"/>
        <v>129368.10015</v>
      </c>
      <c r="AT262" s="125">
        <f t="shared" si="41"/>
        <v>-16984.6457</v>
      </c>
      <c r="AU262" s="125">
        <f>AH262*Valores!$C$74</f>
        <v>-4168.95849</v>
      </c>
      <c r="AV262" s="125">
        <f>AH262*Valores!$C$75</f>
        <v>-463.21761</v>
      </c>
      <c r="AW262" s="125">
        <f t="shared" si="33"/>
        <v>132789.0482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52921.66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10805.01</v>
      </c>
      <c r="N263" s="125">
        <f t="shared" si="30"/>
        <v>0</v>
      </c>
      <c r="O263" s="125">
        <f>Valores!$C$7*B263</f>
        <v>22718.11</v>
      </c>
      <c r="P263" s="125">
        <f>ROUND(IF(B263&lt;15,(Valores!$E$5*B263),Valores!$D$5),2)</f>
        <v>18023.69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11966.580000000002</v>
      </c>
      <c r="S263" s="125">
        <f>Valores!$C$18*B263</f>
        <v>7145.14</v>
      </c>
      <c r="T263" s="125">
        <f t="shared" si="36"/>
        <v>7145.14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23200.14</v>
      </c>
      <c r="AA263" s="125">
        <f>IF((Valores!$C$28)*B263&gt;Valores!$F$28,Valores!$F$28,(Valores!$C$28)*B263)</f>
        <v>561.26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467.40000000000003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10675.34</v>
      </c>
      <c r="AH263" s="125">
        <f t="shared" si="34"/>
        <v>158484.33000000002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0</v>
      </c>
      <c r="AL263" s="125">
        <f>IF($F$3="NO",0,IF(Valores!$C$62*B263&gt;Valores!$F$62,Valores!$F$62,Valores!$C$62*B263))</f>
        <v>0</v>
      </c>
      <c r="AM263" s="125">
        <f t="shared" si="32"/>
        <v>0</v>
      </c>
      <c r="AN263" s="125">
        <f>AH263*Valores!$C$71</f>
        <v>-17433.2763</v>
      </c>
      <c r="AO263" s="125">
        <f>AH263*-Valores!$C$72</f>
        <v>0</v>
      </c>
      <c r="AP263" s="125">
        <f>AH263*Valores!$C$73</f>
        <v>-7131.79485</v>
      </c>
      <c r="AQ263" s="125">
        <f>Valores!$C$100</f>
        <v>-554.86</v>
      </c>
      <c r="AR263" s="125">
        <f>IF($F$5=0,Valores!$C$101,(Valores!$C$101+$F$5*(Valores!$C$101)))</f>
        <v>-550</v>
      </c>
      <c r="AS263" s="125">
        <f t="shared" si="35"/>
        <v>132814.39885</v>
      </c>
      <c r="AT263" s="125">
        <f t="shared" si="41"/>
        <v>-17433.2763</v>
      </c>
      <c r="AU263" s="125">
        <f>AH263*Valores!$C$74</f>
        <v>-4279.076910000001</v>
      </c>
      <c r="AV263" s="125">
        <f>AH263*Valores!$C$75</f>
        <v>-475.45299000000006</v>
      </c>
      <c r="AW263" s="125">
        <f t="shared" si="33"/>
        <v>136296.52380000002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52921.66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10805.01</v>
      </c>
      <c r="N264" s="125">
        <f aca="true" t="shared" si="42" ref="N264:N326">ROUND(SUM(F264,H264,J264,L264,X264,R264)*$H$2,2)</f>
        <v>0</v>
      </c>
      <c r="O264" s="125">
        <f>Valores!$C$7*B264</f>
        <v>22718.11</v>
      </c>
      <c r="P264" s="125">
        <f>ROUND(IF(B264&lt;15,(Valores!$E$5*B264),Valores!$D$5),2)</f>
        <v>18023.69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11966.580000000002</v>
      </c>
      <c r="S264" s="125">
        <f>Valores!$C$18*B264</f>
        <v>7145.14</v>
      </c>
      <c r="T264" s="125">
        <f t="shared" si="36"/>
        <v>7145.14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23200.14</v>
      </c>
      <c r="AA264" s="125">
        <f>IF((Valores!$C$28)*B264&gt;Valores!$F$28,Valores!$F$28,(Valores!$C$28)*B264)</f>
        <v>561.26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467.40000000000003</v>
      </c>
      <c r="AE264" s="192">
        <v>94</v>
      </c>
      <c r="AF264" s="125">
        <f>ROUND(AE264*Valores!$C$2,2)</f>
        <v>3314.21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10675.34</v>
      </c>
      <c r="AH264" s="125">
        <f t="shared" si="34"/>
        <v>161798.54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0</v>
      </c>
      <c r="AL264" s="125">
        <f>IF($F$3="NO",0,IF(Valores!$C$62*B264&gt;Valores!$F$62,Valores!$F$62,Valores!$C$62*B264))</f>
        <v>0</v>
      </c>
      <c r="AM264" s="125">
        <f aca="true" t="shared" si="44" ref="AM264:AM326">SUM(AI264:AL264)</f>
        <v>0</v>
      </c>
      <c r="AN264" s="125">
        <f>AH264*Valores!$C$71</f>
        <v>-17797.8394</v>
      </c>
      <c r="AO264" s="125">
        <f>AH264*-Valores!$C$72</f>
        <v>0</v>
      </c>
      <c r="AP264" s="125">
        <f>AH264*Valores!$C$73</f>
        <v>-7280.9343</v>
      </c>
      <c r="AQ264" s="125">
        <f>Valores!$C$100</f>
        <v>-554.86</v>
      </c>
      <c r="AR264" s="125">
        <f>IF($F$5=0,Valores!$C$101,(Valores!$C$101+$F$5*(Valores!$C$101)))</f>
        <v>-550</v>
      </c>
      <c r="AS264" s="125">
        <f t="shared" si="35"/>
        <v>135614.9063</v>
      </c>
      <c r="AT264" s="125">
        <f t="shared" si="41"/>
        <v>-17797.8394</v>
      </c>
      <c r="AU264" s="125">
        <f>AH264*Valores!$C$74</f>
        <v>-4368.56058</v>
      </c>
      <c r="AV264" s="125">
        <f>AH264*Valores!$C$75</f>
        <v>-485.39562</v>
      </c>
      <c r="AW264" s="125">
        <f aca="true" t="shared" si="45" ref="AW264:AW326">AH264+AM264+SUM(AT264:AV264)</f>
        <v>139146.7444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55707.01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11373.69</v>
      </c>
      <c r="N265" s="125">
        <f t="shared" si="42"/>
        <v>0</v>
      </c>
      <c r="O265" s="125">
        <f>Valores!$C$7*B265</f>
        <v>23913.800000000003</v>
      </c>
      <c r="P265" s="125">
        <f>ROUND(IF(B265&lt;15,(Valores!$E$5*B265),Valores!$D$5),2)</f>
        <v>18023.69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12596.400000000001</v>
      </c>
      <c r="S265" s="125">
        <f>Valores!$C$18*B265</f>
        <v>7521.2</v>
      </c>
      <c r="T265" s="125">
        <f t="shared" si="36"/>
        <v>7521.2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24421.199999999997</v>
      </c>
      <c r="AA265" s="125">
        <f>IF((Valores!$C$28)*B265&gt;Valores!$F$28,Valores!$F$28,(Valores!$C$28)*B265)</f>
        <v>590.8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492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11237.2</v>
      </c>
      <c r="AH265" s="125">
        <f aca="true" t="shared" si="46" ref="AH265:AH326">SUM(F265,H265,J265,L265,M265,N265,O265,P265,Q265,R265,T265,U265,V265,X265,Y265,Z265,AA265,AC265,AD265,AF265,AG265)</f>
        <v>165876.99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0</v>
      </c>
      <c r="AL265" s="125">
        <f>IF($F$3="NO",0,IF(Valores!$C$62*B265&gt;Valores!$F$62,Valores!$F$62,Valores!$C$62*B265))</f>
        <v>0</v>
      </c>
      <c r="AM265" s="125">
        <f t="shared" si="44"/>
        <v>0</v>
      </c>
      <c r="AN265" s="125">
        <f>AH265*Valores!$C$71</f>
        <v>-18246.4689</v>
      </c>
      <c r="AO265" s="125">
        <f>AH265*-Valores!$C$72</f>
        <v>0</v>
      </c>
      <c r="AP265" s="125">
        <f>AH265*Valores!$C$73</f>
        <v>-7464.46455</v>
      </c>
      <c r="AQ265" s="125">
        <f>Valores!$C$100</f>
        <v>-554.86</v>
      </c>
      <c r="AR265" s="125">
        <f>IF($F$5=0,Valores!$C$101,(Valores!$C$101+$F$5*(Valores!$C$101)))</f>
        <v>-550</v>
      </c>
      <c r="AS265" s="125">
        <f aca="true" t="shared" si="47" ref="AS265:AS326">AH265+SUM(AM265:AR265)</f>
        <v>139061.19655</v>
      </c>
      <c r="AT265" s="125">
        <f t="shared" si="41"/>
        <v>-18246.4689</v>
      </c>
      <c r="AU265" s="125">
        <f>AH265*Valores!$C$74</f>
        <v>-4478.67873</v>
      </c>
      <c r="AV265" s="125">
        <f>AH265*Valores!$C$75</f>
        <v>-497.63097</v>
      </c>
      <c r="AW265" s="125">
        <f t="shared" si="45"/>
        <v>142654.2114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55707.01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11373.69</v>
      </c>
      <c r="N266" s="125">
        <f t="shared" si="42"/>
        <v>0</v>
      </c>
      <c r="O266" s="125">
        <f>Valores!$C$7*B266</f>
        <v>23913.800000000003</v>
      </c>
      <c r="P266" s="125">
        <f>ROUND(IF(B266&lt;15,(Valores!$E$5*B266),Valores!$D$5),2)</f>
        <v>18023.69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12596.400000000001</v>
      </c>
      <c r="S266" s="125">
        <f>Valores!$C$18*B266</f>
        <v>7521.2</v>
      </c>
      <c r="T266" s="125">
        <f t="shared" si="36"/>
        <v>7521.2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24421.199999999997</v>
      </c>
      <c r="AA266" s="125">
        <f>IF((Valores!$C$28)*B266&gt;Valores!$F$28,Valores!$F$28,(Valores!$C$28)*B266)</f>
        <v>590.8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492</v>
      </c>
      <c r="AE266" s="192">
        <v>94</v>
      </c>
      <c r="AF266" s="125">
        <f>ROUND(AE266*Valores!$C$2,2)</f>
        <v>3314.21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11237.2</v>
      </c>
      <c r="AH266" s="125">
        <f t="shared" si="46"/>
        <v>169191.19999999998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0</v>
      </c>
      <c r="AL266" s="125">
        <f>IF($F$3="NO",0,IF(Valores!$C$62*B266&gt;Valores!$F$62,Valores!$F$62,Valores!$C$62*B266))</f>
        <v>0</v>
      </c>
      <c r="AM266" s="125">
        <f t="shared" si="44"/>
        <v>0</v>
      </c>
      <c r="AN266" s="125">
        <f>AH266*Valores!$C$71</f>
        <v>-18611.032</v>
      </c>
      <c r="AO266" s="125">
        <f>AH266*-Valores!$C$72</f>
        <v>0</v>
      </c>
      <c r="AP266" s="125">
        <f>AH266*Valores!$C$73</f>
        <v>-7613.603999999999</v>
      </c>
      <c r="AQ266" s="125">
        <f>Valores!$C$100</f>
        <v>-554.86</v>
      </c>
      <c r="AR266" s="125">
        <f>IF($F$5=0,Valores!$C$101,(Valores!$C$101+$F$5*(Valores!$C$101)))</f>
        <v>-550</v>
      </c>
      <c r="AS266" s="125">
        <f t="shared" si="47"/>
        <v>141861.70399999997</v>
      </c>
      <c r="AT266" s="125">
        <f t="shared" si="41"/>
        <v>-18611.032</v>
      </c>
      <c r="AU266" s="125">
        <f>AH266*Valores!$C$74</f>
        <v>-4568.162399999999</v>
      </c>
      <c r="AV266" s="125">
        <f>AH266*Valores!$C$75</f>
        <v>-507.57359999999994</v>
      </c>
      <c r="AW266" s="125">
        <f t="shared" si="45"/>
        <v>145504.43199999997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58492.36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11942.38</v>
      </c>
      <c r="N267" s="125">
        <f t="shared" si="42"/>
        <v>0</v>
      </c>
      <c r="O267" s="125">
        <f>Valores!$C$7*B267</f>
        <v>25109.49</v>
      </c>
      <c r="P267" s="125">
        <f>ROUND(IF(B267&lt;15,(Valores!$E$5*B267),Valores!$D$5),2)</f>
        <v>18023.69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13226.220000000001</v>
      </c>
      <c r="S267" s="125">
        <f>Valores!$C$18*B267</f>
        <v>7897.26</v>
      </c>
      <c r="T267" s="125">
        <f aca="true" t="shared" si="48" ref="T267:T299">ROUND(S267*(1+$H$2),2)</f>
        <v>7897.26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25642.26</v>
      </c>
      <c r="AA267" s="125">
        <f>IF((Valores!$C$28)*B267&gt;Valores!$F$28,Valores!$F$28,(Valores!$C$28)*B267)</f>
        <v>620.34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516.6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11799.06</v>
      </c>
      <c r="AH267" s="125">
        <f t="shared" si="46"/>
        <v>173269.66000000003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0</v>
      </c>
      <c r="AL267" s="125">
        <f>IF($F$3="NO",0,IF(Valores!$C$62*B267&gt;Valores!$F$62,Valores!$F$62,Valores!$C$62*B267))</f>
        <v>0</v>
      </c>
      <c r="AM267" s="125">
        <f t="shared" si="44"/>
        <v>0</v>
      </c>
      <c r="AN267" s="125">
        <f>AH267*Valores!$C$71</f>
        <v>-19059.662600000003</v>
      </c>
      <c r="AO267" s="125">
        <f>AH267*-Valores!$C$72</f>
        <v>0</v>
      </c>
      <c r="AP267" s="125">
        <f>AH267*Valores!$C$73</f>
        <v>-7797.134700000001</v>
      </c>
      <c r="AQ267" s="125">
        <f>Valores!$C$100</f>
        <v>-554.86</v>
      </c>
      <c r="AR267" s="125">
        <f>IF($F$5=0,Valores!$C$101,(Valores!$C$101+$F$5*(Valores!$C$101)))</f>
        <v>-550</v>
      </c>
      <c r="AS267" s="125">
        <f t="shared" si="47"/>
        <v>145308.0027</v>
      </c>
      <c r="AT267" s="125">
        <f t="shared" si="41"/>
        <v>-19059.662600000003</v>
      </c>
      <c r="AU267" s="125">
        <f>AH267*Valores!$C$74</f>
        <v>-4678.280820000001</v>
      </c>
      <c r="AV267" s="125">
        <f>AH267*Valores!$C$75</f>
        <v>-519.8089800000001</v>
      </c>
      <c r="AW267" s="125">
        <f t="shared" si="45"/>
        <v>149011.90760000004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58492.36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11942.38</v>
      </c>
      <c r="N268" s="125">
        <f t="shared" si="42"/>
        <v>0</v>
      </c>
      <c r="O268" s="125">
        <f>Valores!$C$7*B268</f>
        <v>25109.49</v>
      </c>
      <c r="P268" s="125">
        <f>ROUND(IF(B268&lt;15,(Valores!$E$5*B268),Valores!$D$5),2)</f>
        <v>18023.69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13226.220000000001</v>
      </c>
      <c r="S268" s="125">
        <f>Valores!$C$18*B268</f>
        <v>7897.26</v>
      </c>
      <c r="T268" s="125">
        <f t="shared" si="48"/>
        <v>7897.26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25642.26</v>
      </c>
      <c r="AA268" s="125">
        <f>IF((Valores!$C$28)*B268&gt;Valores!$F$28,Valores!$F$28,(Valores!$C$28)*B268)</f>
        <v>620.34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516.6</v>
      </c>
      <c r="AE268" s="192">
        <v>94</v>
      </c>
      <c r="AF268" s="125">
        <f>ROUND(AE268*Valores!$C$2,2)</f>
        <v>3314.21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11799.06</v>
      </c>
      <c r="AH268" s="125">
        <f t="shared" si="46"/>
        <v>176583.87000000002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0</v>
      </c>
      <c r="AL268" s="125">
        <f>IF($F$3="NO",0,IF(Valores!$C$62*B268&gt;Valores!$F$62,Valores!$F$62,Valores!$C$62*B268))</f>
        <v>0</v>
      </c>
      <c r="AM268" s="125">
        <f t="shared" si="44"/>
        <v>0</v>
      </c>
      <c r="AN268" s="125">
        <f>AH268*Valores!$C$71</f>
        <v>-19424.225700000003</v>
      </c>
      <c r="AO268" s="125">
        <f>AH268*-Valores!$C$72</f>
        <v>0</v>
      </c>
      <c r="AP268" s="125">
        <f>AH268*Valores!$C$73</f>
        <v>-7946.274150000001</v>
      </c>
      <c r="AQ268" s="125">
        <f>Valores!$C$100</f>
        <v>-554.86</v>
      </c>
      <c r="AR268" s="125">
        <f>IF($F$5=0,Valores!$C$101,(Valores!$C$101+$F$5*(Valores!$C$101)))</f>
        <v>-550</v>
      </c>
      <c r="AS268" s="125">
        <f t="shared" si="47"/>
        <v>148108.51015000002</v>
      </c>
      <c r="AT268" s="125">
        <f t="shared" si="41"/>
        <v>-19424.225700000003</v>
      </c>
      <c r="AU268" s="125">
        <f>AH268*Valores!$C$74</f>
        <v>-4767.7644900000005</v>
      </c>
      <c r="AV268" s="125">
        <f>AH268*Valores!$C$75</f>
        <v>-529.75161</v>
      </c>
      <c r="AW268" s="125">
        <f t="shared" si="45"/>
        <v>151862.12820000004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61277.71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12511.06</v>
      </c>
      <c r="N269" s="125">
        <f t="shared" si="42"/>
        <v>0</v>
      </c>
      <c r="O269" s="125">
        <f>Valores!$C$7*B269</f>
        <v>26305.18</v>
      </c>
      <c r="P269" s="125">
        <f>ROUND(IF(B269&lt;15,(Valores!$E$5*B269),Valores!$D$5),2)</f>
        <v>18023.69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13856.04</v>
      </c>
      <c r="S269" s="125">
        <f>Valores!$C$18*B269</f>
        <v>8273.32</v>
      </c>
      <c r="T269" s="125">
        <f t="shared" si="48"/>
        <v>8273.32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26863.32</v>
      </c>
      <c r="AA269" s="125">
        <f>IF((Valores!$C$28)*B269&gt;Valores!$F$28,Valores!$F$28,(Valores!$C$28)*B269)</f>
        <v>649.88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541.2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12360.92</v>
      </c>
      <c r="AH269" s="125">
        <f t="shared" si="46"/>
        <v>180662.32000000007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0</v>
      </c>
      <c r="AL269" s="125">
        <f>IF($F$3="NO",0,IF(Valores!$C$62*B269&gt;Valores!$F$62,Valores!$F$62,Valores!$C$62*B269))</f>
        <v>0</v>
      </c>
      <c r="AM269" s="125">
        <f t="shared" si="44"/>
        <v>0</v>
      </c>
      <c r="AN269" s="125">
        <f>AH269*Valores!$C$71</f>
        <v>-19872.85520000001</v>
      </c>
      <c r="AO269" s="125">
        <f>AH269*-Valores!$C$72</f>
        <v>0</v>
      </c>
      <c r="AP269" s="125">
        <f>AH269*Valores!$C$73</f>
        <v>-8129.804400000003</v>
      </c>
      <c r="AQ269" s="125">
        <f>Valores!$C$100</f>
        <v>-554.86</v>
      </c>
      <c r="AR269" s="125">
        <f>IF($F$5=0,Valores!$C$101,(Valores!$C$101+$F$5*(Valores!$C$101)))</f>
        <v>-550</v>
      </c>
      <c r="AS269" s="125">
        <f t="shared" si="47"/>
        <v>151554.80040000007</v>
      </c>
      <c r="AT269" s="125">
        <f t="shared" si="41"/>
        <v>-19872.85520000001</v>
      </c>
      <c r="AU269" s="125">
        <f>AH269*Valores!$C$74</f>
        <v>-4877.882640000002</v>
      </c>
      <c r="AV269" s="125">
        <f>AH269*Valores!$C$75</f>
        <v>-541.9869600000002</v>
      </c>
      <c r="AW269" s="125">
        <f t="shared" si="45"/>
        <v>155369.59520000004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61277.71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12511.06</v>
      </c>
      <c r="N270" s="125">
        <f t="shared" si="42"/>
        <v>0</v>
      </c>
      <c r="O270" s="125">
        <f>Valores!$C$7*B270</f>
        <v>26305.18</v>
      </c>
      <c r="P270" s="125">
        <f>ROUND(IF(B270&lt;15,(Valores!$E$5*B270),Valores!$D$5),2)</f>
        <v>18023.69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13856.04</v>
      </c>
      <c r="S270" s="125">
        <f>Valores!$C$18*B270</f>
        <v>8273.32</v>
      </c>
      <c r="T270" s="125">
        <f t="shared" si="48"/>
        <v>8273.32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26863.32</v>
      </c>
      <c r="AA270" s="125">
        <f>IF((Valores!$C$28)*B270&gt;Valores!$F$28,Valores!$F$28,(Valores!$C$28)*B270)</f>
        <v>649.88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541.2</v>
      </c>
      <c r="AE270" s="192">
        <v>94</v>
      </c>
      <c r="AF270" s="125">
        <f>ROUND(AE270*Valores!$C$2,2)</f>
        <v>3314.21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12360.92</v>
      </c>
      <c r="AH270" s="125">
        <f t="shared" si="46"/>
        <v>183976.53000000006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0</v>
      </c>
      <c r="AL270" s="125">
        <f>IF($F$3="NO",0,IF(Valores!$C$62*B270&gt;Valores!$F$62,Valores!$F$62,Valores!$C$62*B270))</f>
        <v>0</v>
      </c>
      <c r="AM270" s="125">
        <f t="shared" si="44"/>
        <v>0</v>
      </c>
      <c r="AN270" s="125">
        <f>AH270*Valores!$C$71</f>
        <v>-20237.418300000005</v>
      </c>
      <c r="AO270" s="125">
        <f>AH270*-Valores!$C$72</f>
        <v>0</v>
      </c>
      <c r="AP270" s="125">
        <f>AH270*Valores!$C$73</f>
        <v>-8278.943850000001</v>
      </c>
      <c r="AQ270" s="125">
        <f>Valores!$C$100</f>
        <v>-554.86</v>
      </c>
      <c r="AR270" s="125">
        <f>IF($F$5=0,Valores!$C$101,(Valores!$C$101+$F$5*(Valores!$C$101)))</f>
        <v>-550</v>
      </c>
      <c r="AS270" s="125">
        <f t="shared" si="47"/>
        <v>154355.30785000004</v>
      </c>
      <c r="AT270" s="125">
        <f t="shared" si="41"/>
        <v>-20237.418300000005</v>
      </c>
      <c r="AU270" s="125">
        <f>AH270*Valores!$C$74</f>
        <v>-4967.366310000001</v>
      </c>
      <c r="AV270" s="125">
        <f>AH270*Valores!$C$75</f>
        <v>-551.9295900000002</v>
      </c>
      <c r="AW270" s="125">
        <f t="shared" si="45"/>
        <v>158219.81580000004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64063.06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13079.75</v>
      </c>
      <c r="N271" s="125">
        <f t="shared" si="42"/>
        <v>0</v>
      </c>
      <c r="O271" s="125">
        <f>Valores!$C$7*B271</f>
        <v>27500.870000000003</v>
      </c>
      <c r="P271" s="125">
        <f>ROUND(IF(B271&lt;15,(Valores!$E$5*B271),Valores!$D$5),2)</f>
        <v>18023.69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14485.86</v>
      </c>
      <c r="S271" s="125">
        <f>Valores!$C$18*B271</f>
        <v>8649.38</v>
      </c>
      <c r="T271" s="125">
        <f t="shared" si="48"/>
        <v>8649.38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28084.379999999997</v>
      </c>
      <c r="AA271" s="125">
        <f>IF((Valores!$C$28)*B271&gt;Valores!$F$28,Valores!$F$28,(Valores!$C$28)*B271)</f>
        <v>679.42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565.8000000000001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12922.78</v>
      </c>
      <c r="AH271" s="125">
        <f t="shared" si="46"/>
        <v>188054.99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0</v>
      </c>
      <c r="AL271" s="125">
        <f>IF($F$3="NO",0,IF(Valores!$C$62*B271&gt;Valores!$F$62,Valores!$F$62,Valores!$C$62*B271))</f>
        <v>0</v>
      </c>
      <c r="AM271" s="125">
        <f t="shared" si="44"/>
        <v>0</v>
      </c>
      <c r="AN271" s="125">
        <f>AH271*Valores!$C$71</f>
        <v>-20686.048899999998</v>
      </c>
      <c r="AO271" s="125">
        <f>AH271*-Valores!$C$72</f>
        <v>0</v>
      </c>
      <c r="AP271" s="125">
        <f>AH271*Valores!$C$73</f>
        <v>-8462.474549999999</v>
      </c>
      <c r="AQ271" s="125">
        <f>Valores!$C$100</f>
        <v>-554.86</v>
      </c>
      <c r="AR271" s="125">
        <f>IF($F$5=0,Valores!$C$101,(Valores!$C$101+$F$5*(Valores!$C$101)))</f>
        <v>-550</v>
      </c>
      <c r="AS271" s="125">
        <f t="shared" si="47"/>
        <v>157801.60655</v>
      </c>
      <c r="AT271" s="125">
        <f t="shared" si="41"/>
        <v>-20686.048899999998</v>
      </c>
      <c r="AU271" s="125">
        <f>AH271*Valores!$C$74</f>
        <v>-5077.48473</v>
      </c>
      <c r="AV271" s="125">
        <f>AH271*Valores!$C$75</f>
        <v>-564.16497</v>
      </c>
      <c r="AW271" s="125">
        <f t="shared" si="45"/>
        <v>161727.2914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64063.06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13079.75</v>
      </c>
      <c r="N272" s="125">
        <f t="shared" si="42"/>
        <v>0</v>
      </c>
      <c r="O272" s="125">
        <f>Valores!$C$7*B272</f>
        <v>27500.870000000003</v>
      </c>
      <c r="P272" s="125">
        <f>ROUND(IF(B272&lt;15,(Valores!$E$5*B272),Valores!$D$5),2)</f>
        <v>18023.69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14485.86</v>
      </c>
      <c r="S272" s="125">
        <f>Valores!$C$18*B272</f>
        <v>8649.38</v>
      </c>
      <c r="T272" s="125">
        <f t="shared" si="48"/>
        <v>8649.38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28084.379999999997</v>
      </c>
      <c r="AA272" s="125">
        <f>IF((Valores!$C$28)*B272&gt;Valores!$F$28,Valores!$F$28,(Valores!$C$28)*B272)</f>
        <v>679.42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565.8000000000001</v>
      </c>
      <c r="AE272" s="192">
        <v>94</v>
      </c>
      <c r="AF272" s="125">
        <f>ROUND(AE272*Valores!$C$2,2)</f>
        <v>3314.21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12922.78</v>
      </c>
      <c r="AH272" s="125">
        <f t="shared" si="46"/>
        <v>191369.19999999998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0</v>
      </c>
      <c r="AL272" s="125">
        <f>IF($F$3="NO",0,IF(Valores!$C$62*B272&gt;Valores!$F$62,Valores!$F$62,Valores!$C$62*B272))</f>
        <v>0</v>
      </c>
      <c r="AM272" s="125">
        <f t="shared" si="44"/>
        <v>0</v>
      </c>
      <c r="AN272" s="125">
        <f>AH272*Valores!$C$71</f>
        <v>-21050.611999999997</v>
      </c>
      <c r="AO272" s="125">
        <f>AH272*-Valores!$C$72</f>
        <v>0</v>
      </c>
      <c r="AP272" s="125">
        <f>AH272*Valores!$C$73</f>
        <v>-8611.614</v>
      </c>
      <c r="AQ272" s="125">
        <f>Valores!$C$100</f>
        <v>-554.86</v>
      </c>
      <c r="AR272" s="125">
        <f>IF($F$5=0,Valores!$C$101,(Valores!$C$101+$F$5*(Valores!$C$101)))</f>
        <v>-550</v>
      </c>
      <c r="AS272" s="125">
        <f t="shared" si="47"/>
        <v>160602.114</v>
      </c>
      <c r="AT272" s="125">
        <f t="shared" si="41"/>
        <v>-21050.611999999997</v>
      </c>
      <c r="AU272" s="125">
        <f>AH272*Valores!$C$74</f>
        <v>-5166.9684</v>
      </c>
      <c r="AV272" s="125">
        <f>AH272*Valores!$C$75</f>
        <v>-574.1075999999999</v>
      </c>
      <c r="AW272" s="125">
        <f t="shared" si="45"/>
        <v>164577.512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66848.41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13648.43</v>
      </c>
      <c r="N273" s="125">
        <f t="shared" si="42"/>
        <v>0</v>
      </c>
      <c r="O273" s="125">
        <f>Valores!$C$7*B273</f>
        <v>28696.56</v>
      </c>
      <c r="P273" s="125">
        <f>ROUND(IF(B273&lt;15,(Valores!$E$5*B273),Valores!$D$5),2)</f>
        <v>18023.69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15115.68</v>
      </c>
      <c r="S273" s="125">
        <f>Valores!$C$18*B273</f>
        <v>9025.44</v>
      </c>
      <c r="T273" s="125">
        <f t="shared" si="48"/>
        <v>9025.44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29305.44</v>
      </c>
      <c r="AA273" s="125">
        <f>IF((Valores!$C$28)*B273&gt;Valores!$F$28,Valores!$F$28,(Valores!$C$28)*B273)</f>
        <v>708.96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590.4000000000001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13484.64</v>
      </c>
      <c r="AH273" s="125">
        <f t="shared" si="46"/>
        <v>195447.64999999997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0</v>
      </c>
      <c r="AL273" s="125">
        <f>IF($F$3="NO",0,IF(Valores!$C$62*B273&gt;Valores!$F$62,Valores!$F$62,Valores!$C$62*B273))</f>
        <v>0</v>
      </c>
      <c r="AM273" s="125">
        <f t="shared" si="44"/>
        <v>0</v>
      </c>
      <c r="AN273" s="125">
        <f>AH273*Valores!$C$71</f>
        <v>-21499.241499999996</v>
      </c>
      <c r="AO273" s="125">
        <f>AH273*-Valores!$C$72</f>
        <v>0</v>
      </c>
      <c r="AP273" s="125">
        <f>AH273*Valores!$C$73</f>
        <v>-8795.144249999998</v>
      </c>
      <c r="AQ273" s="125">
        <f>Valores!$C$100</f>
        <v>-554.86</v>
      </c>
      <c r="AR273" s="125">
        <f>IF($F$5=0,Valores!$C$101,(Valores!$C$101+$F$5*(Valores!$C$101)))</f>
        <v>-550</v>
      </c>
      <c r="AS273" s="125">
        <f t="shared" si="47"/>
        <v>164048.40424999996</v>
      </c>
      <c r="AT273" s="125">
        <f t="shared" si="41"/>
        <v>-21499.241499999996</v>
      </c>
      <c r="AU273" s="125">
        <f>AH273*Valores!$C$74</f>
        <v>-5277.086549999999</v>
      </c>
      <c r="AV273" s="125">
        <f>AH273*Valores!$C$75</f>
        <v>-586.3429499999999</v>
      </c>
      <c r="AW273" s="125">
        <f t="shared" si="45"/>
        <v>168084.97899999996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66848.41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13648.43</v>
      </c>
      <c r="N274" s="125">
        <f t="shared" si="42"/>
        <v>0</v>
      </c>
      <c r="O274" s="125">
        <f>Valores!$C$7*B274</f>
        <v>28696.56</v>
      </c>
      <c r="P274" s="125">
        <f>ROUND(IF(B274&lt;15,(Valores!$E$5*B274),Valores!$D$5),2)</f>
        <v>18023.69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15115.68</v>
      </c>
      <c r="S274" s="125">
        <f>Valores!$C$18*B274</f>
        <v>9025.44</v>
      </c>
      <c r="T274" s="125">
        <f t="shared" si="48"/>
        <v>9025.44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29305.44</v>
      </c>
      <c r="AA274" s="125">
        <f>IF((Valores!$C$28)*B274&gt;Valores!$F$28,Valores!$F$28,(Valores!$C$28)*B274)</f>
        <v>708.96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590.4000000000001</v>
      </c>
      <c r="AE274" s="192">
        <v>94</v>
      </c>
      <c r="AF274" s="125">
        <f>ROUND(AE274*Valores!$C$2,2)</f>
        <v>3314.21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13484.64</v>
      </c>
      <c r="AH274" s="125">
        <f t="shared" si="46"/>
        <v>198761.86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0</v>
      </c>
      <c r="AL274" s="125">
        <f>IF($F$3="NO",0,IF(Valores!$C$62*B274&gt;Valores!$F$62,Valores!$F$62,Valores!$C$62*B274))</f>
        <v>0</v>
      </c>
      <c r="AM274" s="125">
        <f t="shared" si="44"/>
        <v>0</v>
      </c>
      <c r="AN274" s="125">
        <f>AH274*Valores!$C$71</f>
        <v>-21863.8046</v>
      </c>
      <c r="AO274" s="125">
        <f>AH274*-Valores!$C$72</f>
        <v>0</v>
      </c>
      <c r="AP274" s="125">
        <f>AH274*Valores!$C$73</f>
        <v>-8944.283699999998</v>
      </c>
      <c r="AQ274" s="125">
        <f>Valores!$C$100</f>
        <v>-554.86</v>
      </c>
      <c r="AR274" s="125">
        <f>IF($F$5=0,Valores!$C$101,(Valores!$C$101+$F$5*(Valores!$C$101)))</f>
        <v>-550</v>
      </c>
      <c r="AS274" s="125">
        <f t="shared" si="47"/>
        <v>166848.9117</v>
      </c>
      <c r="AT274" s="125">
        <f t="shared" si="41"/>
        <v>-21863.8046</v>
      </c>
      <c r="AU274" s="125">
        <f>AH274*Valores!$C$74</f>
        <v>-5366.57022</v>
      </c>
      <c r="AV274" s="125">
        <f>AH274*Valores!$C$75</f>
        <v>-596.28558</v>
      </c>
      <c r="AW274" s="125">
        <f t="shared" si="45"/>
        <v>170935.1996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69633.76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14217.11</v>
      </c>
      <c r="N275" s="125">
        <f t="shared" si="42"/>
        <v>0</v>
      </c>
      <c r="O275" s="125">
        <f>Valores!$C$7*B275</f>
        <v>29892.25</v>
      </c>
      <c r="P275" s="125">
        <f>ROUND(IF(B275&lt;15,(Valores!$E$5*B275),Valores!$D$5),2)</f>
        <v>18023.69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15745.500000000002</v>
      </c>
      <c r="S275" s="125">
        <f>Valores!$C$18*B275</f>
        <v>9401.5</v>
      </c>
      <c r="T275" s="125">
        <f t="shared" si="48"/>
        <v>9401.5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30526.5</v>
      </c>
      <c r="AA275" s="125">
        <f>IF((Valores!$C$28)*B275&gt;Valores!$F$28,Valores!$F$28,(Valores!$C$28)*B275)</f>
        <v>738.5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615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14046.5</v>
      </c>
      <c r="AH275" s="125">
        <f t="shared" si="46"/>
        <v>202840.31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0</v>
      </c>
      <c r="AL275" s="125">
        <f>IF($F$3="NO",0,IF(Valores!$C$62*B275&gt;Valores!$F$62,Valores!$F$62,Valores!$C$62*B275))</f>
        <v>0</v>
      </c>
      <c r="AM275" s="125">
        <f t="shared" si="44"/>
        <v>0</v>
      </c>
      <c r="AN275" s="125">
        <f>AH275*Valores!$C$71</f>
        <v>-22312.4341</v>
      </c>
      <c r="AO275" s="125">
        <f>AH275*-Valores!$C$72</f>
        <v>0</v>
      </c>
      <c r="AP275" s="125">
        <f>AH275*Valores!$C$73</f>
        <v>-9127.81395</v>
      </c>
      <c r="AQ275" s="125">
        <f>Valores!$C$100</f>
        <v>-554.86</v>
      </c>
      <c r="AR275" s="125">
        <f>IF($F$5=0,Valores!$C$101,(Valores!$C$101+$F$5*(Valores!$C$101)))</f>
        <v>-550</v>
      </c>
      <c r="AS275" s="125">
        <f t="shared" si="47"/>
        <v>170295.20195</v>
      </c>
      <c r="AT275" s="125">
        <f t="shared" si="41"/>
        <v>-22312.4341</v>
      </c>
      <c r="AU275" s="125">
        <f>AH275*Valores!$C$74</f>
        <v>-5476.68837</v>
      </c>
      <c r="AV275" s="125">
        <f>AH275*Valores!$C$75</f>
        <v>-608.52093</v>
      </c>
      <c r="AW275" s="125">
        <f t="shared" si="45"/>
        <v>174442.6666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69633.76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14217.11</v>
      </c>
      <c r="N276" s="125">
        <f t="shared" si="42"/>
        <v>0</v>
      </c>
      <c r="O276" s="125">
        <f>Valores!$C$7*B276</f>
        <v>29892.25</v>
      </c>
      <c r="P276" s="125">
        <f>ROUND(IF(B276&lt;15,(Valores!$E$5*B276),Valores!$D$5),2)</f>
        <v>18023.69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15745.500000000002</v>
      </c>
      <c r="S276" s="125">
        <f>Valores!$C$18*B276</f>
        <v>9401.5</v>
      </c>
      <c r="T276" s="125">
        <f t="shared" si="48"/>
        <v>9401.5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30526.5</v>
      </c>
      <c r="AA276" s="125">
        <f>IF((Valores!$C$28)*B276&gt;Valores!$F$28,Valores!$F$28,(Valores!$C$28)*B276)</f>
        <v>738.5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615</v>
      </c>
      <c r="AE276" s="192">
        <v>94</v>
      </c>
      <c r="AF276" s="125">
        <f>ROUND(AE276*Valores!$C$2,2)</f>
        <v>3314.21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14046.5</v>
      </c>
      <c r="AH276" s="125">
        <f t="shared" si="46"/>
        <v>206154.52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0</v>
      </c>
      <c r="AL276" s="125">
        <f>IF($F$3="NO",0,IF(Valores!$C$62*B276&gt;Valores!$F$62,Valores!$F$62,Valores!$C$62*B276))</f>
        <v>0</v>
      </c>
      <c r="AM276" s="125">
        <f t="shared" si="44"/>
        <v>0</v>
      </c>
      <c r="AN276" s="125">
        <f>AH276*Valores!$C$71</f>
        <v>-22676.997199999998</v>
      </c>
      <c r="AO276" s="125">
        <f>AH276*-Valores!$C$72</f>
        <v>0</v>
      </c>
      <c r="AP276" s="125">
        <f>AH276*Valores!$C$73</f>
        <v>-9276.953399999999</v>
      </c>
      <c r="AQ276" s="125">
        <f>Valores!$C$100</f>
        <v>-554.86</v>
      </c>
      <c r="AR276" s="125">
        <f>IF($F$5=0,Valores!$C$101,(Valores!$C$101+$F$5*(Valores!$C$101)))</f>
        <v>-550</v>
      </c>
      <c r="AS276" s="125">
        <f t="shared" si="47"/>
        <v>173095.7094</v>
      </c>
      <c r="AT276" s="125">
        <f t="shared" si="41"/>
        <v>-22676.997199999998</v>
      </c>
      <c r="AU276" s="125">
        <f>AH276*Valores!$C$74</f>
        <v>-5566.1720399999995</v>
      </c>
      <c r="AV276" s="125">
        <f>AH276*Valores!$C$75</f>
        <v>-618.46356</v>
      </c>
      <c r="AW276" s="125">
        <f t="shared" si="45"/>
        <v>177292.8872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72419.11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14785.8</v>
      </c>
      <c r="N277" s="125">
        <f t="shared" si="42"/>
        <v>0</v>
      </c>
      <c r="O277" s="125">
        <f>Valores!$C$7*B277</f>
        <v>31087.940000000002</v>
      </c>
      <c r="P277" s="125">
        <f>ROUND(IF(B277&lt;15,(Valores!$E$5*B277),Valores!$D$5),2)</f>
        <v>18023.69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16375.320000000002</v>
      </c>
      <c r="S277" s="125">
        <f>Valores!$C$18*B277</f>
        <v>9777.56</v>
      </c>
      <c r="T277" s="125">
        <f t="shared" si="48"/>
        <v>9777.56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31747.559999999998</v>
      </c>
      <c r="AA277" s="125">
        <f>IF((Valores!$C$28)*B277&gt;Valores!$F$28,Valores!$F$28,(Valores!$C$28)*B277)</f>
        <v>768.04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639.6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14608.36</v>
      </c>
      <c r="AH277" s="125">
        <f t="shared" si="46"/>
        <v>210232.98000000004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0</v>
      </c>
      <c r="AL277" s="125">
        <f>IF($F$3="NO",0,IF(Valores!$C$62*B277&gt;Valores!$F$62,Valores!$F$62,Valores!$C$62*B277))</f>
        <v>0</v>
      </c>
      <c r="AM277" s="125">
        <f t="shared" si="44"/>
        <v>0</v>
      </c>
      <c r="AN277" s="125">
        <f>AH277*Valores!$C$71</f>
        <v>-23125.627800000006</v>
      </c>
      <c r="AO277" s="125">
        <f>AH277*-Valores!$C$72</f>
        <v>0</v>
      </c>
      <c r="AP277" s="125">
        <f>AH277*Valores!$C$73</f>
        <v>-9460.484100000001</v>
      </c>
      <c r="AQ277" s="125">
        <f>Valores!$C$100</f>
        <v>-554.86</v>
      </c>
      <c r="AR277" s="125">
        <f>IF($F$5=0,Valores!$C$101,(Valores!$C$101+$F$5*(Valores!$C$101)))</f>
        <v>-550</v>
      </c>
      <c r="AS277" s="125">
        <f t="shared" si="47"/>
        <v>176542.00810000004</v>
      </c>
      <c r="AT277" s="125">
        <f t="shared" si="41"/>
        <v>-23125.627800000006</v>
      </c>
      <c r="AU277" s="125">
        <f>AH277*Valores!$C$74</f>
        <v>-5676.290460000001</v>
      </c>
      <c r="AV277" s="125">
        <f>AH277*Valores!$C$75</f>
        <v>-630.6989400000001</v>
      </c>
      <c r="AW277" s="125">
        <f t="shared" si="45"/>
        <v>180800.36280000003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72419.11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14785.8</v>
      </c>
      <c r="N278" s="125">
        <f t="shared" si="42"/>
        <v>0</v>
      </c>
      <c r="O278" s="125">
        <f>Valores!$C$7*B278</f>
        <v>31087.940000000002</v>
      </c>
      <c r="P278" s="125">
        <f>ROUND(IF(B278&lt;15,(Valores!$E$5*B278),Valores!$D$5),2)</f>
        <v>18023.69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16375.320000000002</v>
      </c>
      <c r="S278" s="125">
        <f>Valores!$C$18*B278</f>
        <v>9777.56</v>
      </c>
      <c r="T278" s="125">
        <f t="shared" si="48"/>
        <v>9777.56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31747.559999999998</v>
      </c>
      <c r="AA278" s="125">
        <f>IF((Valores!$C$28)*B278&gt;Valores!$F$28,Valores!$F$28,(Valores!$C$28)*B278)</f>
        <v>768.04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639.6</v>
      </c>
      <c r="AE278" s="192">
        <v>94</v>
      </c>
      <c r="AF278" s="125">
        <f>ROUND(AE278*Valores!$C$2,2)</f>
        <v>3314.21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14608.36</v>
      </c>
      <c r="AH278" s="125">
        <f t="shared" si="46"/>
        <v>213547.19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0</v>
      </c>
      <c r="AL278" s="125">
        <f>IF($F$3="NO",0,IF(Valores!$C$62*B278&gt;Valores!$F$62,Valores!$F$62,Valores!$C$62*B278))</f>
        <v>0</v>
      </c>
      <c r="AM278" s="125">
        <f t="shared" si="44"/>
        <v>0</v>
      </c>
      <c r="AN278" s="125">
        <f>AH278*Valores!$C$71</f>
        <v>-23490.1909</v>
      </c>
      <c r="AO278" s="125">
        <f>AH278*-Valores!$C$72</f>
        <v>0</v>
      </c>
      <c r="AP278" s="125">
        <f>AH278*Valores!$C$73</f>
        <v>-9609.62355</v>
      </c>
      <c r="AQ278" s="125">
        <f>Valores!$C$100</f>
        <v>-554.86</v>
      </c>
      <c r="AR278" s="125">
        <f>IF($F$5=0,Valores!$C$101,(Valores!$C$101+$F$5*(Valores!$C$101)))</f>
        <v>-550</v>
      </c>
      <c r="AS278" s="125">
        <f t="shared" si="47"/>
        <v>179342.51555</v>
      </c>
      <c r="AT278" s="125">
        <f t="shared" si="41"/>
        <v>-23490.1909</v>
      </c>
      <c r="AU278" s="125">
        <f>AH278*Valores!$C$74</f>
        <v>-5765.77413</v>
      </c>
      <c r="AV278" s="125">
        <f>AH278*Valores!$C$75</f>
        <v>-640.64157</v>
      </c>
      <c r="AW278" s="125">
        <f t="shared" si="45"/>
        <v>183650.5834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75204.46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15354.48</v>
      </c>
      <c r="N279" s="125">
        <f t="shared" si="42"/>
        <v>0</v>
      </c>
      <c r="O279" s="125">
        <f>Valores!$C$7*B279</f>
        <v>32283.63</v>
      </c>
      <c r="P279" s="125">
        <f>ROUND(IF(B279&lt;15,(Valores!$E$5*B279),Valores!$D$5),2)</f>
        <v>18023.69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17005.140000000003</v>
      </c>
      <c r="S279" s="125">
        <f>Valores!$C$18*B279</f>
        <v>10153.62</v>
      </c>
      <c r="T279" s="125">
        <f t="shared" si="48"/>
        <v>10153.62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32968.619999999995</v>
      </c>
      <c r="AA279" s="125">
        <f>IF((Valores!$C$28)*B279&gt;Valores!$F$28,Valores!$F$28,(Valores!$C$28)*B279)</f>
        <v>797.5799999999999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664.2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15170.220000000001</v>
      </c>
      <c r="AH279" s="125">
        <f t="shared" si="46"/>
        <v>217625.64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0</v>
      </c>
      <c r="AL279" s="125">
        <f>IF($F$3="NO",0,IF(Valores!$C$62*B279&gt;Valores!$F$62,Valores!$F$62,Valores!$C$62*B279))</f>
        <v>0</v>
      </c>
      <c r="AM279" s="125">
        <f t="shared" si="44"/>
        <v>0</v>
      </c>
      <c r="AN279" s="125">
        <f>AH279*Valores!$C$71</f>
        <v>-23938.8204</v>
      </c>
      <c r="AO279" s="125">
        <f>AH279*-Valores!$C$72</f>
        <v>0</v>
      </c>
      <c r="AP279" s="125">
        <f>AH279*Valores!$C$73</f>
        <v>-9793.1538</v>
      </c>
      <c r="AQ279" s="125">
        <f>Valores!$C$100</f>
        <v>-554.86</v>
      </c>
      <c r="AR279" s="125">
        <f>IF($F$5=0,Valores!$C$101,(Valores!$C$101+$F$5*(Valores!$C$101)))</f>
        <v>-550</v>
      </c>
      <c r="AS279" s="125">
        <f t="shared" si="47"/>
        <v>182788.80580000003</v>
      </c>
      <c r="AT279" s="125">
        <f t="shared" si="41"/>
        <v>-23938.8204</v>
      </c>
      <c r="AU279" s="125">
        <f>AH279*Valores!$C$74</f>
        <v>-5875.89228</v>
      </c>
      <c r="AV279" s="125">
        <f>AH279*Valores!$C$75</f>
        <v>-652.87692</v>
      </c>
      <c r="AW279" s="125">
        <f t="shared" si="45"/>
        <v>187158.0504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75204.46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15354.48</v>
      </c>
      <c r="N280" s="125">
        <f t="shared" si="42"/>
        <v>0</v>
      </c>
      <c r="O280" s="125">
        <f>Valores!$C$7*B280</f>
        <v>32283.63</v>
      </c>
      <c r="P280" s="125">
        <f>ROUND(IF(B280&lt;15,(Valores!$E$5*B280),Valores!$D$5),2)</f>
        <v>18023.69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17005.140000000003</v>
      </c>
      <c r="S280" s="125">
        <f>Valores!$C$18*B280</f>
        <v>10153.62</v>
      </c>
      <c r="T280" s="125">
        <f t="shared" si="48"/>
        <v>10153.62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32968.619999999995</v>
      </c>
      <c r="AA280" s="125">
        <f>IF((Valores!$C$28)*B280&gt;Valores!$F$28,Valores!$F$28,(Valores!$C$28)*B280)</f>
        <v>797.5799999999999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664.2</v>
      </c>
      <c r="AE280" s="192">
        <v>94</v>
      </c>
      <c r="AF280" s="125">
        <f>ROUND(AE280*Valores!$C$2,2)</f>
        <v>3314.21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15170.220000000001</v>
      </c>
      <c r="AH280" s="125">
        <f t="shared" si="46"/>
        <v>220939.85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0</v>
      </c>
      <c r="AL280" s="125">
        <f>IF($F$3="NO",0,IF(Valores!$C$62*B280&gt;Valores!$F$62,Valores!$F$62,Valores!$C$62*B280))</f>
        <v>0</v>
      </c>
      <c r="AM280" s="125">
        <f t="shared" si="44"/>
        <v>0</v>
      </c>
      <c r="AN280" s="125">
        <f>AH280*Valores!$C$71</f>
        <v>-24303.3835</v>
      </c>
      <c r="AO280" s="125">
        <f>AH280*-Valores!$C$72</f>
        <v>0</v>
      </c>
      <c r="AP280" s="125">
        <f>AH280*Valores!$C$73</f>
        <v>-9942.29325</v>
      </c>
      <c r="AQ280" s="125">
        <f>Valores!$C$100</f>
        <v>-554.86</v>
      </c>
      <c r="AR280" s="125">
        <f>IF($F$5=0,Valores!$C$101,(Valores!$C$101+$F$5*(Valores!$C$101)))</f>
        <v>-550</v>
      </c>
      <c r="AS280" s="125">
        <f t="shared" si="47"/>
        <v>185589.31325</v>
      </c>
      <c r="AT280" s="125">
        <f t="shared" si="41"/>
        <v>-24303.3835</v>
      </c>
      <c r="AU280" s="125">
        <f>AH280*Valores!$C$74</f>
        <v>-5965.37595</v>
      </c>
      <c r="AV280" s="125">
        <f>AH280*Valores!$C$75</f>
        <v>-662.81955</v>
      </c>
      <c r="AW280" s="125">
        <f t="shared" si="45"/>
        <v>190008.271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77989.81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15923.17</v>
      </c>
      <c r="N281" s="125">
        <f t="shared" si="42"/>
        <v>0</v>
      </c>
      <c r="O281" s="125">
        <f>Valores!$C$7*B281</f>
        <v>33479.32</v>
      </c>
      <c r="P281" s="125">
        <f>ROUND(IF(B281&lt;15,(Valores!$E$5*B281),Valores!$D$5),2)</f>
        <v>18023.69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17634.960000000003</v>
      </c>
      <c r="S281" s="125">
        <f>Valores!$C$18*B281</f>
        <v>10529.68</v>
      </c>
      <c r="T281" s="125">
        <f t="shared" si="48"/>
        <v>10529.68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34189.68</v>
      </c>
      <c r="AA281" s="125">
        <f>IF((Valores!$C$28)*B281&gt;Valores!$F$28,Valores!$F$28,(Valores!$C$28)*B281)</f>
        <v>827.12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688.8000000000001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15732.08</v>
      </c>
      <c r="AH281" s="125">
        <f t="shared" si="46"/>
        <v>225018.30999999994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0</v>
      </c>
      <c r="AL281" s="125">
        <f>IF($F$3="NO",0,IF(Valores!$C$62*B281&gt;Valores!$F$62,Valores!$F$62,Valores!$C$62*B281))</f>
        <v>0</v>
      </c>
      <c r="AM281" s="125">
        <f t="shared" si="44"/>
        <v>0</v>
      </c>
      <c r="AN281" s="125">
        <f>AH281*Valores!$C$71</f>
        <v>-24752.014099999993</v>
      </c>
      <c r="AO281" s="125">
        <f>AH281*-Valores!$C$72</f>
        <v>0</v>
      </c>
      <c r="AP281" s="125">
        <f>AH281*Valores!$C$73</f>
        <v>-10125.823949999996</v>
      </c>
      <c r="AQ281" s="125">
        <f>Valores!$C$100</f>
        <v>-554.86</v>
      </c>
      <c r="AR281" s="125">
        <f>IF($F$5=0,Valores!$C$101,(Valores!$C$101+$F$5*(Valores!$C$101)))</f>
        <v>-550</v>
      </c>
      <c r="AS281" s="125">
        <f t="shared" si="47"/>
        <v>189035.61194999993</v>
      </c>
      <c r="AT281" s="125">
        <f t="shared" si="41"/>
        <v>-24752.014099999993</v>
      </c>
      <c r="AU281" s="125">
        <f>AH281*Valores!$C$74</f>
        <v>-6075.4943699999985</v>
      </c>
      <c r="AV281" s="125">
        <f>AH281*Valores!$C$75</f>
        <v>-675.0549299999998</v>
      </c>
      <c r="AW281" s="125">
        <f t="shared" si="45"/>
        <v>193515.74659999995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77989.81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15923.17</v>
      </c>
      <c r="N282" s="125">
        <f t="shared" si="42"/>
        <v>0</v>
      </c>
      <c r="O282" s="125">
        <f>Valores!$C$7*B282</f>
        <v>33479.32</v>
      </c>
      <c r="P282" s="125">
        <f>ROUND(IF(B282&lt;15,(Valores!$E$5*B282),Valores!$D$5),2)</f>
        <v>18023.69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17634.960000000003</v>
      </c>
      <c r="S282" s="125">
        <f>Valores!$C$18*B282</f>
        <v>10529.68</v>
      </c>
      <c r="T282" s="125">
        <f t="shared" si="48"/>
        <v>10529.68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34189.68</v>
      </c>
      <c r="AA282" s="125">
        <f>IF((Valores!$C$28)*B282&gt;Valores!$F$28,Valores!$F$28,(Valores!$C$28)*B282)</f>
        <v>827.12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688.8000000000001</v>
      </c>
      <c r="AE282" s="192">
        <v>94</v>
      </c>
      <c r="AF282" s="125">
        <f>ROUND(AE282*Valores!$C$2,2)</f>
        <v>3314.21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15732.08</v>
      </c>
      <c r="AH282" s="125">
        <f t="shared" si="46"/>
        <v>228332.51999999993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0</v>
      </c>
      <c r="AL282" s="125">
        <f>IF($F$3="NO",0,IF(Valores!$C$62*B282&gt;Valores!$F$62,Valores!$F$62,Valores!$C$62*B282))</f>
        <v>0</v>
      </c>
      <c r="AM282" s="125">
        <f t="shared" si="44"/>
        <v>0</v>
      </c>
      <c r="AN282" s="125">
        <f>AH282*Valores!$C$71</f>
        <v>-25116.577199999992</v>
      </c>
      <c r="AO282" s="125">
        <f>AH282*-Valores!$C$72</f>
        <v>0</v>
      </c>
      <c r="AP282" s="125">
        <f>AH282*Valores!$C$73</f>
        <v>-10274.963399999997</v>
      </c>
      <c r="AQ282" s="125">
        <f>Valores!$C$100</f>
        <v>-554.86</v>
      </c>
      <c r="AR282" s="125">
        <f>IF($F$5=0,Valores!$C$101,(Valores!$C$101+$F$5*(Valores!$C$101)))</f>
        <v>-550</v>
      </c>
      <c r="AS282" s="125">
        <f t="shared" si="47"/>
        <v>191836.11939999994</v>
      </c>
      <c r="AT282" s="125">
        <f t="shared" si="41"/>
        <v>-25116.577199999992</v>
      </c>
      <c r="AU282" s="125">
        <f>AH282*Valores!$C$74</f>
        <v>-6164.978039999998</v>
      </c>
      <c r="AV282" s="125">
        <f>AH282*Valores!$C$75</f>
        <v>-684.9975599999998</v>
      </c>
      <c r="AW282" s="125">
        <f t="shared" si="45"/>
        <v>196365.96719999996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80775.16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16491.85</v>
      </c>
      <c r="N283" s="125">
        <f t="shared" si="42"/>
        <v>0</v>
      </c>
      <c r="O283" s="125">
        <f>Valores!$C$7*B283</f>
        <v>34675.01</v>
      </c>
      <c r="P283" s="125">
        <f>ROUND(IF(B283&lt;15,(Valores!$E$5*B283),Valores!$D$5),2)</f>
        <v>18023.69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18264.780000000002</v>
      </c>
      <c r="S283" s="125">
        <f>Valores!$C$18*B283</f>
        <v>10905.74</v>
      </c>
      <c r="T283" s="125">
        <f t="shared" si="48"/>
        <v>10905.74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35410.74</v>
      </c>
      <c r="AA283" s="125">
        <f>IF((Valores!$C$28)*B283&gt;Valores!$F$28,Valores!$F$28,(Valores!$C$28)*B283)</f>
        <v>856.66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713.4000000000001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16293.94</v>
      </c>
      <c r="AH283" s="125">
        <f t="shared" si="46"/>
        <v>232410.97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0</v>
      </c>
      <c r="AL283" s="125">
        <f>IF($F$3="NO",0,IF(Valores!$C$62*B283&gt;Valores!$F$62,Valores!$F$62,Valores!$C$62*B283))</f>
        <v>0</v>
      </c>
      <c r="AM283" s="125">
        <f t="shared" si="44"/>
        <v>0</v>
      </c>
      <c r="AN283" s="125">
        <f>AH283*Valores!$C$71</f>
        <v>-25565.2067</v>
      </c>
      <c r="AO283" s="125">
        <f>AH283*-Valores!$C$72</f>
        <v>0</v>
      </c>
      <c r="AP283" s="125">
        <f>AH283*Valores!$C$73</f>
        <v>-10458.49365</v>
      </c>
      <c r="AQ283" s="125">
        <f>Valores!$C$100</f>
        <v>-554.86</v>
      </c>
      <c r="AR283" s="125">
        <f>IF($F$5=0,Valores!$C$101,(Valores!$C$101+$F$5*(Valores!$C$101)))</f>
        <v>-550</v>
      </c>
      <c r="AS283" s="125">
        <f t="shared" si="47"/>
        <v>195282.40965</v>
      </c>
      <c r="AT283" s="125">
        <f t="shared" si="41"/>
        <v>-25565.2067</v>
      </c>
      <c r="AU283" s="125">
        <f>AH283*Valores!$C$74</f>
        <v>-6275.09619</v>
      </c>
      <c r="AV283" s="125">
        <f>AH283*Valores!$C$75</f>
        <v>-697.2329100000001</v>
      </c>
      <c r="AW283" s="125">
        <f t="shared" si="45"/>
        <v>199873.43420000002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80775.16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16491.85</v>
      </c>
      <c r="N284" s="125">
        <f t="shared" si="42"/>
        <v>0</v>
      </c>
      <c r="O284" s="125">
        <f>Valores!$C$7*B284</f>
        <v>34675.01</v>
      </c>
      <c r="P284" s="125">
        <f>ROUND(IF(B284&lt;15,(Valores!$E$5*B284),Valores!$D$5),2)</f>
        <v>18023.69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18264.780000000002</v>
      </c>
      <c r="S284" s="125">
        <f>Valores!$C$18*B284</f>
        <v>10905.74</v>
      </c>
      <c r="T284" s="125">
        <f t="shared" si="48"/>
        <v>10905.74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35410.74</v>
      </c>
      <c r="AA284" s="125">
        <f>IF((Valores!$C$28)*B284&gt;Valores!$F$28,Valores!$F$28,(Valores!$C$28)*B284)</f>
        <v>856.66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713.4000000000001</v>
      </c>
      <c r="AE284" s="192">
        <v>94</v>
      </c>
      <c r="AF284" s="125">
        <f>ROUND(AE284*Valores!$C$2,2)</f>
        <v>3314.21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16293.94</v>
      </c>
      <c r="AH284" s="125">
        <f t="shared" si="46"/>
        <v>235725.18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0</v>
      </c>
      <c r="AL284" s="125">
        <f>IF($F$3="NO",0,IF(Valores!$C$62*B284&gt;Valores!$F$62,Valores!$F$62,Valores!$C$62*B284))</f>
        <v>0</v>
      </c>
      <c r="AM284" s="125">
        <f t="shared" si="44"/>
        <v>0</v>
      </c>
      <c r="AN284" s="125">
        <f>AH284*Valores!$C$71</f>
        <v>-25929.7698</v>
      </c>
      <c r="AO284" s="125">
        <f>AH284*-Valores!$C$72</f>
        <v>0</v>
      </c>
      <c r="AP284" s="125">
        <f>AH284*Valores!$C$73</f>
        <v>-10607.6331</v>
      </c>
      <c r="AQ284" s="125">
        <f>Valores!$C$100</f>
        <v>-554.86</v>
      </c>
      <c r="AR284" s="125">
        <f>IF($F$5=0,Valores!$C$101,(Valores!$C$101+$F$5*(Valores!$C$101)))</f>
        <v>-550</v>
      </c>
      <c r="AS284" s="125">
        <f t="shared" si="47"/>
        <v>198082.9171</v>
      </c>
      <c r="AT284" s="125">
        <f t="shared" si="41"/>
        <v>-25929.7698</v>
      </c>
      <c r="AU284" s="125">
        <f>AH284*Valores!$C$74</f>
        <v>-6364.57986</v>
      </c>
      <c r="AV284" s="125">
        <f>AH284*Valores!$C$75</f>
        <v>-707.17554</v>
      </c>
      <c r="AW284" s="125">
        <f t="shared" si="45"/>
        <v>202723.6548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83560.51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17060.54</v>
      </c>
      <c r="N285" s="125">
        <f t="shared" si="42"/>
        <v>0</v>
      </c>
      <c r="O285" s="125">
        <f>Valores!$C$7*B285</f>
        <v>35870.700000000004</v>
      </c>
      <c r="P285" s="125">
        <f>ROUND(IF(B285&lt;15,(Valores!$E$5*B285),Valores!$D$5),2)</f>
        <v>18023.69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18894.600000000002</v>
      </c>
      <c r="S285" s="125">
        <f>Valores!$C$18*B285</f>
        <v>11281.8</v>
      </c>
      <c r="T285" s="125">
        <f t="shared" si="48"/>
        <v>11281.8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36631.799999999996</v>
      </c>
      <c r="AA285" s="125">
        <f>IF((Valores!$C$28)*B285&gt;Valores!$F$28,Valores!$F$28,(Valores!$C$28)*B285)</f>
        <v>886.1999999999999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737.18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16855.75</v>
      </c>
      <c r="AH285" s="125">
        <f t="shared" si="46"/>
        <v>239802.77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0</v>
      </c>
      <c r="AL285" s="125">
        <f>IF($F$3="NO",0,IF(Valores!$C$62*B285&gt;Valores!$F$62,Valores!$F$62,Valores!$C$62*B285))</f>
        <v>0</v>
      </c>
      <c r="AM285" s="125">
        <f t="shared" si="44"/>
        <v>0</v>
      </c>
      <c r="AN285" s="125">
        <f>AH285*Valores!$C$71</f>
        <v>-26378.3047</v>
      </c>
      <c r="AO285" s="125">
        <f>AH285*-Valores!$C$72</f>
        <v>0</v>
      </c>
      <c r="AP285" s="125">
        <f>AH285*Valores!$C$73</f>
        <v>-10791.12465</v>
      </c>
      <c r="AQ285" s="125">
        <f>Valores!$C$100</f>
        <v>-554.86</v>
      </c>
      <c r="AR285" s="125">
        <f>IF($F$5=0,Valores!$C$101,(Valores!$C$101+$F$5*(Valores!$C$101)))</f>
        <v>-550</v>
      </c>
      <c r="AS285" s="125">
        <f t="shared" si="47"/>
        <v>201528.48064999998</v>
      </c>
      <c r="AT285" s="125">
        <f t="shared" si="41"/>
        <v>-26378.3047</v>
      </c>
      <c r="AU285" s="125">
        <f>AH285*Valores!$C$74</f>
        <v>-6474.67479</v>
      </c>
      <c r="AV285" s="125">
        <f>AH285*Valores!$C$75</f>
        <v>-719.40831</v>
      </c>
      <c r="AW285" s="125">
        <f t="shared" si="45"/>
        <v>206230.3822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83560.51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17060.54</v>
      </c>
      <c r="N286" s="125">
        <f t="shared" si="42"/>
        <v>0</v>
      </c>
      <c r="O286" s="125">
        <f>Valores!$C$7*B286</f>
        <v>35870.700000000004</v>
      </c>
      <c r="P286" s="125">
        <f>ROUND(IF(B286&lt;15,(Valores!$E$5*B286),Valores!$D$5),2)</f>
        <v>18023.69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18894.600000000002</v>
      </c>
      <c r="S286" s="125">
        <f>Valores!$C$18*B286</f>
        <v>11281.8</v>
      </c>
      <c r="T286" s="125">
        <f t="shared" si="48"/>
        <v>11281.8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36631.799999999996</v>
      </c>
      <c r="AA286" s="125">
        <f>IF((Valores!$C$28)*B286&gt;Valores!$F$28,Valores!$F$28,(Valores!$C$28)*B286)</f>
        <v>886.1999999999999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737.18</v>
      </c>
      <c r="AE286" s="192">
        <v>94</v>
      </c>
      <c r="AF286" s="125">
        <f>ROUND(AE286*Valores!$C$2,2)</f>
        <v>3314.21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16855.75</v>
      </c>
      <c r="AH286" s="125">
        <f t="shared" si="46"/>
        <v>243116.97999999998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0</v>
      </c>
      <c r="AL286" s="125">
        <f>IF($F$3="NO",0,IF(Valores!$C$62*B286&gt;Valores!$F$62,Valores!$F$62,Valores!$C$62*B286))</f>
        <v>0</v>
      </c>
      <c r="AM286" s="125">
        <f t="shared" si="44"/>
        <v>0</v>
      </c>
      <c r="AN286" s="125">
        <f>AH286*Valores!$C$71</f>
        <v>-26742.867799999996</v>
      </c>
      <c r="AO286" s="125">
        <f>AH286*-Valores!$C$72</f>
        <v>0</v>
      </c>
      <c r="AP286" s="125">
        <f>AH286*Valores!$C$73</f>
        <v>-10940.264099999999</v>
      </c>
      <c r="AQ286" s="125">
        <f>Valores!$C$100</f>
        <v>-554.86</v>
      </c>
      <c r="AR286" s="125">
        <f>IF($F$5=0,Valores!$C$101,(Valores!$C$101+$F$5*(Valores!$C$101)))</f>
        <v>-550</v>
      </c>
      <c r="AS286" s="125">
        <f t="shared" si="47"/>
        <v>204328.9881</v>
      </c>
      <c r="AT286" s="125">
        <f t="shared" si="41"/>
        <v>-26742.867799999996</v>
      </c>
      <c r="AU286" s="125">
        <f>AH286*Valores!$C$74</f>
        <v>-6564.15846</v>
      </c>
      <c r="AV286" s="125">
        <f>AH286*Valores!$C$75</f>
        <v>-729.3509399999999</v>
      </c>
      <c r="AW286" s="125">
        <f t="shared" si="45"/>
        <v>209080.6028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86345.86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17629.22</v>
      </c>
      <c r="N287" s="125">
        <f t="shared" si="42"/>
        <v>0</v>
      </c>
      <c r="O287" s="125">
        <f>Valores!$C$7*B287</f>
        <v>37066.39</v>
      </c>
      <c r="P287" s="125">
        <f>ROUND(IF(B287&lt;15,(Valores!$E$5*B287),Valores!$D$5),2)</f>
        <v>18023.69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19524.420000000002</v>
      </c>
      <c r="S287" s="125">
        <f>Valores!$C$18*B287</f>
        <v>11657.86</v>
      </c>
      <c r="T287" s="125">
        <f t="shared" si="48"/>
        <v>11657.86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37852.86</v>
      </c>
      <c r="AA287" s="125">
        <f>IF((Valores!$C$28)*B287&gt;Valores!$F$28,Valores!$F$28,(Valores!$C$28)*B287)</f>
        <v>915.74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737.18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16855.75</v>
      </c>
      <c r="AH287" s="125">
        <f t="shared" si="46"/>
        <v>246608.96999999997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0</v>
      </c>
      <c r="AL287" s="125">
        <f>IF($F$3="NO",0,IF(Valores!$C$62*B287&gt;Valores!$F$62,Valores!$F$62,Valores!$C$62*B287))</f>
        <v>0</v>
      </c>
      <c r="AM287" s="125">
        <f t="shared" si="44"/>
        <v>0</v>
      </c>
      <c r="AN287" s="125">
        <f>AH287*Valores!$C$71</f>
        <v>-27126.986699999998</v>
      </c>
      <c r="AO287" s="125">
        <f>AH287*-Valores!$C$72</f>
        <v>0</v>
      </c>
      <c r="AP287" s="125">
        <f>AH287*Valores!$C$73</f>
        <v>-11097.403649999998</v>
      </c>
      <c r="AQ287" s="125">
        <f>Valores!$C$100</f>
        <v>-554.86</v>
      </c>
      <c r="AR287" s="125">
        <f>IF($F$5=0,Valores!$C$101,(Valores!$C$101+$F$5*(Valores!$C$101)))</f>
        <v>-550</v>
      </c>
      <c r="AS287" s="125">
        <f t="shared" si="47"/>
        <v>207279.71964999998</v>
      </c>
      <c r="AT287" s="125">
        <f t="shared" si="41"/>
        <v>-27126.986699999998</v>
      </c>
      <c r="AU287" s="125">
        <f>AH287*Valores!$C$74</f>
        <v>-6658.442189999999</v>
      </c>
      <c r="AV287" s="125">
        <f>AH287*Valores!$C$75</f>
        <v>-739.8269099999999</v>
      </c>
      <c r="AW287" s="125">
        <f t="shared" si="45"/>
        <v>212083.7142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86345.86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17629.22</v>
      </c>
      <c r="N288" s="125">
        <f t="shared" si="42"/>
        <v>0</v>
      </c>
      <c r="O288" s="125">
        <f>Valores!$C$7*B288</f>
        <v>37066.39</v>
      </c>
      <c r="P288" s="125">
        <f>ROUND(IF(B288&lt;15,(Valores!$E$5*B288),Valores!$D$5),2)</f>
        <v>18023.69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19524.420000000002</v>
      </c>
      <c r="S288" s="125">
        <f>Valores!$C$18*B288</f>
        <v>11657.86</v>
      </c>
      <c r="T288" s="125">
        <f t="shared" si="48"/>
        <v>11657.86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37852.86</v>
      </c>
      <c r="AA288" s="125">
        <f>IF((Valores!$C$28)*B288&gt;Valores!$F$28,Valores!$F$28,(Valores!$C$28)*B288)</f>
        <v>915.74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737.18</v>
      </c>
      <c r="AE288" s="192">
        <v>94</v>
      </c>
      <c r="AF288" s="125">
        <f>ROUND(AE288*Valores!$C$2,2)</f>
        <v>3314.21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16855.75</v>
      </c>
      <c r="AH288" s="125">
        <f t="shared" si="46"/>
        <v>249923.17999999996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0</v>
      </c>
      <c r="AL288" s="125">
        <f>IF($F$3="NO",0,IF(Valores!$C$62*B288&gt;Valores!$F$62,Valores!$F$62,Valores!$C$62*B288))</f>
        <v>0</v>
      </c>
      <c r="AM288" s="125">
        <f t="shared" si="44"/>
        <v>0</v>
      </c>
      <c r="AN288" s="125">
        <f>AH288*Valores!$C$71</f>
        <v>-27491.549799999997</v>
      </c>
      <c r="AO288" s="125">
        <f>AH288*-Valores!$C$72</f>
        <v>0</v>
      </c>
      <c r="AP288" s="125">
        <f>AH288*Valores!$C$73</f>
        <v>-11246.543099999997</v>
      </c>
      <c r="AQ288" s="125">
        <f>Valores!$C$100</f>
        <v>-554.86</v>
      </c>
      <c r="AR288" s="125">
        <f>IF($F$5=0,Valores!$C$101,(Valores!$C$101+$F$5*(Valores!$C$101)))</f>
        <v>-550</v>
      </c>
      <c r="AS288" s="125">
        <f t="shared" si="47"/>
        <v>210080.22709999996</v>
      </c>
      <c r="AT288" s="125">
        <f t="shared" si="41"/>
        <v>-27491.549799999997</v>
      </c>
      <c r="AU288" s="125">
        <f>AH288*Valores!$C$74</f>
        <v>-6747.925859999999</v>
      </c>
      <c r="AV288" s="125">
        <f>AH288*Valores!$C$75</f>
        <v>-749.7695399999999</v>
      </c>
      <c r="AW288" s="125">
        <f t="shared" si="45"/>
        <v>214933.93479999996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89131.21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18197.91</v>
      </c>
      <c r="N289" s="125">
        <f t="shared" si="42"/>
        <v>0</v>
      </c>
      <c r="O289" s="125">
        <f>Valores!$C$7*B289</f>
        <v>38262.08</v>
      </c>
      <c r="P289" s="125">
        <f>ROUND(IF(B289&lt;15,(Valores!$E$5*B289),Valores!$D$5),2)</f>
        <v>18023.69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20154.24</v>
      </c>
      <c r="S289" s="125">
        <f>Valores!$C$18*B289</f>
        <v>12033.92</v>
      </c>
      <c r="T289" s="125">
        <f t="shared" si="48"/>
        <v>12033.92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39073.92</v>
      </c>
      <c r="AA289" s="125">
        <f>IF((Valores!$C$28)*B289&gt;Valores!$F$28,Valores!$F$28,(Valores!$C$28)*B289)</f>
        <v>945.28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737.18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16855.75</v>
      </c>
      <c r="AH289" s="125">
        <f t="shared" si="46"/>
        <v>253415.18000000002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0</v>
      </c>
      <c r="AL289" s="125">
        <f>IF($F$3="NO",0,IF(Valores!$C$62*B289&gt;Valores!$F$62,Valores!$F$62,Valores!$C$62*B289))</f>
        <v>0</v>
      </c>
      <c r="AM289" s="125">
        <f t="shared" si="44"/>
        <v>0</v>
      </c>
      <c r="AN289" s="125">
        <f>AH289*Valores!$C$71</f>
        <v>-27875.669800000003</v>
      </c>
      <c r="AO289" s="125">
        <f>AH289*-Valores!$C$72</f>
        <v>0</v>
      </c>
      <c r="AP289" s="125">
        <f>AH289*Valores!$C$73</f>
        <v>-11403.6831</v>
      </c>
      <c r="AQ289" s="125">
        <f>Valores!$C$100</f>
        <v>-554.86</v>
      </c>
      <c r="AR289" s="125">
        <f>IF($F$5=0,Valores!$C$101,(Valores!$C$101+$F$5*(Valores!$C$101)))</f>
        <v>-550</v>
      </c>
      <c r="AS289" s="125">
        <f t="shared" si="47"/>
        <v>213030.9671</v>
      </c>
      <c r="AT289" s="125">
        <f t="shared" si="41"/>
        <v>-27875.669800000003</v>
      </c>
      <c r="AU289" s="125">
        <f>AH289*Valores!$C$74</f>
        <v>-6842.209860000001</v>
      </c>
      <c r="AV289" s="125">
        <f>AH289*Valores!$C$75</f>
        <v>-760.2455400000001</v>
      </c>
      <c r="AW289" s="125">
        <f t="shared" si="45"/>
        <v>217937.0548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89131.21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18197.91</v>
      </c>
      <c r="N290" s="125">
        <f t="shared" si="42"/>
        <v>0</v>
      </c>
      <c r="O290" s="125">
        <f>Valores!$C$7*B290</f>
        <v>38262.08</v>
      </c>
      <c r="P290" s="125">
        <f>ROUND(IF(B290&lt;15,(Valores!$E$5*B290),Valores!$D$5),2)</f>
        <v>18023.69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20154.24</v>
      </c>
      <c r="S290" s="125">
        <f>Valores!$C$18*B290</f>
        <v>12033.92</v>
      </c>
      <c r="T290" s="125">
        <f t="shared" si="48"/>
        <v>12033.92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39073.92</v>
      </c>
      <c r="AA290" s="125">
        <f>IF((Valores!$C$28)*B290&gt;Valores!$F$28,Valores!$F$28,(Valores!$C$28)*B290)</f>
        <v>945.28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737.18</v>
      </c>
      <c r="AE290" s="192">
        <v>94</v>
      </c>
      <c r="AF290" s="125">
        <f>ROUND(AE290*Valores!$C$2,2)</f>
        <v>3314.21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16855.75</v>
      </c>
      <c r="AH290" s="125">
        <f t="shared" si="46"/>
        <v>256729.39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0</v>
      </c>
      <c r="AL290" s="125">
        <f>IF($F$3="NO",0,IF(Valores!$C$62*B290&gt;Valores!$F$62,Valores!$F$62,Valores!$C$62*B290))</f>
        <v>0</v>
      </c>
      <c r="AM290" s="125">
        <f t="shared" si="44"/>
        <v>0</v>
      </c>
      <c r="AN290" s="125">
        <f>AH290*Valores!$C$71</f>
        <v>-28240.232900000003</v>
      </c>
      <c r="AO290" s="125">
        <f>AH290*-Valores!$C$72</f>
        <v>0</v>
      </c>
      <c r="AP290" s="125">
        <f>AH290*Valores!$C$73</f>
        <v>-11552.82255</v>
      </c>
      <c r="AQ290" s="125">
        <f>Valores!$C$100</f>
        <v>-554.86</v>
      </c>
      <c r="AR290" s="125">
        <f>IF($F$5=0,Valores!$C$101,(Valores!$C$101+$F$5*(Valores!$C$101)))</f>
        <v>-550</v>
      </c>
      <c r="AS290" s="125">
        <f t="shared" si="47"/>
        <v>215831.47455</v>
      </c>
      <c r="AT290" s="125">
        <f t="shared" si="41"/>
        <v>-28240.232900000003</v>
      </c>
      <c r="AU290" s="125">
        <f>AH290*Valores!$C$74</f>
        <v>-6931.6935300000005</v>
      </c>
      <c r="AV290" s="125">
        <f>AH290*Valores!$C$75</f>
        <v>-770.18817</v>
      </c>
      <c r="AW290" s="125">
        <f t="shared" si="45"/>
        <v>220787.2754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91916.56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18766.59</v>
      </c>
      <c r="N291" s="125">
        <f t="shared" si="42"/>
        <v>0</v>
      </c>
      <c r="O291" s="125">
        <f>Valores!$C$7*B291</f>
        <v>39457.770000000004</v>
      </c>
      <c r="P291" s="125">
        <f>ROUND(IF(B291&lt;15,(Valores!$E$5*B291),Valores!$D$5),2)</f>
        <v>18023.69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20784.06</v>
      </c>
      <c r="S291" s="125">
        <f>Valores!$C$18*B291</f>
        <v>12409.98</v>
      </c>
      <c r="T291" s="125">
        <f t="shared" si="48"/>
        <v>12409.98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40294.979999999996</v>
      </c>
      <c r="AA291" s="125">
        <f>IF((Valores!$C$28)*B291&gt;Valores!$F$28,Valores!$F$28,(Valores!$C$28)*B291)</f>
        <v>974.8199999999999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737.18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16855.75</v>
      </c>
      <c r="AH291" s="125">
        <f t="shared" si="46"/>
        <v>260221.38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0</v>
      </c>
      <c r="AL291" s="125">
        <f>IF($F$3="NO",0,IF(Valores!$C$62*B291&gt;Valores!$F$62,Valores!$F$62,Valores!$C$62*B291))</f>
        <v>0</v>
      </c>
      <c r="AM291" s="125">
        <f t="shared" si="44"/>
        <v>0</v>
      </c>
      <c r="AN291" s="125">
        <f>AH291*Valores!$C$71</f>
        <v>-28624.3518</v>
      </c>
      <c r="AO291" s="125">
        <f>AH291*-Valores!$C$72</f>
        <v>0</v>
      </c>
      <c r="AP291" s="125">
        <f>AH291*Valores!$C$73</f>
        <v>-11709.9621</v>
      </c>
      <c r="AQ291" s="125">
        <f>Valores!$C$100</f>
        <v>-554.86</v>
      </c>
      <c r="AR291" s="125">
        <f>IF($F$5=0,Valores!$C$101,(Valores!$C$101+$F$5*(Valores!$C$101)))</f>
        <v>-550</v>
      </c>
      <c r="AS291" s="125">
        <f t="shared" si="47"/>
        <v>218782.2061</v>
      </c>
      <c r="AT291" s="125">
        <f t="shared" si="41"/>
        <v>-28624.3518</v>
      </c>
      <c r="AU291" s="125">
        <f>AH291*Valores!$C$74</f>
        <v>-7025.97726</v>
      </c>
      <c r="AV291" s="125">
        <f>AH291*Valores!$C$75</f>
        <v>-780.66414</v>
      </c>
      <c r="AW291" s="125">
        <f t="shared" si="45"/>
        <v>223790.3868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91916.56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18766.59</v>
      </c>
      <c r="N292" s="125">
        <f t="shared" si="42"/>
        <v>0</v>
      </c>
      <c r="O292" s="125">
        <f>Valores!$C$7*B292</f>
        <v>39457.770000000004</v>
      </c>
      <c r="P292" s="125">
        <f>ROUND(IF(B292&lt;15,(Valores!$E$5*B292),Valores!$D$5),2)</f>
        <v>18023.69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20784.06</v>
      </c>
      <c r="S292" s="125">
        <f>Valores!$C$18*B292</f>
        <v>12409.98</v>
      </c>
      <c r="T292" s="125">
        <f t="shared" si="48"/>
        <v>12409.98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40294.979999999996</v>
      </c>
      <c r="AA292" s="125">
        <f>IF((Valores!$C$28)*B292&gt;Valores!$F$28,Valores!$F$28,(Valores!$C$28)*B292)</f>
        <v>974.8199999999999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737.18</v>
      </c>
      <c r="AE292" s="192">
        <v>94</v>
      </c>
      <c r="AF292" s="125">
        <f>ROUND(AE292*Valores!$C$2,2)</f>
        <v>3314.21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16855.75</v>
      </c>
      <c r="AH292" s="125">
        <f t="shared" si="46"/>
        <v>263535.58999999997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0</v>
      </c>
      <c r="AL292" s="125">
        <f>IF($F$3="NO",0,IF(Valores!$C$62*B292&gt;Valores!$F$62,Valores!$F$62,Valores!$C$62*B292))</f>
        <v>0</v>
      </c>
      <c r="AM292" s="125">
        <f t="shared" si="44"/>
        <v>0</v>
      </c>
      <c r="AN292" s="125">
        <f>AH292*Valores!$C$71</f>
        <v>-28988.914899999996</v>
      </c>
      <c r="AO292" s="125">
        <f>AH292*-Valores!$C$72</f>
        <v>0</v>
      </c>
      <c r="AP292" s="125">
        <f>AH292*Valores!$C$73</f>
        <v>-11859.101549999998</v>
      </c>
      <c r="AQ292" s="125">
        <f>Valores!$C$100</f>
        <v>-554.86</v>
      </c>
      <c r="AR292" s="125">
        <f>IF($F$5=0,Valores!$C$101,(Valores!$C$101+$F$5*(Valores!$C$101)))</f>
        <v>-550</v>
      </c>
      <c r="AS292" s="125">
        <f t="shared" si="47"/>
        <v>221582.71355</v>
      </c>
      <c r="AT292" s="125">
        <f t="shared" si="41"/>
        <v>-28988.914899999996</v>
      </c>
      <c r="AU292" s="125">
        <f>AH292*Valores!$C$74</f>
        <v>-7115.460929999999</v>
      </c>
      <c r="AV292" s="125">
        <f>AH292*Valores!$C$75</f>
        <v>-790.6067699999999</v>
      </c>
      <c r="AW292" s="125">
        <f t="shared" si="45"/>
        <v>226640.60739999998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94701.91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19335.27</v>
      </c>
      <c r="N293" s="125">
        <f t="shared" si="42"/>
        <v>0</v>
      </c>
      <c r="O293" s="125">
        <f>Valores!$C$7*B293</f>
        <v>40653.46</v>
      </c>
      <c r="P293" s="125">
        <f>ROUND(IF(B293&lt;15,(Valores!$E$5*B293),Valores!$D$5),2)</f>
        <v>18023.69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21413.88</v>
      </c>
      <c r="S293" s="125">
        <f>Valores!$C$18*B293</f>
        <v>12786.04</v>
      </c>
      <c r="T293" s="125">
        <f t="shared" si="48"/>
        <v>12786.04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41516.04</v>
      </c>
      <c r="AA293" s="125">
        <f>IF((Valores!$C$28)*B293&gt;Valores!$F$28,Valores!$F$28,(Valores!$C$28)*B293)</f>
        <v>1004.36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737.18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16855.75</v>
      </c>
      <c r="AH293" s="125">
        <f t="shared" si="46"/>
        <v>267027.58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0</v>
      </c>
      <c r="AL293" s="125">
        <f>IF($F$3="NO",0,IF(Valores!$C$62*B293&gt;Valores!$F$62,Valores!$F$62,Valores!$C$62*B293))</f>
        <v>0</v>
      </c>
      <c r="AM293" s="125">
        <f t="shared" si="44"/>
        <v>0</v>
      </c>
      <c r="AN293" s="125">
        <f>AH293*Valores!$C$71</f>
        <v>-29373.0338</v>
      </c>
      <c r="AO293" s="125">
        <f>AH293*-Valores!$C$72</f>
        <v>0</v>
      </c>
      <c r="AP293" s="125">
        <f>AH293*Valores!$C$73</f>
        <v>-12016.241100000001</v>
      </c>
      <c r="AQ293" s="125">
        <f>Valores!$C$100</f>
        <v>-554.86</v>
      </c>
      <c r="AR293" s="125">
        <f>IF($F$5=0,Valores!$C$101,(Valores!$C$101+$F$5*(Valores!$C$101)))</f>
        <v>-550</v>
      </c>
      <c r="AS293" s="125">
        <f t="shared" si="47"/>
        <v>224533.4451</v>
      </c>
      <c r="AT293" s="125">
        <f t="shared" si="41"/>
        <v>-29373.0338</v>
      </c>
      <c r="AU293" s="125">
        <f>AH293*Valores!$C$74</f>
        <v>-7209.74466</v>
      </c>
      <c r="AV293" s="125">
        <f>AH293*Valores!$C$75</f>
        <v>-801.0827400000001</v>
      </c>
      <c r="AW293" s="125">
        <f t="shared" si="45"/>
        <v>229643.71880000003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94701.91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19335.27</v>
      </c>
      <c r="N294" s="125">
        <f t="shared" si="42"/>
        <v>0</v>
      </c>
      <c r="O294" s="125">
        <f>Valores!$C$7*B294</f>
        <v>40653.46</v>
      </c>
      <c r="P294" s="125">
        <f>ROUND(IF(B294&lt;15,(Valores!$E$5*B294),Valores!$D$5),2)</f>
        <v>18023.69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21413.88</v>
      </c>
      <c r="S294" s="125">
        <f>Valores!$C$18*B294</f>
        <v>12786.04</v>
      </c>
      <c r="T294" s="125">
        <f t="shared" si="48"/>
        <v>12786.04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41516.04</v>
      </c>
      <c r="AA294" s="125">
        <f>IF((Valores!$C$28)*B294&gt;Valores!$F$28,Valores!$F$28,(Valores!$C$28)*B294)</f>
        <v>1004.36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737.18</v>
      </c>
      <c r="AE294" s="192">
        <v>94</v>
      </c>
      <c r="AF294" s="125">
        <f>ROUND(AE294*Valores!$C$2,2)</f>
        <v>3314.21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16855.75</v>
      </c>
      <c r="AH294" s="125">
        <f t="shared" si="46"/>
        <v>270341.79000000004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0</v>
      </c>
      <c r="AL294" s="125">
        <f>IF($F$3="NO",0,IF(Valores!$C$62*B294&gt;Valores!$F$62,Valores!$F$62,Valores!$C$62*B294))</f>
        <v>0</v>
      </c>
      <c r="AM294" s="125">
        <f t="shared" si="44"/>
        <v>0</v>
      </c>
      <c r="AN294" s="125">
        <f>AH294*Valores!$C$71</f>
        <v>-29737.596900000004</v>
      </c>
      <c r="AO294" s="125">
        <f>AH294*-Valores!$C$72</f>
        <v>0</v>
      </c>
      <c r="AP294" s="125">
        <f>AH294*Valores!$C$73</f>
        <v>-12165.380550000002</v>
      </c>
      <c r="AQ294" s="125">
        <f>Valores!$C$100</f>
        <v>-554.86</v>
      </c>
      <c r="AR294" s="125">
        <f>IF($F$5=0,Valores!$C$101,(Valores!$C$101+$F$5*(Valores!$C$101)))</f>
        <v>-550</v>
      </c>
      <c r="AS294" s="125">
        <f t="shared" si="47"/>
        <v>227333.95255000005</v>
      </c>
      <c r="AT294" s="125">
        <f t="shared" si="41"/>
        <v>-29737.596900000004</v>
      </c>
      <c r="AU294" s="125">
        <f>AH294*Valores!$C$74</f>
        <v>-7299.228330000001</v>
      </c>
      <c r="AV294" s="125">
        <f>AH294*Valores!$C$75</f>
        <v>-811.0253700000002</v>
      </c>
      <c r="AW294" s="125">
        <f t="shared" si="45"/>
        <v>232493.93940000003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97487.26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19880.65</v>
      </c>
      <c r="N295" s="125">
        <f t="shared" si="42"/>
        <v>0</v>
      </c>
      <c r="O295" s="125">
        <f>Valores!$C$7*B295</f>
        <v>41849.15</v>
      </c>
      <c r="P295" s="125">
        <f>ROUND(IF(B295&lt;15,(Valores!$E$5*B295),Valores!$D$5),2)</f>
        <v>18023.69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21888.296021478523</v>
      </c>
      <c r="S295" s="125">
        <f>Valores!$C$18*B295</f>
        <v>13162.1</v>
      </c>
      <c r="T295" s="125">
        <f t="shared" si="48"/>
        <v>13162.1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42737.1</v>
      </c>
      <c r="AA295" s="125">
        <f>IF((Valores!$C$28)*B295&gt;Valores!$F$28,Valores!$F$28,(Valores!$C$28)*B295)</f>
        <v>1033.8999999999999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737.18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16855.75</v>
      </c>
      <c r="AH295" s="125">
        <f t="shared" si="46"/>
        <v>273655.0760214785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0</v>
      </c>
      <c r="AL295" s="125">
        <f>IF($F$3="NO",0,IF(Valores!$C$62*B295&gt;Valores!$F$62,Valores!$F$62,Valores!$C$62*B295))</f>
        <v>0</v>
      </c>
      <c r="AM295" s="125">
        <f t="shared" si="44"/>
        <v>0</v>
      </c>
      <c r="AN295" s="125">
        <f>AH295*Valores!$C$71</f>
        <v>-30102.058362362637</v>
      </c>
      <c r="AO295" s="125">
        <f>AH295*-Valores!$C$72</f>
        <v>0</v>
      </c>
      <c r="AP295" s="125">
        <f>AH295*Valores!$C$73</f>
        <v>-12314.478420966532</v>
      </c>
      <c r="AQ295" s="125">
        <f>Valores!$C$100</f>
        <v>-554.86</v>
      </c>
      <c r="AR295" s="125">
        <f>IF($F$5=0,Valores!$C$101,(Valores!$C$101+$F$5*(Valores!$C$101)))</f>
        <v>-550</v>
      </c>
      <c r="AS295" s="125">
        <f t="shared" si="47"/>
        <v>230133.67923814934</v>
      </c>
      <c r="AT295" s="125">
        <f t="shared" si="41"/>
        <v>-30102.058362362637</v>
      </c>
      <c r="AU295" s="125">
        <f>AH295*Valores!$C$74</f>
        <v>-7388.6870525799195</v>
      </c>
      <c r="AV295" s="125">
        <f>AH295*Valores!$C$75</f>
        <v>-820.9652280644356</v>
      </c>
      <c r="AW295" s="125">
        <f t="shared" si="45"/>
        <v>235343.36537847153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97487.26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19880.65</v>
      </c>
      <c r="N296" s="125">
        <f t="shared" si="42"/>
        <v>0</v>
      </c>
      <c r="O296" s="125">
        <f>Valores!$C$7*B296</f>
        <v>41849.15</v>
      </c>
      <c r="P296" s="125">
        <f>ROUND(IF(B296&lt;15,(Valores!$E$5*B296),Valores!$D$5),2)</f>
        <v>18023.69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21888.296021478523</v>
      </c>
      <c r="S296" s="125">
        <f>Valores!$C$18*B296</f>
        <v>13162.1</v>
      </c>
      <c r="T296" s="125">
        <f t="shared" si="48"/>
        <v>13162.1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42737.1</v>
      </c>
      <c r="AA296" s="125">
        <f>IF((Valores!$C$28)*B296&gt;Valores!$F$28,Valores!$F$28,(Valores!$C$28)*B296)</f>
        <v>1033.8999999999999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737.18</v>
      </c>
      <c r="AE296" s="192">
        <v>94</v>
      </c>
      <c r="AF296" s="125">
        <f>ROUND(AE296*Valores!$C$2,2)</f>
        <v>3314.21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16855.75</v>
      </c>
      <c r="AH296" s="125">
        <f t="shared" si="46"/>
        <v>276969.2860214785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0</v>
      </c>
      <c r="AL296" s="125">
        <f>IF($F$3="NO",0,IF(Valores!$C$62*B296&gt;Valores!$F$62,Valores!$F$62,Valores!$C$62*B296))</f>
        <v>0</v>
      </c>
      <c r="AM296" s="125">
        <f t="shared" si="44"/>
        <v>0</v>
      </c>
      <c r="AN296" s="125">
        <f>AH296*Valores!$C$71</f>
        <v>-30466.621462362633</v>
      </c>
      <c r="AO296" s="125">
        <f>AH296*-Valores!$C$72</f>
        <v>0</v>
      </c>
      <c r="AP296" s="125">
        <f>AH296*Valores!$C$73</f>
        <v>-12463.617870966531</v>
      </c>
      <c r="AQ296" s="125">
        <f>Valores!$C$100</f>
        <v>-554.86</v>
      </c>
      <c r="AR296" s="125">
        <f>IF($F$5=0,Valores!$C$101,(Valores!$C$101+$F$5*(Valores!$C$101)))</f>
        <v>-550</v>
      </c>
      <c r="AS296" s="125">
        <f t="shared" si="47"/>
        <v>232934.18668814932</v>
      </c>
      <c r="AT296" s="125">
        <f t="shared" si="41"/>
        <v>-30466.621462362633</v>
      </c>
      <c r="AU296" s="125">
        <f>AH296*Valores!$C$74</f>
        <v>-7478.170722579919</v>
      </c>
      <c r="AV296" s="125">
        <f>AH296*Valores!$C$75</f>
        <v>-830.9078580644355</v>
      </c>
      <c r="AW296" s="125">
        <f t="shared" si="45"/>
        <v>238193.5859784715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100272.61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20354.86</v>
      </c>
      <c r="N297" s="125">
        <f t="shared" si="42"/>
        <v>0</v>
      </c>
      <c r="O297" s="125">
        <f>Valores!$C$7*B297</f>
        <v>43044.840000000004</v>
      </c>
      <c r="P297" s="125">
        <f>ROUND(IF(B297&lt;15,(Valores!$E$5*B297),Valores!$D$5),2)</f>
        <v>18023.69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21888.296021478523</v>
      </c>
      <c r="S297" s="125">
        <f>Valores!$C$18*B297</f>
        <v>13538.16</v>
      </c>
      <c r="T297" s="125">
        <f t="shared" si="48"/>
        <v>13538.16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43958.159999999996</v>
      </c>
      <c r="AA297" s="125">
        <f>IF((Valores!$C$28)*B297&gt;Valores!$F$28,Valores!$F$28,(Valores!$C$28)*B297)</f>
        <v>1063.44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737.18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16855.75</v>
      </c>
      <c r="AH297" s="125">
        <f t="shared" si="46"/>
        <v>279736.9860214785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0</v>
      </c>
      <c r="AL297" s="125">
        <f>IF($F$3="NO",0,IF(Valores!$C$62*B297&gt;Valores!$F$62,Valores!$F$62,Valores!$C$62*B297))</f>
        <v>0</v>
      </c>
      <c r="AM297" s="125">
        <f t="shared" si="44"/>
        <v>0</v>
      </c>
      <c r="AN297" s="125">
        <f>AH297*Valores!$C$71</f>
        <v>-30771.068462362633</v>
      </c>
      <c r="AO297" s="125">
        <f>AH297*-Valores!$C$72</f>
        <v>0</v>
      </c>
      <c r="AP297" s="125">
        <f>AH297*Valores!$C$73</f>
        <v>-12588.164370966531</v>
      </c>
      <c r="AQ297" s="125">
        <f>Valores!$C$100</f>
        <v>-554.86</v>
      </c>
      <c r="AR297" s="125">
        <f>IF($F$5=0,Valores!$C$101,(Valores!$C$101+$F$5*(Valores!$C$101)))</f>
        <v>-550</v>
      </c>
      <c r="AS297" s="125">
        <f t="shared" si="47"/>
        <v>235272.89318814932</v>
      </c>
      <c r="AT297" s="125">
        <f t="shared" si="41"/>
        <v>-30771.068462362633</v>
      </c>
      <c r="AU297" s="125">
        <f>AH297*Valores!$C$74</f>
        <v>-7552.898622579919</v>
      </c>
      <c r="AV297" s="125">
        <f>AH297*Valores!$C$75</f>
        <v>-839.2109580644354</v>
      </c>
      <c r="AW297" s="125">
        <f t="shared" si="45"/>
        <v>240573.8079784715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100272.61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20354.86</v>
      </c>
      <c r="N298" s="125">
        <f t="shared" si="42"/>
        <v>0</v>
      </c>
      <c r="O298" s="125">
        <f>Valores!$C$7*B298</f>
        <v>43044.840000000004</v>
      </c>
      <c r="P298" s="125">
        <f>ROUND(IF(B298&lt;15,(Valores!$E$5*B298),Valores!$D$5),2)</f>
        <v>18023.69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21888.296021478523</v>
      </c>
      <c r="S298" s="125">
        <f>Valores!$C$18*B298</f>
        <v>13538.16</v>
      </c>
      <c r="T298" s="125">
        <f t="shared" si="48"/>
        <v>13538.16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43958.159999999996</v>
      </c>
      <c r="AA298" s="125">
        <f>IF((Valores!$C$28)*B298&gt;Valores!$F$28,Valores!$F$28,(Valores!$C$28)*B298)</f>
        <v>1063.44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737.18</v>
      </c>
      <c r="AE298" s="192">
        <v>94</v>
      </c>
      <c r="AF298" s="125">
        <f>ROUND(AE298*Valores!$C$2,2)</f>
        <v>3314.21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16855.75</v>
      </c>
      <c r="AH298" s="125">
        <f t="shared" si="46"/>
        <v>283051.1960214785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0</v>
      </c>
      <c r="AL298" s="125">
        <f>IF($F$3="NO",0,IF(Valores!$C$62*B298&gt;Valores!$F$62,Valores!$F$62,Valores!$C$62*B298))</f>
        <v>0</v>
      </c>
      <c r="AM298" s="125">
        <f t="shared" si="44"/>
        <v>0</v>
      </c>
      <c r="AN298" s="125">
        <f>AH298*Valores!$C$71</f>
        <v>-31135.631562362636</v>
      </c>
      <c r="AO298" s="125">
        <f>AH298*-Valores!$C$72</f>
        <v>0</v>
      </c>
      <c r="AP298" s="125">
        <f>AH298*Valores!$C$73</f>
        <v>-12737.303820966532</v>
      </c>
      <c r="AQ298" s="125">
        <f>Valores!$C$100</f>
        <v>-554.86</v>
      </c>
      <c r="AR298" s="125">
        <f>IF($F$5=0,Valores!$C$101,(Valores!$C$101+$F$5*(Valores!$C$101)))</f>
        <v>-550</v>
      </c>
      <c r="AS298" s="125">
        <f t="shared" si="47"/>
        <v>238073.40063814935</v>
      </c>
      <c r="AT298" s="125">
        <f t="shared" si="41"/>
        <v>-31135.631562362636</v>
      </c>
      <c r="AU298" s="125">
        <f>AH298*Valores!$C$74</f>
        <v>-7642.3822925799195</v>
      </c>
      <c r="AV298" s="125">
        <f>AH298*Valores!$C$75</f>
        <v>-849.1535880644356</v>
      </c>
      <c r="AW298" s="125">
        <f t="shared" si="45"/>
        <v>243424.0285784715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2785.35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568.68</v>
      </c>
      <c r="N299" s="125">
        <f t="shared" si="42"/>
        <v>0</v>
      </c>
      <c r="O299" s="125">
        <f>Valores!$C$7*B299</f>
        <v>1195.69</v>
      </c>
      <c r="P299" s="125">
        <f>ROUND(IF(B299&lt;15,(Valores!$E$5*B299),Valores!$D$5),2)</f>
        <v>1201.58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629.82</v>
      </c>
      <c r="S299" s="125">
        <f>Valores!$C$18*B299</f>
        <v>376.06</v>
      </c>
      <c r="T299" s="125">
        <f t="shared" si="48"/>
        <v>376.06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1221.06</v>
      </c>
      <c r="AA299" s="125">
        <f>IF((Valores!$C$28)*B299&gt;Valores!$F$28,Valores!$F$28,(Valores!$C$28)*B299)</f>
        <v>29.54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24.6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561.86</v>
      </c>
      <c r="AH299" s="125">
        <f t="shared" si="46"/>
        <v>8594.24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0</v>
      </c>
      <c r="AL299" s="125">
        <f>IF($F$3="NO",0,IF(Valores!$C$62*B299&gt;Valores!$F$62,Valores!$F$62,Valores!$C$62*B299))</f>
        <v>0</v>
      </c>
      <c r="AM299" s="125">
        <f t="shared" si="44"/>
        <v>0</v>
      </c>
      <c r="AN299" s="125">
        <f>AH299*Valores!$C$71</f>
        <v>-945.3664</v>
      </c>
      <c r="AO299" s="125">
        <f>AH299*-Valores!$C$72</f>
        <v>0</v>
      </c>
      <c r="AP299" s="125">
        <f>AH299*Valores!$C$73</f>
        <v>-386.7408</v>
      </c>
      <c r="AQ299" s="125">
        <f>Valores!$C$100</f>
        <v>-554.86</v>
      </c>
      <c r="AR299" s="125">
        <f>IF($F$5=0,Valores!$C$101,(Valores!$C$101+$F$5*(Valores!$C$101)))</f>
        <v>-550</v>
      </c>
      <c r="AS299" s="125">
        <f t="shared" si="47"/>
        <v>6157.2728</v>
      </c>
      <c r="AT299" s="125">
        <f t="shared" si="41"/>
        <v>-945.3664</v>
      </c>
      <c r="AU299" s="125">
        <f>AH299*Valores!$C$74</f>
        <v>-232.04448</v>
      </c>
      <c r="AV299" s="125">
        <f>AH299*Valores!$C$75</f>
        <v>-25.78272</v>
      </c>
      <c r="AW299" s="125">
        <f t="shared" si="45"/>
        <v>7391.0464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8567.6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2403.16</v>
      </c>
      <c r="Q300" s="125">
        <v>0</v>
      </c>
      <c r="R300" s="125">
        <f>IF($F$4="NO",Valores!C50,Valores!C50/2)</f>
        <v>936.39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2621.44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848.55</v>
      </c>
      <c r="AH300" s="125">
        <f t="shared" si="46"/>
        <v>15377.14</v>
      </c>
      <c r="AI300" s="125">
        <f>Valores!$C$33</f>
        <v>0</v>
      </c>
      <c r="AJ300" s="125">
        <f>Valores!$C$91</f>
        <v>0</v>
      </c>
      <c r="AK300" s="125">
        <f>AK299*2</f>
        <v>0</v>
      </c>
      <c r="AL300" s="125">
        <v>0</v>
      </c>
      <c r="AM300" s="125">
        <f t="shared" si="44"/>
        <v>0</v>
      </c>
      <c r="AN300" s="125">
        <f>AH300*Valores!$C$71</f>
        <v>-1691.4854</v>
      </c>
      <c r="AO300" s="125">
        <f>AH300*-Valores!$C$72</f>
        <v>0</v>
      </c>
      <c r="AP300" s="125">
        <f>AH300*Valores!$C$73</f>
        <v>-691.9712999999999</v>
      </c>
      <c r="AQ300" s="125">
        <f>Valores!$C$100</f>
        <v>-554.86</v>
      </c>
      <c r="AR300" s="125">
        <f>IF($F$5=0,Valores!$C$101,(Valores!$C$101+$F$5*(Valores!$C$101)))</f>
        <v>-550</v>
      </c>
      <c r="AS300" s="125">
        <f t="shared" si="47"/>
        <v>11888.8233</v>
      </c>
      <c r="AT300" s="125">
        <f t="shared" si="41"/>
        <v>-1691.4854</v>
      </c>
      <c r="AU300" s="125">
        <f>AH300*Valores!$C$74</f>
        <v>-415.18278</v>
      </c>
      <c r="AV300" s="125">
        <f>AH300*Valores!$C$75</f>
        <v>-46.13142</v>
      </c>
      <c r="AW300" s="125">
        <f t="shared" si="45"/>
        <v>13224.3404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651</v>
      </c>
      <c r="B301" s="123">
        <v>1</v>
      </c>
      <c r="C301" s="126">
        <v>294</v>
      </c>
      <c r="D301" s="124" t="s">
        <v>652</v>
      </c>
      <c r="E301" s="194">
        <f>E300/2</f>
        <v>121.5</v>
      </c>
      <c r="F301" s="125">
        <f>ROUND(E301*Valores!$C$2,2)</f>
        <v>4283.8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1201.58</v>
      </c>
      <c r="Q301" s="125">
        <v>0</v>
      </c>
      <c r="R301" s="125">
        <f>IF($F$4="NO",Valores!C51,Valores!C51/2)</f>
        <v>468.2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1310.72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424.28</v>
      </c>
      <c r="AH301" s="125">
        <f t="shared" si="46"/>
        <v>7688.58</v>
      </c>
      <c r="AI301" s="125">
        <f>Valores!C34</f>
        <v>0</v>
      </c>
      <c r="AJ301" s="125">
        <f>Valores!$C$92</f>
        <v>0</v>
      </c>
      <c r="AK301" s="125">
        <f>AK300/2</f>
        <v>0</v>
      </c>
      <c r="AL301" s="125">
        <v>0</v>
      </c>
      <c r="AM301" s="125">
        <f t="shared" si="44"/>
        <v>0</v>
      </c>
      <c r="AN301" s="125">
        <f>AH301*Valores!$C$71</f>
        <v>-845.7438</v>
      </c>
      <c r="AO301" s="125">
        <v>0</v>
      </c>
      <c r="AP301" s="125">
        <f>AH301*Valores!$C$73</f>
        <v>-345.98609999999996</v>
      </c>
      <c r="AQ301" s="125">
        <f>Valores!$C$100</f>
        <v>-554.86</v>
      </c>
      <c r="AR301" s="125">
        <f>IF($F$5=0,Valores!$C$101,(Valores!$C$101+$F$5*(Valores!$C$101)))</f>
        <v>-550</v>
      </c>
      <c r="AS301" s="125">
        <f t="shared" si="47"/>
        <v>5391.9901</v>
      </c>
      <c r="AT301" s="125">
        <f>AN301</f>
        <v>-845.7438</v>
      </c>
      <c r="AU301" s="125">
        <f>AH301*Valores!$C$74</f>
        <v>-207.59166</v>
      </c>
      <c r="AV301" s="125">
        <f>AH301*Valores!$C$75</f>
        <v>-23.06574</v>
      </c>
      <c r="AW301" s="125">
        <f t="shared" si="45"/>
        <v>6612.1788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24680.32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5119.14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9447.300000000001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39246.76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-4317.1436</v>
      </c>
      <c r="AO302" s="125">
        <f>AH302*-Valores!$C$72</f>
        <v>0</v>
      </c>
      <c r="AP302" s="125">
        <f>AH302*Valores!$C$73</f>
        <v>-1766.1042</v>
      </c>
      <c r="AQ302" s="125">
        <v>0</v>
      </c>
      <c r="AR302" s="125">
        <v>0</v>
      </c>
      <c r="AS302" s="125">
        <f t="shared" si="47"/>
        <v>33163.512200000005</v>
      </c>
      <c r="AT302" s="125">
        <f t="shared" si="41"/>
        <v>-4317.1436</v>
      </c>
      <c r="AU302" s="125">
        <f>AH302*Valores!$C$74</f>
        <v>-1059.66252</v>
      </c>
      <c r="AV302" s="125">
        <f>AH302*Valores!$C$75</f>
        <v>-117.74028000000001</v>
      </c>
      <c r="AW302" s="125">
        <f t="shared" si="45"/>
        <v>33752.2136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17628.8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3589.05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6298.200000000001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27516.05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-3026.7655</v>
      </c>
      <c r="AO303" s="125">
        <f>AH303*-Valores!$C$72</f>
        <v>0</v>
      </c>
      <c r="AP303" s="125">
        <f>AH303*Valores!$C$73</f>
        <v>-1238.22225</v>
      </c>
      <c r="AQ303" s="125">
        <v>0</v>
      </c>
      <c r="AR303" s="125">
        <v>0</v>
      </c>
      <c r="AS303" s="125">
        <f t="shared" si="47"/>
        <v>23251.06225</v>
      </c>
      <c r="AT303" s="125">
        <f t="shared" si="41"/>
        <v>-3026.7655</v>
      </c>
      <c r="AU303" s="125">
        <f>AH303*Valores!$C$74</f>
        <v>-742.93335</v>
      </c>
      <c r="AV303" s="125">
        <f>AH303*Valores!$C$75</f>
        <v>-82.54814999999999</v>
      </c>
      <c r="AW303" s="125">
        <f t="shared" si="45"/>
        <v>23663.803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10577.28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2058.96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3149.1000000000004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15785.340000000002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-1736.3874000000003</v>
      </c>
      <c r="AO304" s="125">
        <f>AH304*-Valores!$C$72</f>
        <v>0</v>
      </c>
      <c r="AP304" s="125">
        <f>AH304*Valores!$C$73</f>
        <v>-710.3403000000001</v>
      </c>
      <c r="AQ304" s="125">
        <v>0</v>
      </c>
      <c r="AR304" s="125">
        <v>0</v>
      </c>
      <c r="AS304" s="125">
        <f t="shared" si="47"/>
        <v>13338.6123</v>
      </c>
      <c r="AT304" s="125">
        <f t="shared" si="41"/>
        <v>-1736.3874000000003</v>
      </c>
      <c r="AU304" s="125">
        <f>AH304*Valores!$C$74</f>
        <v>-426.20418000000006</v>
      </c>
      <c r="AV304" s="125">
        <f>AH304*Valores!$C$75</f>
        <v>-47.35602000000001</v>
      </c>
      <c r="AW304" s="125">
        <f t="shared" si="45"/>
        <v>13575.3924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5464.93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914.21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629.82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7008.96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-770.9856</v>
      </c>
      <c r="AO305" s="125">
        <f>AH305*-Valores!$C$72</f>
        <v>0</v>
      </c>
      <c r="AP305" s="125">
        <f>AH305*Valores!$C$73</f>
        <v>-315.40319999999997</v>
      </c>
      <c r="AQ305" s="125">
        <v>0</v>
      </c>
      <c r="AR305" s="125">
        <v>0</v>
      </c>
      <c r="AS305" s="125">
        <f t="shared" si="47"/>
        <v>5922.5712</v>
      </c>
      <c r="AT305" s="125">
        <f t="shared" si="41"/>
        <v>-770.9856</v>
      </c>
      <c r="AU305" s="125">
        <f>AH305*Valores!$C$74</f>
        <v>-189.24192</v>
      </c>
      <c r="AV305" s="125">
        <f>AH305*Valores!$C$75</f>
        <v>-21.026880000000002</v>
      </c>
      <c r="AW305" s="125">
        <f t="shared" si="45"/>
        <v>6027.7056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10929.86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1828.43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1259.64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14017.93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-1541.9723000000001</v>
      </c>
      <c r="AO306" s="125">
        <f>AH306*-Valores!$C$72</f>
        <v>0</v>
      </c>
      <c r="AP306" s="125">
        <f>AH306*Valores!$C$73</f>
        <v>-630.8068499999999</v>
      </c>
      <c r="AQ306" s="125">
        <v>0</v>
      </c>
      <c r="AR306" s="125">
        <v>0</v>
      </c>
      <c r="AS306" s="125">
        <f t="shared" si="47"/>
        <v>11845.15085</v>
      </c>
      <c r="AT306" s="125">
        <f t="shared" si="41"/>
        <v>-1541.9723000000001</v>
      </c>
      <c r="AU306" s="125">
        <f>AH306*Valores!$C$74</f>
        <v>-378.48411</v>
      </c>
      <c r="AV306" s="125">
        <f>AH306*Valores!$C$75</f>
        <v>-42.05379</v>
      </c>
      <c r="AW306" s="125">
        <f t="shared" si="45"/>
        <v>12055.4198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16394.78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2742.64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1889.46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21026.879999999997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-2312.9568</v>
      </c>
      <c r="AO307" s="125">
        <f>AH307*-Valores!$C$72</f>
        <v>0</v>
      </c>
      <c r="AP307" s="125">
        <f>AH307*Valores!$C$73</f>
        <v>-946.2095999999998</v>
      </c>
      <c r="AQ307" s="125">
        <v>0</v>
      </c>
      <c r="AR307" s="125">
        <v>0</v>
      </c>
      <c r="AS307" s="125">
        <f t="shared" si="47"/>
        <v>17767.7136</v>
      </c>
      <c r="AT307" s="125">
        <f t="shared" si="41"/>
        <v>-2312.9568</v>
      </c>
      <c r="AU307" s="125">
        <f>AH307*Valores!$C$74</f>
        <v>-567.7257599999999</v>
      </c>
      <c r="AV307" s="125">
        <f>AH307*Valores!$C$75</f>
        <v>-63.080639999999995</v>
      </c>
      <c r="AW307" s="125">
        <f t="shared" si="45"/>
        <v>18083.116799999996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21859.71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3656.85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2519.28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28035.839999999997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-3083.9423999999995</v>
      </c>
      <c r="AO308" s="125">
        <f>AH308*-Valores!$C$72</f>
        <v>0</v>
      </c>
      <c r="AP308" s="125">
        <f>AH308*Valores!$C$73</f>
        <v>-1261.6127999999999</v>
      </c>
      <c r="AQ308" s="125">
        <v>0</v>
      </c>
      <c r="AR308" s="125">
        <v>0</v>
      </c>
      <c r="AS308" s="125">
        <f t="shared" si="47"/>
        <v>23690.284799999998</v>
      </c>
      <c r="AT308" s="125">
        <f t="shared" si="41"/>
        <v>-3083.9423999999995</v>
      </c>
      <c r="AU308" s="125">
        <f>AH308*Valores!$C$74</f>
        <v>-756.9676799999999</v>
      </c>
      <c r="AV308" s="125">
        <f>AH308*Valores!$C$75</f>
        <v>-84.10752</v>
      </c>
      <c r="AW308" s="125">
        <f t="shared" si="45"/>
        <v>24110.822399999997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27324.64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4571.06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3149.1000000000004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35044.8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-3854.9280000000003</v>
      </c>
      <c r="AO309" s="125">
        <f>AH309*-Valores!$C$72</f>
        <v>0</v>
      </c>
      <c r="AP309" s="125">
        <f>AH309*Valores!$C$73</f>
        <v>-1577.016</v>
      </c>
      <c r="AQ309" s="125">
        <v>0</v>
      </c>
      <c r="AR309" s="125">
        <v>0</v>
      </c>
      <c r="AS309" s="125">
        <f t="shared" si="47"/>
        <v>29612.856000000003</v>
      </c>
      <c r="AT309" s="125">
        <f t="shared" si="41"/>
        <v>-3854.9280000000003</v>
      </c>
      <c r="AU309" s="125">
        <f>AH309*Valores!$C$74</f>
        <v>-946.2096</v>
      </c>
      <c r="AV309" s="125">
        <f>AH309*Valores!$C$75</f>
        <v>-105.13440000000001</v>
      </c>
      <c r="AW309" s="125">
        <f t="shared" si="45"/>
        <v>30138.528000000002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32789.57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5485.27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3778.92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42053.759999999995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-4625.9136</v>
      </c>
      <c r="AO310" s="125">
        <f>AH310*-Valores!$C$72</f>
        <v>0</v>
      </c>
      <c r="AP310" s="125">
        <f>AH310*Valores!$C$73</f>
        <v>-1892.4191999999996</v>
      </c>
      <c r="AQ310" s="125">
        <v>0</v>
      </c>
      <c r="AR310" s="125">
        <v>0</v>
      </c>
      <c r="AS310" s="125">
        <f t="shared" si="47"/>
        <v>35535.4272</v>
      </c>
      <c r="AT310" s="125">
        <f t="shared" si="41"/>
        <v>-4625.9136</v>
      </c>
      <c r="AU310" s="125">
        <f>AH310*Valores!$C$74</f>
        <v>-1135.4515199999998</v>
      </c>
      <c r="AV310" s="125">
        <f>AH310*Valores!$C$75</f>
        <v>-126.16127999999999</v>
      </c>
      <c r="AW310" s="125">
        <f t="shared" si="45"/>
        <v>36166.23359999999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38254.5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6399.49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4408.740000000001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49062.729999999996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-5396.900299999999</v>
      </c>
      <c r="AO311" s="125">
        <f>AH311*-Valores!$C$72</f>
        <v>0</v>
      </c>
      <c r="AP311" s="125">
        <f>AH311*Valores!$C$73</f>
        <v>-2207.8228499999996</v>
      </c>
      <c r="AQ311" s="125">
        <v>0</v>
      </c>
      <c r="AR311" s="125">
        <v>0</v>
      </c>
      <c r="AS311" s="125">
        <f t="shared" si="47"/>
        <v>41458.00685</v>
      </c>
      <c r="AT311" s="125">
        <f t="shared" si="41"/>
        <v>-5396.900299999999</v>
      </c>
      <c r="AU311" s="125">
        <f>AH311*Valores!$C$74</f>
        <v>-1324.6937099999998</v>
      </c>
      <c r="AV311" s="125">
        <f>AH311*Valores!$C$75</f>
        <v>-147.18819</v>
      </c>
      <c r="AW311" s="125">
        <f t="shared" si="45"/>
        <v>42193.947799999994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43719.42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7313.7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5038.56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56071.67999999999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-6167.884799999999</v>
      </c>
      <c r="AO312" s="125">
        <f>AH312*-Valores!$C$72</f>
        <v>0</v>
      </c>
      <c r="AP312" s="125">
        <f>AH312*Valores!$C$73</f>
        <v>-2523.2255999999998</v>
      </c>
      <c r="AQ312" s="125">
        <v>0</v>
      </c>
      <c r="AR312" s="125">
        <v>0</v>
      </c>
      <c r="AS312" s="125">
        <f t="shared" si="47"/>
        <v>47380.569599999995</v>
      </c>
      <c r="AT312" s="125">
        <f t="shared" si="41"/>
        <v>-6167.884799999999</v>
      </c>
      <c r="AU312" s="125">
        <f>AH312*Valores!$C$74</f>
        <v>-1513.9353599999997</v>
      </c>
      <c r="AV312" s="125">
        <f>AH312*Valores!$C$75</f>
        <v>-168.21504</v>
      </c>
      <c r="AW312" s="125">
        <f t="shared" si="45"/>
        <v>48221.644799999995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49184.35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8227.91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5668.38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63080.63999999999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-6938.870399999999</v>
      </c>
      <c r="AO313" s="125">
        <f>AH313*-Valores!$C$72</f>
        <v>0</v>
      </c>
      <c r="AP313" s="125">
        <f>AH313*Valores!$C$73</f>
        <v>-2838.6287999999995</v>
      </c>
      <c r="AQ313" s="125">
        <v>0</v>
      </c>
      <c r="AR313" s="125">
        <v>0</v>
      </c>
      <c r="AS313" s="125">
        <f t="shared" si="47"/>
        <v>53303.140799999994</v>
      </c>
      <c r="AT313" s="125">
        <f t="shared" si="41"/>
        <v>-6938.870399999999</v>
      </c>
      <c r="AU313" s="125">
        <f>AH313*Valores!$C$74</f>
        <v>-1703.1772799999997</v>
      </c>
      <c r="AV313" s="125">
        <f>AH313*Valores!$C$75</f>
        <v>-189.24192</v>
      </c>
      <c r="AW313" s="125">
        <f t="shared" si="45"/>
        <v>54249.350399999996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54649.28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9142.12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6298.200000000001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70089.6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-7709.856000000001</v>
      </c>
      <c r="AO314" s="125">
        <f>AH314*-Valores!$C$72</f>
        <v>0</v>
      </c>
      <c r="AP314" s="125">
        <f>AH314*Valores!$C$73</f>
        <v>-3154.032</v>
      </c>
      <c r="AQ314" s="125">
        <v>0</v>
      </c>
      <c r="AR314" s="125">
        <v>0</v>
      </c>
      <c r="AS314" s="125">
        <f t="shared" si="47"/>
        <v>59225.71200000001</v>
      </c>
      <c r="AT314" s="125">
        <f t="shared" si="41"/>
        <v>-7709.856000000001</v>
      </c>
      <c r="AU314" s="125">
        <f>AH314*Valores!$C$74</f>
        <v>-1892.4192</v>
      </c>
      <c r="AV314" s="125">
        <f>AH314*Valores!$C$75</f>
        <v>-210.26880000000003</v>
      </c>
      <c r="AW314" s="125">
        <f t="shared" si="45"/>
        <v>60277.056000000004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60114.21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10056.33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6928.02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77098.56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-8480.8416</v>
      </c>
      <c r="AO315" s="125">
        <f>AH315*-Valores!$C$72</f>
        <v>0</v>
      </c>
      <c r="AP315" s="125">
        <f>AH315*Valores!$C$73</f>
        <v>-3469.4352</v>
      </c>
      <c r="AQ315" s="125">
        <v>0</v>
      </c>
      <c r="AR315" s="125">
        <v>0</v>
      </c>
      <c r="AS315" s="125">
        <f t="shared" si="47"/>
        <v>65148.2832</v>
      </c>
      <c r="AT315" s="125">
        <f t="shared" si="41"/>
        <v>-8480.8416</v>
      </c>
      <c r="AU315" s="125">
        <f>AH315*Valores!$C$74</f>
        <v>-2081.6611199999998</v>
      </c>
      <c r="AV315" s="125">
        <f>AH315*Valores!$C$75</f>
        <v>-231.29568</v>
      </c>
      <c r="AW315" s="125">
        <f t="shared" si="45"/>
        <v>66304.7616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65579.14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10970.55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7557.84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84107.53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-9251.8283</v>
      </c>
      <c r="AO316" s="125">
        <f>AH316*-Valores!$C$72</f>
        <v>0</v>
      </c>
      <c r="AP316" s="125">
        <f>AH316*Valores!$C$73</f>
        <v>-3784.8388499999996</v>
      </c>
      <c r="AQ316" s="125">
        <v>0</v>
      </c>
      <c r="AR316" s="125">
        <v>0</v>
      </c>
      <c r="AS316" s="125">
        <f t="shared" si="47"/>
        <v>71070.86285</v>
      </c>
      <c r="AT316" s="125">
        <f t="shared" si="41"/>
        <v>-9251.8283</v>
      </c>
      <c r="AU316" s="125">
        <f>AH316*Valores!$C$74</f>
        <v>-2270.90331</v>
      </c>
      <c r="AV316" s="125">
        <f>AH316*Valores!$C$75</f>
        <v>-252.32259</v>
      </c>
      <c r="AW316" s="125">
        <f t="shared" si="45"/>
        <v>72332.4758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71044.06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11884.76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8187.660000000001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91116.48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-10022.8128</v>
      </c>
      <c r="AO317" s="125">
        <f>AH317*-Valores!$C$72</f>
        <v>0</v>
      </c>
      <c r="AP317" s="125">
        <f>AH317*Valores!$C$73</f>
        <v>-4100.241599999999</v>
      </c>
      <c r="AQ317" s="125">
        <v>0</v>
      </c>
      <c r="AR317" s="125">
        <v>0</v>
      </c>
      <c r="AS317" s="125">
        <f t="shared" si="47"/>
        <v>76993.4256</v>
      </c>
      <c r="AT317" s="125">
        <f t="shared" si="41"/>
        <v>-10022.8128</v>
      </c>
      <c r="AU317" s="125">
        <f>AH317*Valores!$C$74</f>
        <v>-2460.14496</v>
      </c>
      <c r="AV317" s="125">
        <f>AH317*Valores!$C$75</f>
        <v>-273.34944</v>
      </c>
      <c r="AW317" s="125">
        <f t="shared" si="45"/>
        <v>78360.1728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76508.99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12798.97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8817.480000000001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98125.44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-10793.7984</v>
      </c>
      <c r="AO318" s="125">
        <f>AH318*-Valores!$C$72</f>
        <v>0</v>
      </c>
      <c r="AP318" s="125">
        <f>AH318*Valores!$C$73</f>
        <v>-4415.6448</v>
      </c>
      <c r="AQ318" s="125">
        <v>0</v>
      </c>
      <c r="AR318" s="125">
        <v>0</v>
      </c>
      <c r="AS318" s="125">
        <f t="shared" si="47"/>
        <v>82915.99680000001</v>
      </c>
      <c r="AT318" s="125">
        <f t="shared" si="41"/>
        <v>-10793.7984</v>
      </c>
      <c r="AU318" s="125">
        <f>AH318*Valores!$C$74</f>
        <v>-2649.38688</v>
      </c>
      <c r="AV318" s="125">
        <f>AH318*Valores!$C$75</f>
        <v>-294.37632</v>
      </c>
      <c r="AW318" s="125">
        <f t="shared" si="45"/>
        <v>84387.8784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81973.92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13713.18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9447.300000000001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105134.40000000001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-11564.784000000001</v>
      </c>
      <c r="AO319" s="125">
        <f>AH319*-Valores!$C$72</f>
        <v>0</v>
      </c>
      <c r="AP319" s="125">
        <f>AH319*Valores!$C$73</f>
        <v>-4731.048</v>
      </c>
      <c r="AQ319" s="125">
        <v>0</v>
      </c>
      <c r="AR319" s="125">
        <v>0</v>
      </c>
      <c r="AS319" s="125">
        <f t="shared" si="47"/>
        <v>88838.568</v>
      </c>
      <c r="AT319" s="125">
        <f t="shared" si="41"/>
        <v>-11564.784000000001</v>
      </c>
      <c r="AU319" s="125">
        <f>AH319*Valores!$C$74</f>
        <v>-2838.6288000000004</v>
      </c>
      <c r="AV319" s="125">
        <f>AH319*Valores!$C$75</f>
        <v>-315.4032</v>
      </c>
      <c r="AW319" s="125">
        <f t="shared" si="45"/>
        <v>90415.584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87438.85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14627.4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10077.12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112143.37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-12335.7707</v>
      </c>
      <c r="AO320" s="125">
        <f>AH320*-Valores!$C$72</f>
        <v>0</v>
      </c>
      <c r="AP320" s="125">
        <f>AH320*Valores!$C$73</f>
        <v>-5046.45165</v>
      </c>
      <c r="AQ320" s="125">
        <v>0</v>
      </c>
      <c r="AR320" s="125">
        <v>0</v>
      </c>
      <c r="AS320" s="125">
        <f t="shared" si="47"/>
        <v>94761.14765</v>
      </c>
      <c r="AT320" s="125">
        <f t="shared" si="41"/>
        <v>-12335.7707</v>
      </c>
      <c r="AU320" s="125">
        <f>AH320*Valores!$C$74</f>
        <v>-3027.87099</v>
      </c>
      <c r="AV320" s="125">
        <f>AH320*Valores!$C$75</f>
        <v>-336.43011</v>
      </c>
      <c r="AW320" s="125">
        <f t="shared" si="45"/>
        <v>96443.29819999999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9695.84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936.39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2621.44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848.55</v>
      </c>
      <c r="AH321" s="125">
        <f t="shared" si="46"/>
        <v>14102.22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-1551.2441999999999</v>
      </c>
      <c r="AO321" s="125">
        <f>AH321*-Valores!$C$72</f>
        <v>0</v>
      </c>
      <c r="AP321" s="125">
        <f>AH321*Valores!$C$73</f>
        <v>-634.5998999999999</v>
      </c>
      <c r="AQ321" s="125">
        <v>0</v>
      </c>
      <c r="AR321" s="125">
        <v>0</v>
      </c>
      <c r="AS321" s="125">
        <f t="shared" si="47"/>
        <v>11916.3759</v>
      </c>
      <c r="AT321" s="125">
        <f t="shared" si="41"/>
        <v>-1551.2441999999999</v>
      </c>
      <c r="AU321" s="125">
        <f>AH321*Valores!$C$74</f>
        <v>-380.75994</v>
      </c>
      <c r="AV321" s="125">
        <f>AH321*Valores!$C$75</f>
        <v>-42.30666</v>
      </c>
      <c r="AW321" s="125">
        <f t="shared" si="45"/>
        <v>12127.9092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8638.11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936.39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2621.44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848.55</v>
      </c>
      <c r="AH322" s="125">
        <f t="shared" si="46"/>
        <v>13044.49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-1434.8939</v>
      </c>
      <c r="AO322" s="125">
        <f>AH322*-Valores!$C$72</f>
        <v>0</v>
      </c>
      <c r="AP322" s="125">
        <f>AH322*Valores!$C$73</f>
        <v>-587.0020499999999</v>
      </c>
      <c r="AQ322" s="125">
        <v>0</v>
      </c>
      <c r="AR322" s="125">
        <v>0</v>
      </c>
      <c r="AS322" s="125">
        <f t="shared" si="47"/>
        <v>11022.59405</v>
      </c>
      <c r="AT322" s="125">
        <f t="shared" si="41"/>
        <v>-1434.8939</v>
      </c>
      <c r="AU322" s="125">
        <f>AH322*Valores!$C$74</f>
        <v>-352.20123</v>
      </c>
      <c r="AV322" s="125">
        <f>AH322*Valores!$C$75</f>
        <v>-39.13347</v>
      </c>
      <c r="AW322" s="125">
        <f t="shared" si="45"/>
        <v>11218.2614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8391.31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936.39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2621.44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848.55</v>
      </c>
      <c r="AH323" s="125">
        <f t="shared" si="46"/>
        <v>12797.689999999999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-1407.7459</v>
      </c>
      <c r="AO323" s="125">
        <f>AH323*-Valores!$C$72</f>
        <v>0</v>
      </c>
      <c r="AP323" s="125">
        <f>AH323*Valores!$C$73</f>
        <v>-575.89605</v>
      </c>
      <c r="AQ323" s="125">
        <v>0</v>
      </c>
      <c r="AR323" s="125">
        <v>0</v>
      </c>
      <c r="AS323" s="125">
        <f t="shared" si="47"/>
        <v>10814.04805</v>
      </c>
      <c r="AT323" s="125">
        <f t="shared" si="41"/>
        <v>-1407.7459</v>
      </c>
      <c r="AU323" s="125">
        <f>AH323*Valores!$C$74</f>
        <v>-345.53763</v>
      </c>
      <c r="AV323" s="125">
        <f>AH323*Valores!$C$75</f>
        <v>-38.393069999999994</v>
      </c>
      <c r="AW323" s="125">
        <f t="shared" si="45"/>
        <v>11006.013399999998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8638.11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936.39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2621.44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848.55</v>
      </c>
      <c r="AH324" s="125">
        <f t="shared" si="46"/>
        <v>13044.49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-1434.8939</v>
      </c>
      <c r="AO324" s="125">
        <f>AH324*-Valores!$C$72</f>
        <v>0</v>
      </c>
      <c r="AP324" s="125">
        <f>AH324*Valores!$C$73</f>
        <v>-587.0020499999999</v>
      </c>
      <c r="AQ324" s="125">
        <v>0</v>
      </c>
      <c r="AR324" s="125">
        <v>0</v>
      </c>
      <c r="AS324" s="125">
        <f t="shared" si="47"/>
        <v>11022.59405</v>
      </c>
      <c r="AT324" s="125">
        <f t="shared" si="41"/>
        <v>-1434.8939</v>
      </c>
      <c r="AU324" s="125">
        <f>AH324*Valores!$C$74</f>
        <v>-352.20123</v>
      </c>
      <c r="AV324" s="125">
        <f>AH324*Valores!$C$75</f>
        <v>-39.13347</v>
      </c>
      <c r="AW324" s="125">
        <f t="shared" si="45"/>
        <v>11218.2614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8567.6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936.39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2621.44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848.55</v>
      </c>
      <c r="AH325" s="125">
        <f t="shared" si="46"/>
        <v>12973.98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-1427.1378</v>
      </c>
      <c r="AO325" s="125">
        <f>AH325*-Valores!$C$72</f>
        <v>0</v>
      </c>
      <c r="AP325" s="125">
        <f>AH325*Valores!$C$73</f>
        <v>-583.8290999999999</v>
      </c>
      <c r="AQ325" s="125">
        <v>0</v>
      </c>
      <c r="AR325" s="125">
        <v>0</v>
      </c>
      <c r="AS325" s="125">
        <f t="shared" si="47"/>
        <v>10963.0131</v>
      </c>
      <c r="AT325" s="125">
        <f t="shared" si="41"/>
        <v>-1427.1378</v>
      </c>
      <c r="AU325" s="125">
        <f>AH325*Valores!$C$74</f>
        <v>-350.29746</v>
      </c>
      <c r="AV325" s="125">
        <f>AH325*Valores!$C$75</f>
        <v>-38.92194</v>
      </c>
      <c r="AW325" s="125">
        <f t="shared" si="45"/>
        <v>11157.6228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8285.54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936.39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2621.44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848.55</v>
      </c>
      <c r="AH326" s="125">
        <f t="shared" si="46"/>
        <v>12691.92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-1396.1112</v>
      </c>
      <c r="AO326" s="125">
        <f>AH326*-Valores!$C$72</f>
        <v>0</v>
      </c>
      <c r="AP326" s="125">
        <f>AH326*Valores!$C$73</f>
        <v>-571.1364</v>
      </c>
      <c r="AQ326" s="125">
        <v>0</v>
      </c>
      <c r="AR326" s="125">
        <v>0</v>
      </c>
      <c r="AS326" s="125">
        <f t="shared" si="47"/>
        <v>10724.6724</v>
      </c>
      <c r="AT326" s="125">
        <f>AN326</f>
        <v>-1396.1112</v>
      </c>
      <c r="AU326" s="125">
        <f>AH326*Valores!$C$74</f>
        <v>-342.68184</v>
      </c>
      <c r="AV326" s="125">
        <f>AH326*Valores!$C$75</f>
        <v>-38.07576</v>
      </c>
      <c r="AW326" s="125">
        <f t="shared" si="45"/>
        <v>10915.0512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5">
    <mergeCell ref="AN5:AS5"/>
    <mergeCell ref="AT5:AW5"/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660</v>
      </c>
      <c r="B1" t="s">
        <v>661</v>
      </c>
      <c r="C1" t="s">
        <v>76</v>
      </c>
      <c r="D1" t="s">
        <v>691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693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701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697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698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699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700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702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703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704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705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706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707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709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708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710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711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712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713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714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715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716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717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718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719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720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721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722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723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724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725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726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727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728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729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730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731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732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733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734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735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736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737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738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739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740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741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742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743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744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745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746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747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748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749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750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751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752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753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754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755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756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757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758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759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760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761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762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763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764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765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766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767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768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769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770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771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772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773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774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775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776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777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778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779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780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781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782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783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787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785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784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788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786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789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790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791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792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793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794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795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796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797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798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799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800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801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802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803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804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652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663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692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687</v>
      </c>
      <c r="B3" s="204" t="s">
        <v>690</v>
      </c>
      <c r="E3" s="206" t="s">
        <v>805</v>
      </c>
      <c r="F3" s="207"/>
      <c r="G3" s="206" t="s">
        <v>806</v>
      </c>
      <c r="H3" s="207"/>
      <c r="I3" s="206" t="s">
        <v>807</v>
      </c>
      <c r="J3" s="207"/>
      <c r="K3" s="206" t="s">
        <v>694</v>
      </c>
    </row>
    <row r="4" spans="2:11" ht="12.75" hidden="1">
      <c r="B4" t="s">
        <v>689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687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664</v>
      </c>
      <c r="C6" s="8">
        <v>0</v>
      </c>
      <c r="D6" s="209">
        <f>_xlfn.IFNA(VLOOKUP(E$4,'Escala Docente'!$C$8:$AW$326,4,FALSE),0)</f>
        <v>8356.05</v>
      </c>
      <c r="E6" s="203">
        <f>ROUND(D6*E$1/30,2)</f>
        <v>8356.05</v>
      </c>
      <c r="F6" s="209">
        <f>_xlfn.IFNA(VLOOKUP(G$4,'Escala Docente'!$C$8:$AW$326,4,FALSE),0)</f>
        <v>34235.13</v>
      </c>
      <c r="G6" s="203">
        <f>ROUND(F6*G$1/30,2)</f>
        <v>34235.13</v>
      </c>
      <c r="H6" s="209">
        <f>_xlfn.IFNA(VLOOKUP(I$4,'Escala Docente'!$C$8:$AW$326,4,FALSE),0)</f>
        <v>87438.85</v>
      </c>
      <c r="I6" s="203">
        <f>ROUND(H6*I$1/30,2)</f>
        <v>87438.85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665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666</v>
      </c>
      <c r="C8" s="8">
        <f>Valores!F96</f>
        <v>52428.78</v>
      </c>
      <c r="D8" s="209">
        <f>_xlfn.IFNA(VLOOKUP(E$4,'Escala Docente'!$C$8:$AW$326,24,FALSE),0)</f>
        <v>3663.18</v>
      </c>
      <c r="E8" s="203">
        <f>IF((ROUND(D8*E$1/30,2)+(ROUND(F8*$G$1/30,2))+ROUND(H8*$I$1/30,2)+ROUND(J8*$K$1/30,2))&gt;C8,C8,(ROUND(D8*E$1/30,2)+ROUND(F8*$G$1/30,2)+ROUND(H8*$I$1/30,2)+ROUND(J8*$K$1/30,2)))</f>
        <v>29877.57</v>
      </c>
      <c r="F8" s="209">
        <f>_xlfn.IFNA(VLOOKUP(G$4,'Escala Docente'!$C$8:$AW$326,24,FALSE),0)</f>
        <v>26214.39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667</v>
      </c>
      <c r="C9" s="8">
        <v>0</v>
      </c>
      <c r="D9" s="209">
        <f>_xlfn.IFNA(VLOOKUP(E$4,'Escala Docente'!$C$8:$AW$326,13,FALSE),0)</f>
        <v>3587.07</v>
      </c>
      <c r="E9" s="203">
        <f>ROUND(D9*E$1/30,2)</f>
        <v>3587.07</v>
      </c>
      <c r="F9" s="209">
        <f>_xlfn.IFNA(VLOOKUP(G$4,'Escala Docente'!$C$8:$AW$326,13,FALSE),0)</f>
        <v>30467.13</v>
      </c>
      <c r="G9" s="203">
        <f>ROUND(F9*G$1/30,2)</f>
        <v>30467.13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668</v>
      </c>
      <c r="C10" s="8">
        <f>IF('Escala Docente'!$F$4="NO",Valores!F46,Valores!F46/2)</f>
        <v>21888.296021478523</v>
      </c>
      <c r="D10" s="209">
        <f>_xlfn.IFNA(VLOOKUP(E$4,'Escala Docente'!$C$8:$AW$326,16,FALSE),0)</f>
        <v>1889.46</v>
      </c>
      <c r="E10" s="203">
        <f>IF((ROUND(D10*E$1/30,2)+(ROUND(F10*$G$1/30,2))+ROUND(H10*$I$1/30,2)+ROUND(J10*$K$1/30,2))&gt;C10,C10,(ROUND(D10*E$1/30,2)+ROUND(F10*$G$1/30,2)+ROUND(H10*$I$1/30,2)+ROUND(J10*$K$1/30,2)))</f>
        <v>21888.296021478523</v>
      </c>
      <c r="F10" s="209">
        <f>_xlfn.IFNA(VLOOKUP(G$4,'Escala Docente'!$C$8:$AW$326,16,FALSE),0)</f>
        <v>11815.4</v>
      </c>
      <c r="G10" s="203">
        <f>IF($E10&gt;0,0,ROUND($F10*G$1/30,2))</f>
        <v>0</v>
      </c>
      <c r="H10" s="209">
        <f>_xlfn.IFNA(VLOOKUP(I$4,'Escala Docente'!$C$8:$AW$326,16,FALSE),0)</f>
        <v>10077.12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669</v>
      </c>
      <c r="C11" s="8">
        <f>Valores!F26</f>
        <v>737.18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670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682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14966.19</v>
      </c>
      <c r="G13" s="203">
        <f>ROUND(F13*G$1/30,2)</f>
        <v>14966.19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671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672</v>
      </c>
      <c r="C15" s="8">
        <f>Valores!D5</f>
        <v>18023.69</v>
      </c>
      <c r="D15" s="209">
        <f>_xlfn.IFNA(VLOOKUP(E$4,'Escala Docente'!$C$8:$AW$326,14,FALSE),0)</f>
        <v>3604.74</v>
      </c>
      <c r="E15" s="203">
        <f>IF((ROUND(D15*E$1/30,2)+(ROUND(F15*$G$1/30,2))+ROUND(H15*$I$1/30,2)+ROUND(J15*$K$1/30,2))&gt;C15,C15,(ROUND(D15*E$1/30,2)+ROUND(F15*$G$1/30,2)+ROUND(H15*$I$1/30,2)+ROUND(J15*$K$1/30,2)))</f>
        <v>18023.69</v>
      </c>
      <c r="F15" s="209">
        <f>_xlfn.IFNA(VLOOKUP(G$4,'Escala Docente'!$C$8:$AW$326,14,FALSE),0)</f>
        <v>18023.69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673</v>
      </c>
      <c r="C16" s="8">
        <f>Valores!F25</f>
        <v>1105.77</v>
      </c>
      <c r="D16" s="209">
        <f>_xlfn.IFNA(VLOOKUP(E$4,'Escala Docente'!$C$8:$AW$326,25,FALSE),0)</f>
        <v>88.62</v>
      </c>
      <c r="E16" s="203">
        <f>ROUND(D16*E$1/30,2)</f>
        <v>88.62</v>
      </c>
      <c r="F16" s="209">
        <f>_xlfn.IFNA(VLOOKUP(G$4,'Escala Docente'!$C$8:$AW$326,25,FALSE),0)</f>
        <v>737.18</v>
      </c>
      <c r="G16" s="203">
        <f>IF(E16&gt;=C16,0,IF((F16*G$1/30)&gt;(E16-C16),F16*G$1/30,E16-C16))</f>
        <v>737.18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686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685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674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681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675</v>
      </c>
      <c r="C21" s="8">
        <v>0</v>
      </c>
      <c r="D21" s="209">
        <f>_xlfn.IFNA(VLOOKUP(E$4,'Escala Docente'!$C$8:$AW$326,18,FALSE),0)</f>
        <v>1128.18</v>
      </c>
      <c r="E21" s="203">
        <f>ROUND(D21*E$1/30,2)</f>
        <v>1128.18</v>
      </c>
      <c r="F21" s="209">
        <f>_xlfn.IFNA(VLOOKUP(G$4,'Escala Docente'!$C$8:$AW$326,18,FALSE),0)</f>
        <v>16771.31</v>
      </c>
      <c r="G21" s="203">
        <f>ROUND(F21*G$1/30,2)</f>
        <v>16771.31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679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684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695</v>
      </c>
      <c r="C24" s="8">
        <f>Valores!F38</f>
        <v>0</v>
      </c>
      <c r="D24" s="209">
        <f>_xlfn.IFNA(VLOOKUP(E$4,'Escala Docente'!$C$8:$AW$326,35,FALSE),0)</f>
        <v>0</v>
      </c>
      <c r="E24" s="203">
        <f>ROUND(D24*E$1/30,2)</f>
        <v>0</v>
      </c>
      <c r="F24" s="209">
        <f>_xlfn.IFNA(VLOOKUP(G$4,'Escala Docente'!$C$8:$AW$326,35,FALSE),0)</f>
        <v>0</v>
      </c>
      <c r="G24" s="203">
        <f>ROUND(F24*G$1/30,2)</f>
        <v>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676</v>
      </c>
      <c r="C25" s="8">
        <f>IF('Escala Docente'!$F$4="NO",Valores!F63,Valores!F63/2)</f>
        <v>16855.75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677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678</v>
      </c>
      <c r="C27" s="8" t="e">
        <f>IF('Escala Docente'!$F$4="NO",Valores!#REF!,Valores!#REF!/2)</f>
        <v>#REF!</v>
      </c>
      <c r="D27" s="209">
        <f>_xlfn.IFNA(VLOOKUP(E$4,'Escala Docente'!$C$8:$AW$326,31,FALSE),0)</f>
        <v>1685.58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8427.87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680</v>
      </c>
      <c r="C28" s="8">
        <f>Valores!F62</f>
        <v>327.6</v>
      </c>
      <c r="D28" s="209">
        <f>_xlfn.IFNA(VLOOKUP(E$4,'Escala Docente'!$C$8:$AW$326,36,FALSE),0)</f>
        <v>0</v>
      </c>
      <c r="E28" s="203">
        <f>ROUND(D28*E$1/30,2)</f>
        <v>0</v>
      </c>
      <c r="F28" s="209">
        <f>_xlfn.IFNA(VLOOKUP(G$4,'Escala Docente'!$C$8:$AW$326,36,FALSE),0)</f>
        <v>0</v>
      </c>
      <c r="G28" s="203">
        <f>IF(E28&gt;=C28,0,IF((F28*G$1/30)&gt;(E28-C28),F28*G$1/30,E28-C28))</f>
        <v>0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683</v>
      </c>
      <c r="C29" s="8">
        <v>0</v>
      </c>
      <c r="D29" s="209">
        <f>_xlfn.IFNA(VLOOKUP(E$4,'Escala Docente'!$C$8:$AW$326,11,FALSE),0)</f>
        <v>1706.05</v>
      </c>
      <c r="E29" s="210">
        <f>ROUND(IF('Escala Docente'!$H$2=0,IF(AND(MID(E$3,1,5)&lt;&gt;"13930",MID(E$3,1,5)&lt;&gt;"13940"),(SUM(E6+E12+E14+E18+E10+E17+E21)*Valores!$C$4),0),0),2)</f>
        <v>4705.88</v>
      </c>
      <c r="F29" s="209">
        <f>_xlfn.IFNA(VLOOKUP(G$4,'Escala Docente'!$C$8:$AW$326,11,FALSE),0)</f>
        <v>9423.28</v>
      </c>
      <c r="G29" s="210">
        <f>ROUND(IF('Escala Docente'!$H$2=0,IF(AND(MID(G$3,1,5)&lt;&gt;"13930",MID(G$3,1,5)&lt;&gt;"13940"),(SUM(G6+G12+G14+G18+G10+G17+G21)*Valores!$C$4),0),0),2)</f>
        <v>7650.97</v>
      </c>
      <c r="H29" s="209">
        <f>_xlfn.IFNA(VLOOKUP(I$4,'Escala Docente'!$C$8:$AW$326,11,FALSE),0)</f>
        <v>14627.4</v>
      </c>
      <c r="I29" s="210">
        <f>ROUND(IF('Escala Docente'!$H$2=0,IF(AND(MID(I$3,1,5)&lt;&gt;"13930",MID(I$3,1,5)&lt;&gt;"13940"),(SUM(I6+I12+I14+I18+I10+I17+I21)*Valores!$C$4),0),0),2)</f>
        <v>13115.83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3" t="str">
        <f ca="1">MID(CELL("FILENAME",L41),FIND("[",CELL("FILENAME",L41))+1,FIND("]",CELL("FILENAME",L41))-FIND("[",CELL("FILENAME",L41))-1)</f>
        <v>Esc Doc 2023 04 Cba V 1 1.xlsx</v>
      </c>
      <c r="B1" s="233"/>
      <c r="C1" s="233"/>
      <c r="D1" s="233"/>
      <c r="E1" s="233"/>
      <c r="F1" s="233"/>
      <c r="G1" s="233"/>
      <c r="H1" s="233"/>
      <c r="I1" s="233"/>
      <c r="J1" s="23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4" t="s">
        <v>49</v>
      </c>
      <c r="B2" s="234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5" t="s">
        <v>501</v>
      </c>
      <c r="R3" s="235"/>
      <c r="S3" s="235"/>
      <c r="T3" s="236" t="s">
        <v>502</v>
      </c>
      <c r="U3" s="236"/>
      <c r="V3" s="236"/>
      <c r="W3" s="236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2023-04-02T21:02:07Z</cp:lastPrinted>
  <dcterms:created xsi:type="dcterms:W3CDTF">2005-08-10T23:49:01Z</dcterms:created>
  <dcterms:modified xsi:type="dcterms:W3CDTF">2023-05-04T16:40:45Z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