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84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'Valores'!$A$1:$J$95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<sst xmlns="http://schemas.openxmlformats.org/spreadsheetml/2006/main" count="1598" uniqueCount="818">
  <si>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</si>
  <si>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</si>
  <si>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</si>
  <si>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</si>
  <si>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</si>
  <si>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</si>
  <si>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</si>
  <si>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</si>
  <si>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</si>
  <si>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</si>
  <si>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</si>
  <si>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</si>
  <si>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</si>
  <si>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</si>
  <si>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</si>
  <si>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</si>
  <si>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</si>
  <si>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</si>
  <si>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</si>
  <si>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</si>
  <si>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</si>
  <si>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</si>
  <si>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</si>
  <si>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</si>
  <si>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</si>
  <si>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</si>
  <si>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</si>
  <si>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</si>
  <si>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</si>
  <si>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</si>
  <si>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</si>
  <si>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</si>
  <si>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</si>
  <si>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</si>
  <si>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</si>
  <si>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</si>
  <si>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</si>
  <si>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</si>
  <si>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</si>
  <si>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</si>
  <si>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</si>
  <si>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</si>
  <si>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</si>
  <si>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</si>
  <si>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</si>
  <si>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</si>
  <si>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</si>
  <si>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</si>
  <si>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</si>
  <si>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</si>
  <si>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</si>
  <si>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</si>
  <si>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</si>
  <si>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</si>
  <si>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</si>
  <si>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</si>
  <si>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</si>
  <si>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</si>
  <si>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</si>
  <si>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</si>
  <si>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</si>
  <si>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</si>
  <si>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</si>
  <si>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</si>
  <si>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</si>
  <si>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</si>
  <si>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</si>
  <si>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</si>
  <si>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</si>
  <si>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</si>
  <si>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</si>
  <si>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</si>
  <si>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</si>
  <si>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</si>
  <si>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</si>
  <si>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</si>
  <si>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</si>
  <si>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</si>
  <si>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</si>
  <si>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</si>
  <si>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</si>
  <si>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</si>
  <si>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</si>
  <si>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</si>
  <si>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</si>
  <si>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</si>
  <si>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</si>
  <si>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</si>
  <si>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</si>
  <si>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</si>
  <si>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</si>
  <si>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</si>
  <si>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</si>
  <si>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</si>
  <si>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</si>
  <si>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</si>
  <si>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</si>
  <si>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</si>
  <si>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</si>
  <si>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</si>
  <si>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</si>
  <si>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</si>
  <si>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</si>
  <si>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</si>
  <si>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</si>
  <si>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</si>
  <si>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</si>
  <si>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</si>
  <si>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</si>
  <si>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</si>
  <si>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</si>
  <si>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</si>
  <si>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</si>
  <si>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</si>
  <si>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</si>
  <si>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</si>
  <si>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</si>
  <si>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</si>
  <si>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</si>
  <si>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</si>
  <si>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</si>
  <si>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</si>
  <si>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</si>
  <si>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</si>
  <si>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</si>
  <si>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</si>
  <si>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</si>
  <si>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</si>
  <si>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</si>
  <si>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</si>
  <si>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</si>
  <si>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</si>
  <si>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</si>
  <si>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</si>
  <si>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</si>
  <si>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</si>
  <si>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</si>
  <si>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</si>
  <si>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</si>
  <si>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</si>
  <si>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</si>
  <si>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</si>
  <si>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</si>
  <si>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</si>
  <si>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</si>
  <si>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</si>
  <si>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</si>
  <si>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</si>
  <si>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</si>
  <si>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</si>
  <si>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</si>
  <si>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</si>
  <si>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</si>
  <si>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</si>
  <si>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</si>
  <si>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</si>
  <si>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</si>
  <si>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</si>
  <si>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</si>
  <si>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</si>
  <si>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</si>
  <si>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</si>
  <si>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</si>
  <si>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</si>
  <si>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</si>
  <si>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</si>
  <si>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</si>
  <si>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</si>
  <si>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</si>
  <si>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</si>
  <si>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</si>
  <si>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</si>
  <si>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</si>
  <si>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</si>
  <si>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</si>
  <si>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</si>
  <si>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</si>
  <si>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</si>
  <si>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</si>
  <si>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</si>
  <si>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</si>
  <si>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</si>
  <si>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</si>
  <si>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</si>
  <si>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</si>
  <si>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</si>
  <si>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</si>
  <si>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</si>
  <si>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</si>
  <si>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</si>
  <si>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</si>
  <si>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</si>
  <si>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</si>
  <si>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</si>
  <si>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</si>
  <si>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</si>
  <si>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</si>
  <si>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</si>
  <si>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</si>
  <si>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</si>
  <si>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</si>
  <si>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</si>
  <si>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</si>
  <si>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</si>
  <si>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</si>
  <si>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</si>
  <si>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</si>
  <si>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</si>
  <si>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</si>
  <si>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</si>
  <si>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</si>
  <si>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</si>
  <si>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</si>
  <si>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</si>
  <si>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</si>
  <si>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</si>
  <si>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</si>
  <si>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</si>
  <si>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</si>
  <si>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</si>
  <si>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</si>
  <si>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</si>
  <si>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</si>
  <si>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</si>
  <si>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</si>
  <si>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</si>
  <si>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</si>
  <si>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</si>
  <si>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</si>
  <si>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</si>
  <si>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</si>
  <si>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</si>
  <si>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</si>
  <si>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</si>
  <si>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</si>
  <si>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</si>
  <si>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</si>
  <si>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</si>
  <si>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</si>
  <si>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</si>
  <si>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</si>
  <si>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</si>
  <si>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</si>
  <si>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</si>
  <si>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</si>
  <si>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</si>
  <si>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</si>
  <si>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</si>
  <si>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</si>
  <si>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</si>
  <si>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</si>
  <si>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</si>
  <si>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</si>
  <si>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</si>
  <si>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</si>
  <si>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</si>
  <si>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</si>
  <si>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</si>
  <si>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</si>
  <si>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</si>
  <si>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</si>
  <si>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</si>
  <si>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</si>
  <si>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</si>
  <si>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</si>
  <si>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</si>
  <si>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</si>
  <si>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</si>
  <si>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</si>
  <si>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</si>
  <si>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</si>
  <si>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</si>
  <si>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</si>
  <si>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</si>
  <si>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</si>
  <si>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</si>
  <si>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</si>
  <si>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</si>
  <si>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</si>
  <si>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</si>
  <si>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</si>
  <si>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</si>
  <si>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</si>
  <si>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</si>
  <si>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</si>
  <si>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</si>
  <si>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</si>
  <si>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</si>
  <si>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</si>
  <si>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</si>
  <si>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</si>
  <si>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</si>
  <si>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</si>
  <si>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</si>
  <si>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</si>
  <si>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</si>
  <si>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</si>
  <si>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</si>
  <si>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</si>
  <si>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</si>
  <si>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</si>
  <si>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</si>
  <si>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</si>
  <si>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</si>
  <si>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</si>
  <si>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</si>
  <si>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</si>
  <si>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</si>
  <si>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</si>
  <si>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</si>
  <si>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</si>
  <si>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</si>
  <si>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</si>
  <si>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</si>
  <si>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</si>
  <si>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</si>
  <si>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</si>
  <si>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</si>
  <si>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</si>
  <si>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</si>
  <si>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</si>
  <si>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</si>
  <si>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</si>
  <si>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</si>
  <si>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</si>
  <si>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</si>
  <si>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</si>
  <si>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</si>
  <si>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</si>
  <si>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</si>
  <si>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</si>
  <si>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</si>
  <si>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</si>
  <si>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</si>
  <si>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</si>
  <si>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</si>
  <si>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</si>
  <si>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</si>
  <si>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</si>
  <si>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</si>
  <si>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</si>
  <si>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</si>
  <si>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</si>
  <si>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</si>
  <si>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</si>
  <si>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</si>
  <si>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</si>
  <si>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</si>
  <si>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</si>
  <si>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</si>
  <si>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</si>
  <si>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</si>
  <si>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</si>
  <si>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</si>
  <si>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</si>
  <si>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</si>
  <si>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</si>
  <si>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</si>
  <si>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</si>
  <si>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</si>
  <si>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</si>
  <si>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</si>
  <si>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</si>
  <si>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</si>
  <si>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</si>
  <si>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</si>
  <si>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</si>
  <si>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</si>
  <si>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</si>
  <si>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</si>
  <si>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</si>
  <si>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</si>
  <si>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</si>
  <si>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</si>
  <si>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</si>
  <si>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</si>
  <si>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</si>
  <si>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</si>
  <si>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</si>
  <si>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</si>
  <si>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</si>
  <si>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</si>
  <si>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</si>
  <si>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</si>
  <si>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</si>
  <si>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</si>
  <si>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</si>
  <si>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</si>
  <si>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</si>
  <si>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</si>
  <si>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</si>
  <si>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</si>
  <si>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</si>
  <si>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</si>
  <si>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</si>
  <si>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</si>
  <si>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</si>
  <si>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</si>
  <si>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</si>
  <si>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</si>
  <si>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</si>
  <si>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</si>
  <si>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</si>
  <si>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</si>
  <si>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</si>
  <si>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</si>
  <si>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</si>
  <si>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</si>
  <si>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</si>
  <si>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</si>
  <si>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</si>
  <si>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</si>
  <si>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</si>
  <si>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</si>
  <si>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</si>
  <si>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</si>
  <si>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</si>
  <si>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</si>
  <si>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</si>
  <si>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</si>
  <si>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</si>
  <si>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</si>
  <si>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</si>
  <si>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</si>
  <si>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</si>
  <si>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</si>
  <si>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</si>
  <si>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</si>
  <si>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</si>
  <si>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</si>
  <si>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</si>
  <si>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</si>
  <si>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</si>
  <si>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</si>
  <si>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</si>
  <si>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</si>
  <si>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</si>
  <si>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</si>
  <si>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</si>
  <si>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</si>
  <si>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</si>
  <si>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</si>
  <si>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</si>
  <si>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</si>
  <si>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</si>
  <si>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</si>
  <si>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</si>
  <si>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</si>
  <si>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</si>
  <si>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</si>
  <si>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</si>
  <si>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</si>
  <si>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</si>
  <si>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</si>
  <si>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</si>
  <si>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</si>
  <si>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</si>
  <si>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</si>
  <si>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</si>
  <si>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</si>
  <si>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</si>
  <si>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</si>
  <si>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</si>
  <si>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</si>
  <si>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</si>
  <si>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</si>
  <si>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</si>
  <si>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</si>
  <si>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</si>
  <si>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</si>
  <si>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</si>
  <si>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</si>
  <si>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</si>
  <si>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</si>
  <si>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</si>
  <si>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</si>
  <si>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</si>
  <si>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</si>
  <si>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</si>
  <si>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</si>
  <si>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</si>
  <si>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</si>
  <si>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</si>
  <si>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</si>
  <si>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</si>
  <si>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</si>
  <si>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</si>
  <si>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</si>
  <si>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</si>
  <si>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</si>
  <si>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</si>
  <si>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</si>
  <si>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</si>
  <si>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</si>
  <si>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</si>
  <si>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</si>
  <si>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</si>
  <si>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</si>
  <si>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</si>
  <si>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</si>
  <si>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</si>
  <si>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</si>
  <si>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</si>
  <si>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</si>
  <si>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</si>
  <si>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</si>
  <si>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</si>
  <si>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</si>
  <si>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</si>
  <si>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</si>
  <si>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</si>
  <si>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</si>
  <si>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</si>
  <si>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</si>
  <si>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</si>
  <si>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</si>
  <si>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</si>
  <si>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</si>
  <si>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</si>
  <si>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</si>
  <si>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</si>
  <si>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</si>
  <si>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</si>
  <si>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</si>
  <si>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</si>
  <si>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</si>
  <si>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</si>
  <si>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</si>
  <si>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</si>
  <si>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</si>
  <si>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</si>
  <si>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</si>
  <si>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</si>
  <si>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</si>
  <si>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</si>
  <si>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</si>
  <si>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</si>
  <si>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</si>
  <si>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</si>
  <si>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</si>
  <si>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</si>
  <si>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</si>
  <si>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</si>
  <si>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</si>
  <si>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</si>
  <si>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</si>
  <si>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</si>
  <si>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</si>
  <si>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</si>
  <si>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</si>
  <si>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</si>
  <si>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</si>
  <si>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</si>
  <si>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</si>
  <si>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</si>
  <si>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</si>
  <si>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</si>
  <si>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</si>
  <si>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</si>
  <si>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</si>
  <si>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</si>
  <si>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</si>
  <si>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</si>
  <si>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</si>
  <si>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</si>
  <si>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</si>
  <si>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</si>
  <si>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</si>
  <si>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</si>
  <si>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</si>
  <si>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</si>
  <si>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</si>
  <si>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</si>
  <si>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</si>
  <si>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</si>
  <si>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</si>
  <si>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</si>
  <si>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</si>
  <si>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</si>
  <si>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</si>
  <si>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</si>
  <si>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</si>
  <si>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</si>
  <si>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</si>
  <si>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</si>
  <si>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</si>
  <si>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</si>
  <si>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</si>
  <si>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</si>
  <si>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</si>
  <si>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</si>
  <si>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</si>
  <si>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</si>
  <si>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</si>
  <si>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</si>
  <si>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</si>
  <si>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</si>
  <si>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</si>
  <si>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</si>
  <si>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</si>
  <si>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</si>
  <si>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</si>
  <si>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</si>
  <si>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</si>
  <si>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</si>
  <si>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</si>
  <si>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</si>
  <si>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</si>
  <si>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</si>
  <si>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</si>
  <si>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</si>
  <si>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</si>
  <si>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</si>
  <si>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</si>
  <si>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</si>
  <si>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</si>
  <si>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</si>
  <si>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</si>
  <si>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</si>
  <si>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</si>
  <si>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</si>
  <si>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</si>
  <si>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</si>
  <si>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</si>
  <si>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</si>
  <si>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</si>
  <si>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</si>
  <si>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</si>
  <si>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</si>
  <si>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</si>
  <si>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</si>
  <si>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</si>
  <si>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</si>
  <si>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</si>
  <si>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</si>
  <si>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</si>
  <si>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</si>
  <si>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</si>
  <si>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</si>
  <si>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</si>
  <si>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</si>
  <si>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</si>
  <si>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</si>
  <si>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</si>
  <si>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</si>
  <si>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</si>
  <si>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</si>
  <si>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</si>
  <si>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</si>
  <si>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</si>
  <si>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</si>
  <si>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</si>
  <si>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</si>
  <si>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</si>
  <si>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</si>
  <si>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</si>
  <si>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</si>
  <si>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</si>
  <si>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</si>
  <si>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</si>
  <si>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</si>
  <si>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</si>
  <si>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</si>
  <si>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</si>
  <si>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</si>
  <si>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</si>
  <si>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</si>
  <si>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</si>
  <si>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</si>
  <si>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</si>
  <si>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</si>
  <si>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</si>
  <si>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</si>
  <si>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</si>
  <si>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</si>
  <si>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</si>
  <si>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</si>
  <si>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</si>
  <si>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</si>
  <si>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</si>
  <si>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</si>
  <si>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</si>
  <si>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</si>
  <si>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</si>
  <si>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</si>
  <si>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</si>
  <si>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</si>
  <si>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</si>
  <si>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</si>
  <si>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</si>
  <si>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</si>
  <si>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</si>
  <si>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</si>
  <si>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</si>
  <si>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</si>
  <si>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</si>
  <si>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</si>
  <si>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</si>
  <si>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</si>
  <si>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</si>
  <si>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</si>
  <si>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</si>
  <si>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</si>
  <si>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</si>
  <si>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</si>
  <si>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</si>
  <si>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</si>
  <si>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</si>
  <si>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</si>
  <si>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</si>
  <si>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</si>
  <si>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</si>
  <si>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</si>
  <si>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</si>
  <si>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</si>
  <si>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</si>
  <si>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</si>
  <si>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</si>
  <si>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</si>
  <si>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</si>
  <si>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</si>
  <si>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</si>
  <si>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</si>
  <si>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</si>
  <si>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</si>
  <si>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</si>
  <si>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</si>
  <si>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</si>
  <si>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</si>
  <si>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</si>
  <si>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</si>
  <si>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</si>
  <si>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</si>
  <si>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</si>
  <si>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</si>
  <si>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</si>
  <si>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</si>
  <si>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</si>
  <si>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</si>
  <si>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</si>
  <si>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</si>
  <si>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</si>
  <si>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</si>
  <si>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</si>
  <si>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</si>
  <si>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</si>
  <si>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</si>
  <si>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</si>
  <si>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</si>
  <si>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</si>
  <si>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</si>
  <si>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</si>
  <si>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</si>
  <si>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</si>
  <si>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</si>
  <si>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</si>
  <si>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</si>
  <si>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</si>
  <si>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</si>
  <si>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</si>
  <si>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</si>
  <si>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</si>
  <si>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</si>
  <si>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</si>
  <si>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</si>
  <si>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</si>
  <si>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</si>
  <si>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</si>
  <si>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</si>
  <si>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</si>
  <si>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</si>
  <si>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</si>
  <si>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</si>
  <si>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</si>
  <si>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</si>
  <si>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</si>
  <si>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</si>
  <si>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</si>
  <si>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</si>
  <si>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</si>
  <si>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</si>
  <si>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</si>
  <si>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</si>
  <si>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</si>
  <si>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</si>
  <si>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</si>
  <si>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</si>
  <si>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</si>
  <si>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</si>
  <si>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</si>
  <si>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</si>
  <si>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</si>
  <si>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</si>
  <si>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</si>
  <si>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</si>
  <si>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</si>
  <si>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</si>
  <si>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</si>
  <si>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</si>
  <si>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</si>
  <si>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</si>
  <si>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</si>
  <si>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</si>
  <si>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</si>
  <si>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</si>
  <si>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</si>
  <si>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</si>
  <si>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</si>
  <si>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</si>
  <si>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</si>
  <si>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</si>
  <si>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</si>
  <si>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</si>
  <si>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</si>
  <si>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</si>
  <si>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</si>
  <si>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Ad. Extr 13515</t>
  </si>
  <si>
    <t>"1983/2023 - 40 AÑOS DE DEMOCRACIA”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</si>
</sst>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</numFmts>
  <fonts count="37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37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26</xdr:col>
      <xdr:colOff>66675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workbookViewId="0" topLeftCell="A1">
      <pane ySplit="1" topLeftCell="A50" activePane="bottomLeft" state="frozen"/>
      <selection pane="bottomLeft" activeCell="C55" sqref="C55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11">
        <v>37.9697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13">
        <v>0.2</v>
      </c>
    </row>
    <row r="4" spans="1:14" s="81" customFormat="1" ht="12.75">
      <c r="A4" s="80" t="s">
        <v>4</v>
      </c>
      <c r="B4" s="80" t="s">
        <v>662</v>
      </c>
      <c r="C4" s="6">
        <v>0.15</v>
      </c>
      <c r="H4" s="84"/>
      <c r="I4" s="81">
        <v>2</v>
      </c>
      <c r="J4" s="83">
        <v>0.15</v>
      </c>
      <c r="L4" s="137">
        <v>3</v>
      </c>
      <c r="N4" s="213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ROUND((('Escala Docente'!F142*C5)-0.01),2)</f>
        <v>19410.1</v>
      </c>
      <c r="E5" s="95">
        <f>ROUND(D5/15,2)</f>
        <v>1294.01</v>
      </c>
      <c r="F5" s="84"/>
      <c r="G5" s="84"/>
      <c r="I5" s="81">
        <v>3</v>
      </c>
      <c r="J5" s="83">
        <v>0.15</v>
      </c>
      <c r="L5" s="137">
        <v>4</v>
      </c>
      <c r="N5" s="213">
        <v>0.6</v>
      </c>
    </row>
    <row r="6" spans="1:14" s="81" customFormat="1" ht="12.75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13">
        <v>0.8</v>
      </c>
    </row>
    <row r="7" spans="1:14" s="81" customFormat="1" ht="12.75">
      <c r="A7" s="162" t="s">
        <v>4</v>
      </c>
      <c r="B7" s="163" t="s">
        <v>9</v>
      </c>
      <c r="C7" s="175">
        <v>1287.66</v>
      </c>
      <c r="D7" s="95"/>
      <c r="E7" s="83"/>
      <c r="G7" s="175">
        <v>1103.71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>
      <c r="A8" s="162" t="s">
        <v>4</v>
      </c>
      <c r="B8" s="164" t="s">
        <v>10</v>
      </c>
      <c r="C8" s="175">
        <v>47590.57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>
      <c r="A9" s="162" t="s">
        <v>4</v>
      </c>
      <c r="B9" s="164" t="s">
        <v>11</v>
      </c>
      <c r="C9" s="101">
        <v>47713.55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>
      <c r="A10" s="162" t="s">
        <v>4</v>
      </c>
      <c r="B10" s="164" t="s">
        <v>622</v>
      </c>
      <c r="C10" s="101">
        <v>38855.92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>
      <c r="A11" s="162" t="s">
        <v>4</v>
      </c>
      <c r="B11" s="164" t="s">
        <v>808</v>
      </c>
      <c r="C11" s="101">
        <v>33856.51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>
      <c r="A12" s="162" t="s">
        <v>4</v>
      </c>
      <c r="B12" s="163" t="s">
        <v>12</v>
      </c>
      <c r="C12" s="101">
        <v>86142.40000000001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>
      <c r="A13" s="162" t="s">
        <v>4</v>
      </c>
      <c r="B13" s="164" t="s">
        <v>13</v>
      </c>
      <c r="C13" s="101">
        <v>34779.28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17" t="str">
        <f ca="1">MID(CELL("FILENAME",N30),FIND("[",CELL("FILENAME",N30))+1,FIND("]",CELL("FILENAME",N30))-FIND("[",CELL("FILENAME",N30))-6)</f>
        <v>Esc Doc 2023 05 Cba V 1 2</v>
      </c>
      <c r="N13" s="217"/>
    </row>
    <row r="14" spans="1:13" s="81" customFormat="1" ht="12.75">
      <c r="A14" s="162" t="s">
        <v>4</v>
      </c>
      <c r="B14" s="164" t="s">
        <v>14</v>
      </c>
      <c r="C14" s="175">
        <v>37810.16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05</v>
      </c>
    </row>
    <row r="15" spans="1:13" s="81" customFormat="1" ht="12.75">
      <c r="A15" s="162" t="s">
        <v>4</v>
      </c>
      <c r="B15" s="164" t="s">
        <v>609</v>
      </c>
      <c r="C15" s="101">
        <v>54863.42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>
      <c r="A16" s="162" t="s">
        <v>4</v>
      </c>
      <c r="B16" s="164" t="s">
        <v>814</v>
      </c>
      <c r="C16" s="101">
        <v>32810.75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MAYO</v>
      </c>
    </row>
    <row r="17" spans="1:13" s="81" customFormat="1" ht="12.75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637</v>
      </c>
    </row>
    <row r="18" spans="1:13" s="81" customFormat="1" ht="12.75">
      <c r="A18" s="162" t="s">
        <v>4</v>
      </c>
      <c r="B18" s="163" t="s">
        <v>15</v>
      </c>
      <c r="C18" s="101">
        <v>404.99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638</v>
      </c>
    </row>
    <row r="19" spans="1:13" s="81" customFormat="1" ht="12.75">
      <c r="A19" s="162" t="s">
        <v>4</v>
      </c>
      <c r="B19" s="163" t="s">
        <v>631</v>
      </c>
      <c r="C19" s="101">
        <v>18061.41</v>
      </c>
      <c r="D19" s="95"/>
      <c r="E19" s="216" t="s">
        <v>574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639</v>
      </c>
    </row>
    <row r="20" spans="1:13" s="81" customFormat="1" ht="12.75">
      <c r="A20" s="162" t="s">
        <v>4</v>
      </c>
      <c r="B20" s="163" t="s">
        <v>632</v>
      </c>
      <c r="C20" s="101">
        <v>17876.75</v>
      </c>
      <c r="D20" s="95"/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640</v>
      </c>
    </row>
    <row r="21" spans="1:13" s="81" customFormat="1" ht="12.75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641</v>
      </c>
    </row>
    <row r="22" spans="1:13" s="81" customFormat="1" ht="12.75">
      <c r="A22" s="80" t="s">
        <v>4</v>
      </c>
      <c r="B22" s="86" t="s">
        <v>633</v>
      </c>
      <c r="C22" s="175">
        <v>17316.91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642</v>
      </c>
    </row>
    <row r="23" spans="1:13" s="81" customFormat="1" ht="12.75">
      <c r="A23" s="80" t="s">
        <v>4</v>
      </c>
      <c r="B23" s="86" t="s">
        <v>630</v>
      </c>
      <c r="C23" s="175">
        <v>16117.43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643</v>
      </c>
    </row>
    <row r="24" spans="1:13" s="81" customFormat="1" ht="12.75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644</v>
      </c>
    </row>
    <row r="25" spans="1:13" s="81" customFormat="1" ht="12.75">
      <c r="A25" s="80" t="s">
        <v>4</v>
      </c>
      <c r="B25" s="86" t="s">
        <v>16</v>
      </c>
      <c r="C25" s="101">
        <v>793.88</v>
      </c>
      <c r="D25" s="95"/>
      <c r="F25" s="87">
        <f>+C25*1.5008</f>
        <v>1191.455104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645</v>
      </c>
    </row>
    <row r="26" spans="1:13" s="81" customFormat="1" ht="12.75">
      <c r="A26" s="80" t="s">
        <v>4</v>
      </c>
      <c r="B26" s="86" t="s">
        <v>17</v>
      </c>
      <c r="C26" s="101">
        <v>793.88</v>
      </c>
      <c r="D26" s="95"/>
      <c r="F26" s="87">
        <f>C26</f>
        <v>793.88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646</v>
      </c>
    </row>
    <row r="27" spans="1:13" s="81" customFormat="1" ht="12.75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647</v>
      </c>
    </row>
    <row r="28" spans="1:13" s="81" customFormat="1" ht="12.75">
      <c r="A28" s="80" t="s">
        <v>4</v>
      </c>
      <c r="B28" s="81" t="s">
        <v>18</v>
      </c>
      <c r="C28" s="101">
        <v>31.81</v>
      </c>
      <c r="F28" s="87">
        <f>F25</f>
        <v>1191.455104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648</v>
      </c>
    </row>
    <row r="29" spans="1:10" s="81" customFormat="1" ht="13.5" thickBot="1">
      <c r="A29" s="91" t="s">
        <v>4</v>
      </c>
      <c r="B29" s="92" t="s">
        <v>19</v>
      </c>
      <c r="C29" s="101">
        <v>26.49</v>
      </c>
      <c r="D29" s="92"/>
      <c r="E29" s="92"/>
      <c r="F29" s="93">
        <f>F26</f>
        <v>793.88</v>
      </c>
      <c r="G29" s="175">
        <v>22.7</v>
      </c>
      <c r="I29" s="81">
        <v>27</v>
      </c>
      <c r="J29" s="83">
        <v>1.3</v>
      </c>
    </row>
    <row r="30" spans="1:10" s="81" customFormat="1" ht="13.5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3" s="81" customFormat="1" ht="12.75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  <c r="M32" s="81">
        <f>1191.48/C25</f>
        <v>1.5008313599032599</v>
      </c>
    </row>
    <row r="33" spans="1:10" s="81" customFormat="1" ht="12.75">
      <c r="A33" s="96" t="s">
        <v>8</v>
      </c>
      <c r="B33" s="96" t="s">
        <v>809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 t="s">
        <v>8</v>
      </c>
      <c r="B34" s="96" t="s">
        <v>810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 t="s">
        <v>8</v>
      </c>
      <c r="B35" s="96" t="s">
        <v>649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650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 t="s">
        <v>8</v>
      </c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>
      <c r="A39" s="74" t="s">
        <v>8</v>
      </c>
      <c r="B39" s="74" t="s">
        <v>659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>
      <c r="A40" s="74" t="s">
        <v>8</v>
      </c>
      <c r="B40" s="74" t="s">
        <v>816</v>
      </c>
      <c r="C40" s="77"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636</v>
      </c>
      <c r="C42" s="100">
        <v>11964.71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635</v>
      </c>
      <c r="C43" s="101">
        <v>12724.28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634</v>
      </c>
      <c r="C44" s="101">
        <v>13484.02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812</v>
      </c>
      <c r="C45" s="101">
        <v>14237.86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811</v>
      </c>
      <c r="C46" s="101">
        <v>16522.17</v>
      </c>
      <c r="D46" s="6"/>
      <c r="E46" s="165"/>
      <c r="F46" s="8">
        <f>16837.15*1.4</f>
        <v>23572.010000000002</v>
      </c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813</v>
      </c>
      <c r="C47" s="101">
        <v>20291.4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815</v>
      </c>
      <c r="C48" s="101">
        <v>17276.01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678.27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1008.42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653</v>
      </c>
      <c r="C51" s="101">
        <v>504.21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>
      <c r="A55" s="74" t="s">
        <v>8</v>
      </c>
      <c r="B55" s="2" t="s">
        <v>27</v>
      </c>
      <c r="C55" s="100">
        <v>327.6</v>
      </c>
    </row>
    <row r="56" spans="1:3" ht="12.75">
      <c r="A56" s="74" t="s">
        <v>8</v>
      </c>
      <c r="B56" s="2" t="s">
        <v>28</v>
      </c>
      <c r="C56" s="100">
        <v>170.34</v>
      </c>
    </row>
    <row r="57" spans="1:3" ht="12.75">
      <c r="A57" s="74" t="s">
        <v>8</v>
      </c>
      <c r="B57" s="2" t="s">
        <v>29</v>
      </c>
      <c r="C57" s="101">
        <v>327.6</v>
      </c>
    </row>
    <row r="58" spans="1:9" ht="12.75">
      <c r="A58" s="74" t="s">
        <v>8</v>
      </c>
      <c r="B58" s="2" t="s">
        <v>30</v>
      </c>
      <c r="C58" s="101">
        <v>155.18</v>
      </c>
      <c r="I58" s="174">
        <f>+C63/15</f>
        <v>605.078</v>
      </c>
    </row>
    <row r="59" spans="1:9" ht="12.75">
      <c r="A59" s="74" t="s">
        <v>8</v>
      </c>
      <c r="B59" s="2" t="s">
        <v>31</v>
      </c>
      <c r="C59" s="101">
        <v>149.55200000000002</v>
      </c>
      <c r="I59" s="3"/>
    </row>
    <row r="60" spans="1:9" ht="12.75">
      <c r="A60" s="74" t="s">
        <v>8</v>
      </c>
      <c r="B60" s="2" t="s">
        <v>32</v>
      </c>
      <c r="C60" s="101">
        <v>252.668</v>
      </c>
      <c r="I60" s="3"/>
    </row>
    <row r="61" spans="1:9" ht="12.75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623</v>
      </c>
      <c r="C63" s="100">
        <v>9076.17</v>
      </c>
      <c r="D63" s="3">
        <f>ROUND(C63/15,2)</f>
        <v>605.08</v>
      </c>
      <c r="E63" s="79">
        <v>38.47</v>
      </c>
      <c r="F63" s="3">
        <f>(+C63*2)</f>
        <v>18152.34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913.82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654</v>
      </c>
      <c r="C65" s="100">
        <v>456.91</v>
      </c>
      <c r="D65" s="172"/>
      <c r="F65" s="3"/>
      <c r="G65" s="175">
        <v>15165.02</v>
      </c>
    </row>
    <row r="66" spans="1:7" ht="12.75">
      <c r="A66" s="75" t="s">
        <v>607</v>
      </c>
      <c r="B66" s="75"/>
      <c r="C66" s="76"/>
      <c r="D66" s="75"/>
      <c r="E66" s="75"/>
      <c r="F66" s="75"/>
      <c r="G66" s="75">
        <v>335.93</v>
      </c>
    </row>
    <row r="67" spans="1:7" ht="12.75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>
      <c r="A68" s="75" t="s">
        <v>607</v>
      </c>
      <c r="B68" s="75"/>
      <c r="C68" s="76"/>
      <c r="D68" s="75"/>
      <c r="E68" s="75"/>
      <c r="F68" s="75"/>
      <c r="G68" s="75">
        <v>379.13</v>
      </c>
    </row>
    <row r="69" spans="1:7" ht="12.75">
      <c r="A69" s="74" t="s">
        <v>8</v>
      </c>
      <c r="B69" s="2" t="s">
        <v>36</v>
      </c>
      <c r="C69" s="9">
        <v>0</v>
      </c>
      <c r="D69" s="10"/>
      <c r="G69" s="212"/>
    </row>
    <row r="70" spans="1:7" ht="12.75">
      <c r="A70" s="75" t="s">
        <v>607</v>
      </c>
      <c r="B70" s="75"/>
      <c r="C70" s="76"/>
      <c r="D70" s="75"/>
      <c r="E70" s="75"/>
      <c r="F70" s="75"/>
      <c r="G70" s="75"/>
    </row>
    <row r="71" spans="1:3" ht="12.75">
      <c r="A71" s="74" t="s">
        <v>8</v>
      </c>
      <c r="B71" t="s">
        <v>37</v>
      </c>
      <c r="C71" s="11">
        <v>-0.11</v>
      </c>
    </row>
    <row r="72" spans="1:3" ht="12.75">
      <c r="A72" s="74" t="s">
        <v>8</v>
      </c>
      <c r="B72" t="s">
        <v>38</v>
      </c>
      <c r="C72" s="11">
        <v>0</v>
      </c>
    </row>
    <row r="73" spans="1:3" ht="12.75">
      <c r="A73" s="74" t="s">
        <v>8</v>
      </c>
      <c r="B73" t="s">
        <v>39</v>
      </c>
      <c r="C73" s="11">
        <v>-0.045</v>
      </c>
    </row>
    <row r="74" spans="1:3" ht="12.75">
      <c r="A74" s="74" t="s">
        <v>8</v>
      </c>
      <c r="B74" t="s">
        <v>40</v>
      </c>
      <c r="C74" s="11">
        <v>-0.027</v>
      </c>
    </row>
    <row r="75" spans="1:7" ht="12.75">
      <c r="A75" s="74" t="s">
        <v>8</v>
      </c>
      <c r="B75" t="s">
        <v>41</v>
      </c>
      <c r="C75" s="11">
        <v>-0.003</v>
      </c>
      <c r="G75" s="212"/>
    </row>
    <row r="76" spans="1:7" ht="12.75">
      <c r="A76" s="75" t="s">
        <v>607</v>
      </c>
      <c r="B76" s="75"/>
      <c r="C76" s="76"/>
      <c r="D76" s="75"/>
      <c r="E76" s="75"/>
      <c r="F76" s="75"/>
      <c r="G76" s="75"/>
    </row>
    <row r="77" spans="1:3" ht="12.75">
      <c r="A77" s="74" t="s">
        <v>8</v>
      </c>
      <c r="B77" t="s">
        <v>42</v>
      </c>
      <c r="C77" s="11">
        <v>0.16</v>
      </c>
    </row>
    <row r="78" spans="1:3" ht="12.75">
      <c r="A78" s="74" t="s">
        <v>8</v>
      </c>
      <c r="B78" t="s">
        <v>43</v>
      </c>
      <c r="C78" s="11">
        <v>0.07</v>
      </c>
    </row>
    <row r="79" spans="1:7" ht="12.75">
      <c r="A79" s="74" t="s">
        <v>8</v>
      </c>
      <c r="B79" t="s">
        <v>44</v>
      </c>
      <c r="C79" s="11">
        <v>0.01</v>
      </c>
      <c r="G79" s="212"/>
    </row>
    <row r="80" spans="1:7" ht="12.75">
      <c r="A80" s="75" t="s">
        <v>607</v>
      </c>
      <c r="B80" s="75"/>
      <c r="C80" s="76"/>
      <c r="D80" s="75"/>
      <c r="E80" s="75"/>
      <c r="F80" s="75"/>
      <c r="G80" s="75"/>
    </row>
    <row r="81" spans="1:3" ht="12.75">
      <c r="A81" s="74" t="s">
        <v>8</v>
      </c>
      <c r="B81" t="s">
        <v>45</v>
      </c>
      <c r="C81" s="11">
        <v>0.035</v>
      </c>
    </row>
    <row r="82" spans="1:3" ht="12.75">
      <c r="A82" s="74" t="s">
        <v>8</v>
      </c>
      <c r="B82" t="s">
        <v>46</v>
      </c>
      <c r="C82" s="11">
        <v>0.006</v>
      </c>
    </row>
    <row r="83" spans="1:7" ht="12.75">
      <c r="A83" s="74" t="s">
        <v>8</v>
      </c>
      <c r="B83" t="s">
        <v>47</v>
      </c>
      <c r="C83" s="11">
        <v>0.054</v>
      </c>
      <c r="G83" s="212"/>
    </row>
    <row r="84" spans="1:7" ht="12.75">
      <c r="A84" s="75" t="s">
        <v>607</v>
      </c>
      <c r="B84" s="75"/>
      <c r="C84" s="76"/>
      <c r="D84" s="75"/>
      <c r="E84" s="75"/>
      <c r="F84" s="75"/>
      <c r="G84" s="75"/>
    </row>
    <row r="85" spans="1:7" ht="12.75">
      <c r="A85" s="74" t="s">
        <v>8</v>
      </c>
      <c r="B85" t="s">
        <v>48</v>
      </c>
      <c r="C85" s="4">
        <v>0.5</v>
      </c>
      <c r="G85" s="212"/>
    </row>
    <row r="86" spans="1:7" ht="12.75">
      <c r="A86" s="75" t="s">
        <v>607</v>
      </c>
      <c r="B86" s="75"/>
      <c r="C86" s="76"/>
      <c r="D86" s="75"/>
      <c r="E86" s="75"/>
      <c r="F86" s="75"/>
      <c r="G86" s="75"/>
    </row>
    <row r="87" spans="1:5" ht="12.75">
      <c r="A87" s="74" t="s">
        <v>8</v>
      </c>
      <c r="B87" s="74" t="s">
        <v>624</v>
      </c>
      <c r="C87" s="8">
        <v>0</v>
      </c>
      <c r="E87" s="8"/>
    </row>
    <row r="88" spans="1:5" ht="12.75">
      <c r="A88" s="74" t="s">
        <v>8</v>
      </c>
      <c r="B88" s="74" t="s">
        <v>625</v>
      </c>
      <c r="C88" s="8">
        <v>0</v>
      </c>
      <c r="E88" s="8"/>
    </row>
    <row r="89" spans="1:6" ht="12.75">
      <c r="A89" s="74" t="s">
        <v>8</v>
      </c>
      <c r="B89" s="74" t="s">
        <v>626</v>
      </c>
      <c r="C89" s="100">
        <v>0</v>
      </c>
      <c r="E89" s="8"/>
      <c r="F89" s="8">
        <f>+C89</f>
        <v>0</v>
      </c>
    </row>
    <row r="90" spans="1:5" ht="12.75">
      <c r="A90" s="74" t="s">
        <v>8</v>
      </c>
      <c r="B90" s="74" t="s">
        <v>627</v>
      </c>
      <c r="C90" s="8">
        <v>0</v>
      </c>
      <c r="E90" s="8"/>
    </row>
    <row r="91" spans="1:5" ht="12.75">
      <c r="A91" s="74" t="s">
        <v>8</v>
      </c>
      <c r="B91" s="74" t="s">
        <v>655</v>
      </c>
      <c r="C91" s="8">
        <v>0</v>
      </c>
      <c r="E91" s="8"/>
    </row>
    <row r="92" spans="1:5" ht="12.75">
      <c r="A92" s="74" t="s">
        <v>8</v>
      </c>
      <c r="B92" s="74" t="s">
        <v>657</v>
      </c>
      <c r="C92" s="8">
        <f>C91/2</f>
        <v>0</v>
      </c>
      <c r="E92" s="8"/>
    </row>
    <row r="93" spans="1:5" ht="12.75">
      <c r="A93" s="74"/>
      <c r="B93" s="74"/>
      <c r="C93" s="8"/>
      <c r="E93" s="8"/>
    </row>
    <row r="94" spans="1:9" ht="12.75">
      <c r="A94" s="74" t="s">
        <v>4</v>
      </c>
      <c r="B94" s="74" t="s">
        <v>611</v>
      </c>
      <c r="C94" s="8">
        <v>27846.26</v>
      </c>
      <c r="F94" s="8">
        <f aca="true" t="shared" si="0" ref="F94:F95">C94</f>
        <v>27846.26</v>
      </c>
      <c r="G94" s="175">
        <v>7582.51</v>
      </c>
      <c r="I94" s="175"/>
    </row>
    <row r="95" spans="1:9" ht="12.75">
      <c r="A95" s="74" t="s">
        <v>4</v>
      </c>
      <c r="B95" s="74" t="s">
        <v>612</v>
      </c>
      <c r="C95" s="8">
        <v>33415.52</v>
      </c>
      <c r="F95" s="8">
        <f t="shared" si="0"/>
        <v>33415.52</v>
      </c>
      <c r="G95" s="175">
        <v>9099.01</v>
      </c>
      <c r="I95" s="175"/>
    </row>
    <row r="96" spans="1:9" ht="12.75">
      <c r="A96" s="74" t="s">
        <v>4</v>
      </c>
      <c r="B96" s="74" t="s">
        <v>613</v>
      </c>
      <c r="C96" s="8">
        <v>55692.53</v>
      </c>
      <c r="F96" s="8">
        <f>C96</f>
        <v>55692.53</v>
      </c>
      <c r="G96" s="175">
        <v>15165.02</v>
      </c>
      <c r="I96" s="175"/>
    </row>
    <row r="97" spans="1:9" ht="12.75">
      <c r="A97" s="74" t="s">
        <v>4</v>
      </c>
      <c r="B97" s="74" t="s">
        <v>614</v>
      </c>
      <c r="C97" s="8">
        <v>1296.68</v>
      </c>
      <c r="F97" s="8">
        <f aca="true" t="shared" si="1" ref="F97:F99">C97</f>
        <v>1296.68</v>
      </c>
      <c r="G97" s="175">
        <v>335.93</v>
      </c>
      <c r="I97" s="175"/>
    </row>
    <row r="98" spans="1:9" ht="12.75">
      <c r="A98" s="74" t="s">
        <v>4</v>
      </c>
      <c r="B98" s="74" t="s">
        <v>656</v>
      </c>
      <c r="C98" s="8">
        <v>2784.63</v>
      </c>
      <c r="F98" s="8">
        <f t="shared" si="1"/>
        <v>2784.63</v>
      </c>
      <c r="G98" s="175">
        <v>758.26</v>
      </c>
      <c r="I98" s="175"/>
    </row>
    <row r="99" spans="1:9" ht="12.75">
      <c r="A99" s="74" t="s">
        <v>4</v>
      </c>
      <c r="B99" s="74" t="s">
        <v>658</v>
      </c>
      <c r="C99" s="8">
        <v>1392.315</v>
      </c>
      <c r="D99">
        <f>131.72/1.3*1.4</f>
        <v>141.85230769230768</v>
      </c>
      <c r="F99" s="8">
        <f t="shared" si="1"/>
        <v>1392.315</v>
      </c>
      <c r="G99" s="175">
        <v>379.13</v>
      </c>
      <c r="I99" s="175"/>
    </row>
    <row r="100" spans="2:3" ht="12.75">
      <c r="B100" s="74" t="s">
        <v>628</v>
      </c>
      <c r="C100" s="8">
        <v>-554.86</v>
      </c>
    </row>
    <row r="101" spans="2:3" ht="12.75">
      <c r="B101" t="s">
        <v>618</v>
      </c>
      <c r="C101" s="8">
        <v>-550</v>
      </c>
    </row>
    <row r="102" ht="12.75">
      <c r="D102">
        <f>+C99*1.1</f>
        <v>1531.5465000000002</v>
      </c>
    </row>
  </sheetData>
  <autoFilter ref="A1:J95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30" zoomScaleNormal="130" zoomScaleSheetLayoutView="100" workbookViewId="0" topLeftCell="A1">
      <pane xSplit="4" ySplit="7" topLeftCell="F8" activePane="bottomRight" state="frozen"/>
      <selection pane="topRight" activeCell="U1" sqref="U1"/>
      <selection pane="bottomLeft" activeCell="A69" sqref="A69"/>
      <selection pane="bottomRight" activeCell="A8" sqref="A8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6.8515625" style="107" customWidth="1"/>
    <col min="16" max="16" width="7.00390625" style="107" customWidth="1"/>
    <col min="17" max="17" width="7.140625" style="107" customWidth="1"/>
    <col min="18" max="18" width="8.574218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8.14062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hidden="1" customWidth="1"/>
    <col min="51" max="51" width="3.7109375" style="105" hidden="1" customWidth="1"/>
    <col min="52" max="52" width="3.421875" style="110" hidden="1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8" t="str">
        <f ca="1">CONCATENATE(Valores!M16,"  ",Valores!M15)</f>
        <v>MAYO  2023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J2" s="107"/>
      <c r="AK2" s="107"/>
      <c r="AL2" s="220"/>
      <c r="AZ2" s="116">
        <f>(((F139+S139)*1.15)+O139+P139+Q139+AA139+AD139)*0.05</f>
        <v>6508.547225000001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8</v>
      </c>
      <c r="G3" s="221" t="s">
        <v>50</v>
      </c>
      <c r="H3" s="221"/>
      <c r="I3" s="222">
        <f>Valores!C2</f>
        <v>37.9697</v>
      </c>
      <c r="J3" s="222"/>
      <c r="K3" s="199"/>
      <c r="L3" s="177" t="e">
        <f>VLOOKUP(K3,Valores!L17:M28,2,)</f>
        <v>#N/A</v>
      </c>
      <c r="M3" s="176"/>
      <c r="N3" s="177"/>
      <c r="O3" s="227" t="s">
        <v>817</v>
      </c>
      <c r="P3" s="227"/>
      <c r="Q3" s="227"/>
      <c r="R3" s="227"/>
      <c r="S3" s="227"/>
      <c r="T3" s="227"/>
      <c r="U3" s="227"/>
      <c r="V3" s="227"/>
      <c r="AJ3" s="117" t="s">
        <v>4</v>
      </c>
      <c r="AK3" s="118"/>
      <c r="AL3" s="220"/>
      <c r="AM3" s="117" t="s">
        <v>4</v>
      </c>
      <c r="AN3" s="118"/>
      <c r="AO3" s="119">
        <f>Valores!C2</f>
        <v>37.9697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4" t="s">
        <v>621</v>
      </c>
      <c r="B4" s="225"/>
      <c r="C4" s="225"/>
      <c r="D4" s="226"/>
      <c r="E4" s="191"/>
      <c r="F4" s="133" t="s">
        <v>8</v>
      </c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4" t="s">
        <v>616</v>
      </c>
      <c r="B5" s="225"/>
      <c r="C5" s="225"/>
      <c r="D5" s="226"/>
      <c r="E5" s="191"/>
      <c r="F5" s="161">
        <v>0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37.5" customHeight="1">
      <c r="A6" s="183"/>
      <c r="B6" s="184"/>
      <c r="C6" s="184"/>
      <c r="D6" s="183"/>
      <c r="E6" s="228" t="s">
        <v>52</v>
      </c>
      <c r="F6" s="229"/>
      <c r="G6" s="230" t="s">
        <v>53</v>
      </c>
      <c r="H6" s="230"/>
      <c r="I6" s="231" t="s">
        <v>54</v>
      </c>
      <c r="J6" s="231"/>
      <c r="K6" s="223" t="s">
        <v>55</v>
      </c>
      <c r="L6" s="223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$19.410,10)</v>
      </c>
      <c r="Q6" s="150" t="s">
        <v>59</v>
      </c>
      <c r="R6" s="169" t="str">
        <f>CONCATENATE("Gtos. Inh. Lab. Doc. (tope ",TEXT(Valores!F46,"$0.000,00"),")")</f>
        <v>Gtos. Inh. Lab. Doc. (tope $23.572,01)</v>
      </c>
      <c r="S6" s="151" t="s">
        <v>60</v>
      </c>
      <c r="T6" s="150" t="s">
        <v>60</v>
      </c>
      <c r="U6" s="150" t="s">
        <v>61</v>
      </c>
      <c r="V6" s="150" t="s">
        <v>62</v>
      </c>
      <c r="W6" s="232" t="s">
        <v>63</v>
      </c>
      <c r="X6" s="232"/>
      <c r="Y6" s="150" t="s">
        <v>64</v>
      </c>
      <c r="Z6" s="159" t="str">
        <f>CONCATENATE("Bonif. Compensatoria Rem. (tope ",TEXT(Valores!F96,"$0.000,00"),")")</f>
        <v>Bonif. Compensatoria Rem. (tope $55.692,53)</v>
      </c>
      <c r="AA6" s="159" t="str">
        <f>CONCATENATE("Ad R Doc (tope ",TEXT(Valores!F25,"$0,00"),")")</f>
        <v>Ad R Doc (tope $1191,46)</v>
      </c>
      <c r="AB6" s="159" t="s">
        <v>696</v>
      </c>
      <c r="AC6" s="150" t="s">
        <v>65</v>
      </c>
      <c r="AD6" s="158" t="str">
        <f>CONCATENATE("Nuevo  A.R.D. (tope ",TEXT(Valores!F26,"$0,00"),")")</f>
        <v>Nuevo  A.R.D. (tope $793,88)</v>
      </c>
      <c r="AE6" s="223" t="s">
        <v>66</v>
      </c>
      <c r="AF6" s="223"/>
      <c r="AG6" s="158" t="str">
        <f>CONCATENATE("Ap Mat Did Rem. (tope ",TEXT(Valores!F63,"$0.000,00"),")")</f>
        <v>Ap Mat Did Rem. (tope $18.152,34)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",TEXT(Valores!C89,"$0,00"),")")</f>
        <v>Bonif. Compensatoria No Rem. (tope $0,00)</v>
      </c>
      <c r="AK6" s="158" t="str">
        <f>CONCATENATE("Adic Extr. (tope ",TEXT(Valores!F38,"$0.000,00"),")")</f>
        <v>Adic Extr. (tope $0.000,00)</v>
      </c>
      <c r="AL6" s="159" t="str">
        <f>CONCATENATE("Adel Inc Docente (tope ",TEXT(Valores!C55,"$0,00"),")")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617</v>
      </c>
      <c r="AR6" s="152" t="s">
        <v>618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629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661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615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688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619</v>
      </c>
      <c r="AR7" s="160" t="s">
        <v>620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4062.76</v>
      </c>
      <c r="G8" s="192">
        <v>3779</v>
      </c>
      <c r="H8" s="125">
        <f>ROUND(G8*Valores!$C$2,2)</f>
        <v>143487.5</v>
      </c>
      <c r="I8" s="192">
        <v>219</v>
      </c>
      <c r="J8" s="125">
        <f>ROUND(I8*Valores!$C$2,2)</f>
        <v>8315.36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25858.17</v>
      </c>
      <c r="N8" s="125">
        <f aca="true" t="shared" si="1" ref="N8:N71">ROUND(SUM(F8,H8,J8,L8,X8,R8)*$H$2,2)</f>
        <v>0</v>
      </c>
      <c r="O8" s="125">
        <f>Valores!$C$11</f>
        <v>33856.51</v>
      </c>
      <c r="P8" s="125">
        <f>Valores!$D$5</f>
        <v>19410.1</v>
      </c>
      <c r="Q8" s="125">
        <v>0</v>
      </c>
      <c r="R8" s="125">
        <f>IF($F$4="NO",Valores!$C$46,Valores!$C$46/2)</f>
        <v>16522.17</v>
      </c>
      <c r="S8" s="125">
        <v>0</v>
      </c>
      <c r="T8" s="125">
        <f>ROUND(S8*(1+$H$2),2)</f>
        <v>0</v>
      </c>
      <c r="U8" s="125">
        <f>SUM(F8,H8,J8)</f>
        <v>155865.62</v>
      </c>
      <c r="V8" s="125">
        <f>INT((SUM(F8,H8,J8)*0.4*100)+0.49)/100</f>
        <v>62346.25</v>
      </c>
      <c r="W8" s="192">
        <v>0</v>
      </c>
      <c r="X8" s="125">
        <f>ROUND(W8*Valores!$C$2,2)</f>
        <v>0</v>
      </c>
      <c r="Y8" s="125">
        <v>0</v>
      </c>
      <c r="Z8" s="125">
        <f>Valores!$C$94</f>
        <v>27846.26</v>
      </c>
      <c r="AA8" s="125">
        <f>Valores!$C$25</f>
        <v>793.88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793.88</v>
      </c>
      <c r="AE8" s="192">
        <v>0</v>
      </c>
      <c r="AF8" s="125">
        <f>ROUND(AE8*Valores!$C$2,2)</f>
        <v>0</v>
      </c>
      <c r="AG8" s="125">
        <f>ROUND(IF($F$4="NO",Valores!$C$63,Valores!$C$63/2),2)</f>
        <v>9076.17</v>
      </c>
      <c r="AH8" s="125">
        <f>SUM(F8,H8,J8,L8,M8,N8,O8,P8,Q8,R8,T8,U8,V8,X8,Y8,Z8,AA8,AC8,AD8,AF8,AG8)</f>
        <v>508234.63</v>
      </c>
      <c r="AI8" s="125">
        <f>Valores!$C$31</f>
        <v>0</v>
      </c>
      <c r="AJ8" s="125">
        <f>Valores!$C$87</f>
        <v>0</v>
      </c>
      <c r="AK8" s="125">
        <f>Valores!C$38*B8</f>
        <v>0</v>
      </c>
      <c r="AL8" s="125">
        <f>IF($F$3="NO",0,Valores!$C$55)</f>
        <v>0</v>
      </c>
      <c r="AM8" s="125">
        <f aca="true" t="shared" si="3" ref="AM8:AM71">SUM(AI8:AL8)</f>
        <v>0</v>
      </c>
      <c r="AN8" s="125">
        <f>AH8*Valores!$C$71</f>
        <v>-55905.8093</v>
      </c>
      <c r="AO8" s="125">
        <f>AH8*-Valores!$C$72</f>
        <v>0</v>
      </c>
      <c r="AP8" s="125">
        <f>AH8*Valores!$C$73</f>
        <v>-22870.55835</v>
      </c>
      <c r="AQ8" s="125">
        <f>Valores!$C$100</f>
        <v>-554.86</v>
      </c>
      <c r="AR8" s="125">
        <f>IF($F$5=0,Valores!$C$101,(Valores!$C$101+$F$5*(Valores!$C$101)))</f>
        <v>-550</v>
      </c>
      <c r="AS8" s="125">
        <f>AH8+AM8+SUM(AN8:AR8)</f>
        <v>428353.40235</v>
      </c>
      <c r="AT8" s="125">
        <f t="shared" si="0"/>
        <v>-55905.8093</v>
      </c>
      <c r="AU8" s="125">
        <f>AH8*Valores!$C$74</f>
        <v>-13722.33501</v>
      </c>
      <c r="AV8" s="125">
        <f>AH8*Valores!$C$75</f>
        <v>-1524.70389</v>
      </c>
      <c r="AW8" s="125">
        <f aca="true" t="shared" si="4" ref="AW8:AW71">AH8+AM8+SUM(AT8:AV8)</f>
        <v>437081.7818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4062.76</v>
      </c>
      <c r="G9" s="192">
        <v>3779</v>
      </c>
      <c r="H9" s="125">
        <f>ROUND(G9*Valores!$C$2,2)</f>
        <v>143487.5</v>
      </c>
      <c r="I9" s="192">
        <v>219</v>
      </c>
      <c r="J9" s="125">
        <f>ROUND(I9*Valores!$C$2,2)</f>
        <v>8315.36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25858.17</v>
      </c>
      <c r="N9" s="125">
        <f t="shared" si="1"/>
        <v>0</v>
      </c>
      <c r="O9" s="125">
        <f>Valores!$C$11</f>
        <v>33856.51</v>
      </c>
      <c r="P9" s="125">
        <f>Valores!$D$5</f>
        <v>19410.1</v>
      </c>
      <c r="Q9" s="125">
        <v>0</v>
      </c>
      <c r="R9" s="125">
        <f>IF($F$4="NO",Valores!$C$46,Valores!$C$46/2)</f>
        <v>16522.17</v>
      </c>
      <c r="S9" s="125">
        <v>0</v>
      </c>
      <c r="T9" s="125">
        <f>ROUND(S9*(1+$H$2),2)</f>
        <v>0</v>
      </c>
      <c r="U9" s="125">
        <f>SUM(F9,H9,J9)</f>
        <v>155865.62</v>
      </c>
      <c r="V9" s="125">
        <f>INT((SUM(F9,H9,J9)*0.4*100)+0.49)/100</f>
        <v>62346.25</v>
      </c>
      <c r="W9" s="192">
        <v>0</v>
      </c>
      <c r="X9" s="125">
        <f>ROUND(W9*Valores!$C$2,2)</f>
        <v>0</v>
      </c>
      <c r="Y9" s="125">
        <v>0</v>
      </c>
      <c r="Z9" s="125">
        <f>Valores!$C$94</f>
        <v>27846.26</v>
      </c>
      <c r="AA9" s="125">
        <f>Valores!$C$25</f>
        <v>793.88</v>
      </c>
      <c r="AB9" s="214">
        <v>0</v>
      </c>
      <c r="AC9" s="125">
        <f t="shared" si="2"/>
        <v>0</v>
      </c>
      <c r="AD9" s="125">
        <f>Valores!$C$26</f>
        <v>793.88</v>
      </c>
      <c r="AE9" s="192">
        <v>0</v>
      </c>
      <c r="AF9" s="125">
        <f>ROUND(AE9*Valores!$C$2,2)</f>
        <v>0</v>
      </c>
      <c r="AG9" s="125">
        <f>ROUND(IF($F$4="NO",Valores!$C$63,Valores!$C$63/2),2)</f>
        <v>9076.17</v>
      </c>
      <c r="AH9" s="125">
        <f aca="true" t="shared" si="5" ref="AH9:AH72">SUM(F9,H9,J9,L9,M9,N9,O9,P9,Q9,R9,T9,U9,V9,X9,Y9,Z9,AA9,AC9,AD9,AF9,AG9)</f>
        <v>508234.63</v>
      </c>
      <c r="AI9" s="125">
        <f>Valores!$C$31</f>
        <v>0</v>
      </c>
      <c r="AJ9" s="125">
        <f>Valores!$C$87</f>
        <v>0</v>
      </c>
      <c r="AK9" s="125">
        <f>Valores!C$38*B9</f>
        <v>0</v>
      </c>
      <c r="AL9" s="125">
        <f>IF($F$3="NO",0,Valores!$C$55)</f>
        <v>0</v>
      </c>
      <c r="AM9" s="125">
        <f t="shared" si="3"/>
        <v>0</v>
      </c>
      <c r="AN9" s="125">
        <f>AH9*Valores!$C$71</f>
        <v>-55905.8093</v>
      </c>
      <c r="AO9" s="125">
        <f>AH9*-Valores!$C$72</f>
        <v>0</v>
      </c>
      <c r="AP9" s="125">
        <f>AH9*Valores!$C$73</f>
        <v>-22870.55835</v>
      </c>
      <c r="AQ9" s="125">
        <f>Valores!$C$100</f>
        <v>-554.86</v>
      </c>
      <c r="AR9" s="125">
        <f>IF($F$5=0,Valores!$C$101,(Valores!$C$101+$F$5*(Valores!$C$101)))</f>
        <v>-550</v>
      </c>
      <c r="AS9" s="125">
        <f aca="true" t="shared" si="6" ref="AS9:AS72">AH9+SUM(AM9:AR9)</f>
        <v>428353.40235</v>
      </c>
      <c r="AT9" s="125">
        <f t="shared" si="0"/>
        <v>-55905.8093</v>
      </c>
      <c r="AU9" s="125">
        <f>AH9*Valores!$C$74</f>
        <v>-13722.33501</v>
      </c>
      <c r="AV9" s="125">
        <f>AH9*Valores!$C$75</f>
        <v>-1524.70389</v>
      </c>
      <c r="AW9" s="125">
        <f t="shared" si="4"/>
        <v>437081.7818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4062.76</v>
      </c>
      <c r="G10" s="192">
        <v>3720</v>
      </c>
      <c r="H10" s="125">
        <f>ROUND(G10*Valores!$C$2,2)</f>
        <v>141247.28</v>
      </c>
      <c r="I10" s="192">
        <v>1226</v>
      </c>
      <c r="J10" s="125">
        <f>ROUND(I10*Valores!$C$2,2)</f>
        <v>46550.85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33966.67</v>
      </c>
      <c r="N10" s="125">
        <f t="shared" si="1"/>
        <v>0</v>
      </c>
      <c r="O10" s="125">
        <f>Valores!$C$13</f>
        <v>34779.28</v>
      </c>
      <c r="P10" s="125">
        <f>Valores!$D$5</f>
        <v>19410.1</v>
      </c>
      <c r="Q10" s="125">
        <v>0</v>
      </c>
      <c r="R10" s="125">
        <f>IF($F$4="NO",Valores!$C$46,Valores!$C$46/2)</f>
        <v>16522.17</v>
      </c>
      <c r="S10" s="125">
        <f>Valores!$C$19</f>
        <v>18061.41</v>
      </c>
      <c r="T10" s="125">
        <f>ROUND(S10*(1+$H$2),2)</f>
        <v>18061.41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Valores!$C$94</f>
        <v>27846.26</v>
      </c>
      <c r="AA10" s="125">
        <f>Valores!$C$25</f>
        <v>793.88</v>
      </c>
      <c r="AB10" s="214">
        <v>0</v>
      </c>
      <c r="AC10" s="125">
        <f t="shared" si="2"/>
        <v>0</v>
      </c>
      <c r="AD10" s="125">
        <f>Valores!$C$26</f>
        <v>793.88</v>
      </c>
      <c r="AE10" s="192">
        <v>0</v>
      </c>
      <c r="AF10" s="125">
        <f>ROUND(AE10*Valores!$C$2,2)</f>
        <v>0</v>
      </c>
      <c r="AG10" s="125">
        <f>ROUND(IF($F$4="NO",Valores!$C$63,Valores!$C$63/2),2)</f>
        <v>9076.17</v>
      </c>
      <c r="AH10" s="125">
        <f t="shared" si="5"/>
        <v>353110.70999999996</v>
      </c>
      <c r="AI10" s="125">
        <f>Valores!$C$31</f>
        <v>0</v>
      </c>
      <c r="AJ10" s="125">
        <f>Valores!$C$87</f>
        <v>0</v>
      </c>
      <c r="AK10" s="125">
        <f>Valores!C$38*B10</f>
        <v>0</v>
      </c>
      <c r="AL10" s="125">
        <f>IF($F$3="NO",0,Valores!$C$55)</f>
        <v>0</v>
      </c>
      <c r="AM10" s="125">
        <f t="shared" si="3"/>
        <v>0</v>
      </c>
      <c r="AN10" s="125">
        <f>AH10*Valores!$C$71</f>
        <v>-38842.1781</v>
      </c>
      <c r="AO10" s="125">
        <f>AH10*-Valores!$C$72</f>
        <v>0</v>
      </c>
      <c r="AP10" s="125">
        <f>AH10*Valores!$C$73</f>
        <v>-15889.981949999998</v>
      </c>
      <c r="AQ10" s="125">
        <f>Valores!$C$100</f>
        <v>-554.86</v>
      </c>
      <c r="AR10" s="125">
        <f>IF($F$5=0,Valores!$C$101,(Valores!$C$101+$F$5*(Valores!$C$101)))</f>
        <v>-550</v>
      </c>
      <c r="AS10" s="125">
        <f t="shared" si="6"/>
        <v>297273.68994999997</v>
      </c>
      <c r="AT10" s="125">
        <f t="shared" si="0"/>
        <v>-38842.1781</v>
      </c>
      <c r="AU10" s="125">
        <f>AH10*Valores!$C$74</f>
        <v>-9533.989169999999</v>
      </c>
      <c r="AV10" s="125">
        <f>AH10*Valores!$C$75</f>
        <v>-1059.33213</v>
      </c>
      <c r="AW10" s="125">
        <f t="shared" si="4"/>
        <v>303675.2106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4062.76</v>
      </c>
      <c r="G11" s="192">
        <v>3779</v>
      </c>
      <c r="H11" s="125">
        <f>ROUND(G11*Valores!$C$2,2)</f>
        <v>143487.5</v>
      </c>
      <c r="I11" s="192">
        <v>219</v>
      </c>
      <c r="J11" s="125">
        <f>ROUND(I11*Valores!$C$2,2)</f>
        <v>8315.36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25858.17</v>
      </c>
      <c r="N11" s="125">
        <f t="shared" si="1"/>
        <v>0</v>
      </c>
      <c r="O11" s="125">
        <f>Valores!$C$11</f>
        <v>33856.51</v>
      </c>
      <c r="P11" s="125">
        <f>Valores!$D$5</f>
        <v>19410.1</v>
      </c>
      <c r="Q11" s="125">
        <v>0</v>
      </c>
      <c r="R11" s="125">
        <f>IF($F$4="NO",Valores!$C$46,Valores!$C$46/2)</f>
        <v>16522.17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155865.62</v>
      </c>
      <c r="V11" s="125">
        <f aca="true" t="shared" si="9" ref="V11:V20">INT((SUM(F11,H11,J11)*0.4*100)+0.49)/100</f>
        <v>62346.25</v>
      </c>
      <c r="W11" s="192">
        <v>0</v>
      </c>
      <c r="X11" s="125">
        <f>ROUND(W11*Valores!$C$2,2)</f>
        <v>0</v>
      </c>
      <c r="Y11" s="125">
        <v>0</v>
      </c>
      <c r="Z11" s="125">
        <f>Valores!$C$94</f>
        <v>27846.26</v>
      </c>
      <c r="AA11" s="125">
        <f>Valores!$C$25</f>
        <v>793.88</v>
      </c>
      <c r="AB11" s="214">
        <v>0</v>
      </c>
      <c r="AC11" s="125">
        <f t="shared" si="2"/>
        <v>0</v>
      </c>
      <c r="AD11" s="125">
        <f>Valores!$C$26</f>
        <v>793.88</v>
      </c>
      <c r="AE11" s="192">
        <v>0</v>
      </c>
      <c r="AF11" s="125">
        <f>ROUND(AE11*Valores!$C$2,2)</f>
        <v>0</v>
      </c>
      <c r="AG11" s="125">
        <f>ROUND(IF($F$4="NO",Valores!$C$63,Valores!$C$63/2),2)</f>
        <v>9076.17</v>
      </c>
      <c r="AH11" s="125">
        <f t="shared" si="5"/>
        <v>508234.63</v>
      </c>
      <c r="AI11" s="125">
        <f>Valores!$C$31</f>
        <v>0</v>
      </c>
      <c r="AJ11" s="125">
        <f>Valores!$C$87</f>
        <v>0</v>
      </c>
      <c r="AK11" s="125">
        <f>Valores!C$38*B11</f>
        <v>0</v>
      </c>
      <c r="AL11" s="125">
        <f>IF($F$3="NO",0,Valores!$C$55)</f>
        <v>0</v>
      </c>
      <c r="AM11" s="125">
        <f t="shared" si="3"/>
        <v>0</v>
      </c>
      <c r="AN11" s="125">
        <f>AH11*Valores!$C$71</f>
        <v>-55905.8093</v>
      </c>
      <c r="AO11" s="125">
        <f>AH11*-Valores!$C$72</f>
        <v>0</v>
      </c>
      <c r="AP11" s="125">
        <f>AH11*Valores!$C$73</f>
        <v>-22870.55835</v>
      </c>
      <c r="AQ11" s="125">
        <f>Valores!$C$100</f>
        <v>-554.86</v>
      </c>
      <c r="AR11" s="125">
        <f>IF($F$5=0,Valores!$C$101,(Valores!$C$101+$F$5*(Valores!$C$101)))</f>
        <v>-550</v>
      </c>
      <c r="AS11" s="125">
        <f t="shared" si="6"/>
        <v>428353.40235</v>
      </c>
      <c r="AT11" s="125">
        <f t="shared" si="0"/>
        <v>-55905.8093</v>
      </c>
      <c r="AU11" s="125">
        <f>AH11*Valores!$C$74</f>
        <v>-13722.33501</v>
      </c>
      <c r="AV11" s="125">
        <f>AH11*Valores!$C$75</f>
        <v>-1524.70389</v>
      </c>
      <c r="AW11" s="125">
        <f t="shared" si="4"/>
        <v>437081.7818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4062.76</v>
      </c>
      <c r="G12" s="192">
        <v>3779</v>
      </c>
      <c r="H12" s="125">
        <f>ROUND(G12*Valores!$C$2,2)</f>
        <v>143487.5</v>
      </c>
      <c r="I12" s="192">
        <v>219</v>
      </c>
      <c r="J12" s="125">
        <f>ROUND(I12*Valores!$C$2,2)</f>
        <v>8315.36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25858.17</v>
      </c>
      <c r="N12" s="125">
        <f t="shared" si="1"/>
        <v>0</v>
      </c>
      <c r="O12" s="125">
        <f>Valores!$C$11</f>
        <v>33856.51</v>
      </c>
      <c r="P12" s="125">
        <f>Valores!$D$5</f>
        <v>19410.1</v>
      </c>
      <c r="Q12" s="125">
        <v>0</v>
      </c>
      <c r="R12" s="125">
        <f>IF($F$4="NO",Valores!$C$46,Valores!$C$46/2)</f>
        <v>16522.17</v>
      </c>
      <c r="S12" s="125">
        <v>0</v>
      </c>
      <c r="T12" s="125">
        <f t="shared" si="7"/>
        <v>0</v>
      </c>
      <c r="U12" s="125">
        <f t="shared" si="8"/>
        <v>155865.62</v>
      </c>
      <c r="V12" s="125">
        <f t="shared" si="9"/>
        <v>62346.25</v>
      </c>
      <c r="W12" s="192">
        <v>0</v>
      </c>
      <c r="X12" s="125">
        <f>ROUND(W12*Valores!$C$2,2)</f>
        <v>0</v>
      </c>
      <c r="Y12" s="125">
        <v>0</v>
      </c>
      <c r="Z12" s="125">
        <f>Valores!$C$94</f>
        <v>27846.26</v>
      </c>
      <c r="AA12" s="125">
        <f>Valores!$C$25</f>
        <v>793.88</v>
      </c>
      <c r="AB12" s="214">
        <v>0</v>
      </c>
      <c r="AC12" s="125">
        <f t="shared" si="2"/>
        <v>0</v>
      </c>
      <c r="AD12" s="125">
        <f>Valores!$C$26</f>
        <v>793.88</v>
      </c>
      <c r="AE12" s="192">
        <v>0</v>
      </c>
      <c r="AF12" s="125">
        <f>ROUND(AE12*Valores!$C$2,2)</f>
        <v>0</v>
      </c>
      <c r="AG12" s="125">
        <f>ROUND(IF($F$4="NO",Valores!$C$63,Valores!$C$63/2),2)</f>
        <v>9076.17</v>
      </c>
      <c r="AH12" s="125">
        <f t="shared" si="5"/>
        <v>508234.63</v>
      </c>
      <c r="AI12" s="125">
        <f>Valores!$C$31</f>
        <v>0</v>
      </c>
      <c r="AJ12" s="125">
        <f>Valores!$C$87</f>
        <v>0</v>
      </c>
      <c r="AK12" s="125">
        <f>Valores!C$38*B12</f>
        <v>0</v>
      </c>
      <c r="AL12" s="125">
        <f>IF($F$3="NO",0,Valores!$C$55)</f>
        <v>0</v>
      </c>
      <c r="AM12" s="125">
        <f t="shared" si="3"/>
        <v>0</v>
      </c>
      <c r="AN12" s="125">
        <f>AH12*Valores!$C$71</f>
        <v>-55905.8093</v>
      </c>
      <c r="AO12" s="125">
        <f>AH12*-Valores!$C$72</f>
        <v>0</v>
      </c>
      <c r="AP12" s="125">
        <f>AH12*Valores!$C$73</f>
        <v>-22870.55835</v>
      </c>
      <c r="AQ12" s="125">
        <f>Valores!$C$100</f>
        <v>-554.86</v>
      </c>
      <c r="AR12" s="125">
        <f>IF($F$5=0,Valores!$C$101,(Valores!$C$101+$F$5*(Valores!$C$101)))</f>
        <v>-550</v>
      </c>
      <c r="AS12" s="125">
        <f t="shared" si="6"/>
        <v>428353.40235</v>
      </c>
      <c r="AT12" s="125">
        <f t="shared" si="0"/>
        <v>-55905.8093</v>
      </c>
      <c r="AU12" s="125">
        <f>AH12*Valores!$C$74</f>
        <v>-13722.33501</v>
      </c>
      <c r="AV12" s="125">
        <f>AH12*Valores!$C$75</f>
        <v>-1524.70389</v>
      </c>
      <c r="AW12" s="125">
        <f t="shared" si="4"/>
        <v>437081.7818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4062.76</v>
      </c>
      <c r="G13" s="192">
        <v>3779</v>
      </c>
      <c r="H13" s="125">
        <f>ROUND(G13*Valores!$C$2,2)</f>
        <v>143487.5</v>
      </c>
      <c r="I13" s="192">
        <v>219</v>
      </c>
      <c r="J13" s="125">
        <f>ROUND(I13*Valores!$C$2,2)</f>
        <v>8315.36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25858.17</v>
      </c>
      <c r="N13" s="125">
        <f t="shared" si="1"/>
        <v>0</v>
      </c>
      <c r="O13" s="125">
        <f>Valores!$C$11</f>
        <v>33856.51</v>
      </c>
      <c r="P13" s="125">
        <f>Valores!$D$5</f>
        <v>19410.1</v>
      </c>
      <c r="Q13" s="125">
        <v>0</v>
      </c>
      <c r="R13" s="125">
        <f>IF($F$4="NO",Valores!$C$46,Valores!$C$46/2)</f>
        <v>16522.17</v>
      </c>
      <c r="S13" s="125">
        <v>0</v>
      </c>
      <c r="T13" s="125">
        <f t="shared" si="7"/>
        <v>0</v>
      </c>
      <c r="U13" s="125">
        <f t="shared" si="8"/>
        <v>155865.62</v>
      </c>
      <c r="V13" s="125">
        <f t="shared" si="9"/>
        <v>62346.25</v>
      </c>
      <c r="W13" s="192">
        <v>0</v>
      </c>
      <c r="X13" s="125">
        <f>ROUND(W13*Valores!$C$2,2)</f>
        <v>0</v>
      </c>
      <c r="Y13" s="125">
        <v>0</v>
      </c>
      <c r="Z13" s="125">
        <f>Valores!$C$94</f>
        <v>27846.26</v>
      </c>
      <c r="AA13" s="125">
        <f>Valores!$C$25</f>
        <v>793.88</v>
      </c>
      <c r="AB13" s="214">
        <v>0</v>
      </c>
      <c r="AC13" s="125">
        <f t="shared" si="2"/>
        <v>0</v>
      </c>
      <c r="AD13" s="125">
        <f>Valores!$C$26</f>
        <v>793.88</v>
      </c>
      <c r="AE13" s="192">
        <v>0</v>
      </c>
      <c r="AF13" s="125">
        <f>ROUND(AE13*Valores!$C$2,2)</f>
        <v>0</v>
      </c>
      <c r="AG13" s="125">
        <f>ROUND(IF($F$4="NO",Valores!$C$63,Valores!$C$63/2),2)</f>
        <v>9076.17</v>
      </c>
      <c r="AH13" s="125">
        <f t="shared" si="5"/>
        <v>508234.63</v>
      </c>
      <c r="AI13" s="125">
        <f>Valores!$C$31</f>
        <v>0</v>
      </c>
      <c r="AJ13" s="125">
        <f>Valores!$C$87</f>
        <v>0</v>
      </c>
      <c r="AK13" s="125">
        <f>Valores!C$38*B13</f>
        <v>0</v>
      </c>
      <c r="AL13" s="125">
        <f>IF($F$3="NO",0,Valores!$C$55)</f>
        <v>0</v>
      </c>
      <c r="AM13" s="125">
        <f t="shared" si="3"/>
        <v>0</v>
      </c>
      <c r="AN13" s="125">
        <f>AH13*Valores!$C$71</f>
        <v>-55905.8093</v>
      </c>
      <c r="AO13" s="125">
        <f>AH13*-Valores!$C$72</f>
        <v>0</v>
      </c>
      <c r="AP13" s="125">
        <f>AH13*Valores!$C$73</f>
        <v>-22870.55835</v>
      </c>
      <c r="AQ13" s="125">
        <f>Valores!$C$100</f>
        <v>-554.86</v>
      </c>
      <c r="AR13" s="125">
        <f>IF($F$5=0,Valores!$C$101,(Valores!$C$101+$F$5*(Valores!$C$101)))</f>
        <v>-550</v>
      </c>
      <c r="AS13" s="125">
        <f t="shared" si="6"/>
        <v>428353.40235</v>
      </c>
      <c r="AT13" s="125">
        <f t="shared" si="0"/>
        <v>-55905.8093</v>
      </c>
      <c r="AU13" s="125">
        <f>AH13*Valores!$C$74</f>
        <v>-13722.33501</v>
      </c>
      <c r="AV13" s="125">
        <f>AH13*Valores!$C$75</f>
        <v>-1524.70389</v>
      </c>
      <c r="AW13" s="125">
        <f t="shared" si="4"/>
        <v>437081.7818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4062.76</v>
      </c>
      <c r="G14" s="192">
        <v>3779</v>
      </c>
      <c r="H14" s="125">
        <f>ROUND(G14*Valores!$C$2,2)</f>
        <v>143487.5</v>
      </c>
      <c r="I14" s="192">
        <v>219</v>
      </c>
      <c r="J14" s="125">
        <f>ROUND(I14*Valores!$C$2,2)</f>
        <v>8315.36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25858.17</v>
      </c>
      <c r="N14" s="125">
        <f t="shared" si="1"/>
        <v>0</v>
      </c>
      <c r="O14" s="125">
        <f>Valores!$C$11</f>
        <v>33856.51</v>
      </c>
      <c r="P14" s="125">
        <f>Valores!$D$5</f>
        <v>19410.1</v>
      </c>
      <c r="Q14" s="125">
        <v>0</v>
      </c>
      <c r="R14" s="125">
        <f>IF($F$4="NO",Valores!$C$46,Valores!$C$46/2)</f>
        <v>16522.17</v>
      </c>
      <c r="S14" s="125">
        <v>0</v>
      </c>
      <c r="T14" s="125">
        <f t="shared" si="7"/>
        <v>0</v>
      </c>
      <c r="U14" s="125">
        <f t="shared" si="8"/>
        <v>155865.62</v>
      </c>
      <c r="V14" s="125">
        <f t="shared" si="9"/>
        <v>62346.25</v>
      </c>
      <c r="W14" s="192">
        <v>0</v>
      </c>
      <c r="X14" s="125">
        <f>ROUND(W14*Valores!$C$2,2)</f>
        <v>0</v>
      </c>
      <c r="Y14" s="125">
        <v>0</v>
      </c>
      <c r="Z14" s="125">
        <f>Valores!$C$94</f>
        <v>27846.26</v>
      </c>
      <c r="AA14" s="125">
        <f>Valores!$C$25</f>
        <v>793.88</v>
      </c>
      <c r="AB14" s="214">
        <v>0</v>
      </c>
      <c r="AC14" s="125">
        <f t="shared" si="2"/>
        <v>0</v>
      </c>
      <c r="AD14" s="125">
        <f>Valores!$C$26</f>
        <v>793.88</v>
      </c>
      <c r="AE14" s="192">
        <v>0</v>
      </c>
      <c r="AF14" s="125">
        <f>ROUND(AE14*Valores!$C$2,2)</f>
        <v>0</v>
      </c>
      <c r="AG14" s="125">
        <f>ROUND(IF($F$4="NO",Valores!$C$63,Valores!$C$63/2),2)</f>
        <v>9076.17</v>
      </c>
      <c r="AH14" s="125">
        <f t="shared" si="5"/>
        <v>508234.63</v>
      </c>
      <c r="AI14" s="125">
        <f>Valores!$C$31</f>
        <v>0</v>
      </c>
      <c r="AJ14" s="125">
        <f>Valores!$C$87</f>
        <v>0</v>
      </c>
      <c r="AK14" s="125">
        <f>Valores!C$38*B14</f>
        <v>0</v>
      </c>
      <c r="AL14" s="125">
        <f>IF($F$3="NO",0,Valores!$C$55)</f>
        <v>0</v>
      </c>
      <c r="AM14" s="125">
        <f t="shared" si="3"/>
        <v>0</v>
      </c>
      <c r="AN14" s="125">
        <f>AH14*Valores!$C$71</f>
        <v>-55905.8093</v>
      </c>
      <c r="AO14" s="125">
        <f>AH14*-Valores!$C$72</f>
        <v>0</v>
      </c>
      <c r="AP14" s="125">
        <f>AH14*Valores!$C$73</f>
        <v>-22870.55835</v>
      </c>
      <c r="AQ14" s="125">
        <f>Valores!$C$100</f>
        <v>-554.86</v>
      </c>
      <c r="AR14" s="125">
        <f>IF($F$5=0,Valores!$C$101,(Valores!$C$101+$F$5*(Valores!$C$101)))</f>
        <v>-550</v>
      </c>
      <c r="AS14" s="125">
        <f t="shared" si="6"/>
        <v>428353.40235</v>
      </c>
      <c r="AT14" s="125">
        <f t="shared" si="0"/>
        <v>-55905.8093</v>
      </c>
      <c r="AU14" s="125">
        <f>AH14*Valores!$C$74</f>
        <v>-13722.33501</v>
      </c>
      <c r="AV14" s="125">
        <f>AH14*Valores!$C$75</f>
        <v>-1524.70389</v>
      </c>
      <c r="AW14" s="125">
        <f t="shared" si="4"/>
        <v>437081.7818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4062.76</v>
      </c>
      <c r="G15" s="192">
        <v>3779</v>
      </c>
      <c r="H15" s="125">
        <f>ROUND(G15*Valores!$C$2,2)</f>
        <v>143487.5</v>
      </c>
      <c r="I15" s="192">
        <v>219</v>
      </c>
      <c r="J15" s="125">
        <f>ROUND(I15*Valores!$C$2,2)</f>
        <v>8315.36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25858.17</v>
      </c>
      <c r="N15" s="125">
        <f t="shared" si="1"/>
        <v>0</v>
      </c>
      <c r="O15" s="125">
        <f>Valores!$C$11</f>
        <v>33856.51</v>
      </c>
      <c r="P15" s="125">
        <f>Valores!$D$5</f>
        <v>19410.1</v>
      </c>
      <c r="Q15" s="125">
        <v>0</v>
      </c>
      <c r="R15" s="125">
        <f>IF($F$4="NO",Valores!$C$46,Valores!$C$46/2)</f>
        <v>16522.17</v>
      </c>
      <c r="S15" s="125">
        <v>0</v>
      </c>
      <c r="T15" s="125">
        <f t="shared" si="7"/>
        <v>0</v>
      </c>
      <c r="U15" s="125">
        <f t="shared" si="8"/>
        <v>155865.62</v>
      </c>
      <c r="V15" s="125">
        <f t="shared" si="9"/>
        <v>62346.25</v>
      </c>
      <c r="W15" s="192">
        <v>0</v>
      </c>
      <c r="X15" s="125">
        <f>ROUND(W15*Valores!$C$2,2)</f>
        <v>0</v>
      </c>
      <c r="Y15" s="125">
        <v>0</v>
      </c>
      <c r="Z15" s="125">
        <f>Valores!$C$94</f>
        <v>27846.26</v>
      </c>
      <c r="AA15" s="125">
        <f>Valores!$C$25</f>
        <v>793.88</v>
      </c>
      <c r="AB15" s="214">
        <v>0</v>
      </c>
      <c r="AC15" s="125">
        <f t="shared" si="2"/>
        <v>0</v>
      </c>
      <c r="AD15" s="125">
        <f>Valores!$C$26</f>
        <v>793.88</v>
      </c>
      <c r="AE15" s="192">
        <v>0</v>
      </c>
      <c r="AF15" s="125">
        <f>ROUND(AE15*Valores!$C$2,2)</f>
        <v>0</v>
      </c>
      <c r="AG15" s="125">
        <f>ROUND(IF($F$4="NO",Valores!$C$63,Valores!$C$63/2),2)</f>
        <v>9076.17</v>
      </c>
      <c r="AH15" s="125">
        <f t="shared" si="5"/>
        <v>508234.63</v>
      </c>
      <c r="AI15" s="125">
        <f>Valores!$C$31</f>
        <v>0</v>
      </c>
      <c r="AJ15" s="125">
        <f>Valores!$C$87</f>
        <v>0</v>
      </c>
      <c r="AK15" s="125">
        <f>Valores!C$38*B15</f>
        <v>0</v>
      </c>
      <c r="AL15" s="125">
        <f>IF($F$3="NO",0,Valores!$C$55)</f>
        <v>0</v>
      </c>
      <c r="AM15" s="125">
        <f t="shared" si="3"/>
        <v>0</v>
      </c>
      <c r="AN15" s="125">
        <f>AH15*Valores!$C$71</f>
        <v>-55905.8093</v>
      </c>
      <c r="AO15" s="125">
        <f>AH15*-Valores!$C$72</f>
        <v>0</v>
      </c>
      <c r="AP15" s="125">
        <f>AH15*Valores!$C$73</f>
        <v>-22870.55835</v>
      </c>
      <c r="AQ15" s="125">
        <f>Valores!$C$100</f>
        <v>-554.86</v>
      </c>
      <c r="AR15" s="125">
        <f>IF($F$5=0,Valores!$C$101,(Valores!$C$101+$F$5*(Valores!$C$101)))</f>
        <v>-550</v>
      </c>
      <c r="AS15" s="125">
        <f t="shared" si="6"/>
        <v>428353.40235</v>
      </c>
      <c r="AT15" s="125">
        <f t="shared" si="0"/>
        <v>-55905.8093</v>
      </c>
      <c r="AU15" s="125">
        <f>AH15*Valores!$C$74</f>
        <v>-13722.33501</v>
      </c>
      <c r="AV15" s="125">
        <f>AH15*Valores!$C$75</f>
        <v>-1524.70389</v>
      </c>
      <c r="AW15" s="125">
        <f t="shared" si="4"/>
        <v>437081.7818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3796.97</v>
      </c>
      <c r="G16" s="192">
        <v>3727</v>
      </c>
      <c r="H16" s="125">
        <f>ROUND(G16*Valores!$C$2,2)</f>
        <v>141513.07</v>
      </c>
      <c r="I16" s="192">
        <v>219</v>
      </c>
      <c r="J16" s="125">
        <f>ROUND(I16*Valores!$C$2,2)</f>
        <v>8315.36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25522.14</v>
      </c>
      <c r="N16" s="125">
        <f t="shared" si="1"/>
        <v>0</v>
      </c>
      <c r="O16" s="125">
        <f>Valores!$C$11</f>
        <v>33856.51</v>
      </c>
      <c r="P16" s="125">
        <f>Valores!$D$5</f>
        <v>19410.1</v>
      </c>
      <c r="Q16" s="125">
        <v>0</v>
      </c>
      <c r="R16" s="125">
        <f>IF($F$4="NO",Valores!$C$46,Valores!$C$46/2)</f>
        <v>16522.17</v>
      </c>
      <c r="S16" s="125">
        <v>0</v>
      </c>
      <c r="T16" s="125">
        <f t="shared" si="7"/>
        <v>0</v>
      </c>
      <c r="U16" s="125">
        <f t="shared" si="8"/>
        <v>153625.40000000002</v>
      </c>
      <c r="V16" s="125">
        <f t="shared" si="9"/>
        <v>61450.16</v>
      </c>
      <c r="W16" s="192">
        <v>0</v>
      </c>
      <c r="X16" s="125">
        <f>ROUND(W16*Valores!$C$2,2)</f>
        <v>0</v>
      </c>
      <c r="Y16" s="125">
        <v>0</v>
      </c>
      <c r="Z16" s="125">
        <f>Valores!$C$94</f>
        <v>27846.26</v>
      </c>
      <c r="AA16" s="125">
        <f>Valores!$C$25</f>
        <v>793.88</v>
      </c>
      <c r="AB16" s="214">
        <v>0</v>
      </c>
      <c r="AC16" s="125">
        <f t="shared" si="2"/>
        <v>0</v>
      </c>
      <c r="AD16" s="125">
        <f>Valores!$C$26</f>
        <v>793.88</v>
      </c>
      <c r="AE16" s="192">
        <v>0</v>
      </c>
      <c r="AF16" s="125">
        <f>ROUND(AE16*Valores!$C$2,2)</f>
        <v>0</v>
      </c>
      <c r="AG16" s="125">
        <f>ROUND(IF($F$4="NO",Valores!$C$63,Valores!$C$63/2),2)</f>
        <v>9076.17</v>
      </c>
      <c r="AH16" s="125">
        <f t="shared" si="5"/>
        <v>502522.0700000001</v>
      </c>
      <c r="AI16" s="125">
        <f>Valores!$C$31</f>
        <v>0</v>
      </c>
      <c r="AJ16" s="125">
        <f>Valores!$C$87</f>
        <v>0</v>
      </c>
      <c r="AK16" s="125">
        <f>Valores!C$38*B16</f>
        <v>0</v>
      </c>
      <c r="AL16" s="125">
        <f>IF($F$3="NO",0,Valores!$C$55)</f>
        <v>0</v>
      </c>
      <c r="AM16" s="125">
        <f t="shared" si="3"/>
        <v>0</v>
      </c>
      <c r="AN16" s="125">
        <f>AH16*Valores!$C$71</f>
        <v>-55277.427700000015</v>
      </c>
      <c r="AO16" s="125">
        <f>AH16*-Valores!$C$72</f>
        <v>0</v>
      </c>
      <c r="AP16" s="125">
        <f>AH16*Valores!$C$73</f>
        <v>-22613.493150000006</v>
      </c>
      <c r="AQ16" s="125">
        <f>Valores!$C$100</f>
        <v>-554.86</v>
      </c>
      <c r="AR16" s="125">
        <f>IF($F$5=0,Valores!$C$101,(Valores!$C$101+$F$5*(Valores!$C$101)))</f>
        <v>-550</v>
      </c>
      <c r="AS16" s="125">
        <f t="shared" si="6"/>
        <v>423526.2891500001</v>
      </c>
      <c r="AT16" s="125">
        <f t="shared" si="0"/>
        <v>-55277.427700000015</v>
      </c>
      <c r="AU16" s="125">
        <f>AH16*Valores!$C$74</f>
        <v>-13568.095890000002</v>
      </c>
      <c r="AV16" s="125">
        <f>AH16*Valores!$C$75</f>
        <v>-1507.5662100000004</v>
      </c>
      <c r="AW16" s="125">
        <f t="shared" si="4"/>
        <v>432168.9802000001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3796.97</v>
      </c>
      <c r="G17" s="192">
        <v>3727</v>
      </c>
      <c r="H17" s="125">
        <f>ROUND(G17*Valores!$C$2,2)</f>
        <v>141513.07</v>
      </c>
      <c r="I17" s="192">
        <v>219</v>
      </c>
      <c r="J17" s="125">
        <f>ROUND(I17*Valores!$C$2,2)</f>
        <v>8315.36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25522.14</v>
      </c>
      <c r="N17" s="125">
        <f t="shared" si="1"/>
        <v>0</v>
      </c>
      <c r="O17" s="125">
        <f>Valores!$C$11</f>
        <v>33856.51</v>
      </c>
      <c r="P17" s="125">
        <f>Valores!$D$5</f>
        <v>19410.1</v>
      </c>
      <c r="Q17" s="125">
        <v>0</v>
      </c>
      <c r="R17" s="125">
        <f>IF($F$4="NO",Valores!$C$46,Valores!$C$46/2)</f>
        <v>16522.17</v>
      </c>
      <c r="S17" s="125">
        <v>0</v>
      </c>
      <c r="T17" s="125">
        <f t="shared" si="7"/>
        <v>0</v>
      </c>
      <c r="U17" s="125">
        <f t="shared" si="8"/>
        <v>153625.40000000002</v>
      </c>
      <c r="V17" s="125">
        <f t="shared" si="9"/>
        <v>61450.16</v>
      </c>
      <c r="W17" s="192">
        <v>0</v>
      </c>
      <c r="X17" s="125">
        <f>ROUND(W17*Valores!$C$2,2)</f>
        <v>0</v>
      </c>
      <c r="Y17" s="125">
        <v>0</v>
      </c>
      <c r="Z17" s="125">
        <f>Valores!$C$94</f>
        <v>27846.26</v>
      </c>
      <c r="AA17" s="125">
        <f>Valores!$C$25</f>
        <v>793.88</v>
      </c>
      <c r="AB17" s="214">
        <v>0</v>
      </c>
      <c r="AC17" s="125">
        <f t="shared" si="2"/>
        <v>0</v>
      </c>
      <c r="AD17" s="125">
        <f>Valores!$C$26</f>
        <v>793.88</v>
      </c>
      <c r="AE17" s="192">
        <v>0</v>
      </c>
      <c r="AF17" s="125">
        <f>ROUND(AE17*Valores!$C$2,2)</f>
        <v>0</v>
      </c>
      <c r="AG17" s="125">
        <f>ROUND(IF($F$4="NO",Valores!$C$63,Valores!$C$63/2),2)</f>
        <v>9076.17</v>
      </c>
      <c r="AH17" s="125">
        <f t="shared" si="5"/>
        <v>502522.0700000001</v>
      </c>
      <c r="AI17" s="125">
        <f>Valores!$C$31</f>
        <v>0</v>
      </c>
      <c r="AJ17" s="125">
        <f>Valores!$C$87</f>
        <v>0</v>
      </c>
      <c r="AK17" s="125">
        <f>Valores!C$38*B17</f>
        <v>0</v>
      </c>
      <c r="AL17" s="125">
        <f>IF($F$3="NO",0,Valores!$C$55)</f>
        <v>0</v>
      </c>
      <c r="AM17" s="125">
        <f t="shared" si="3"/>
        <v>0</v>
      </c>
      <c r="AN17" s="125">
        <f>AH17*Valores!$C$71</f>
        <v>-55277.427700000015</v>
      </c>
      <c r="AO17" s="125">
        <f>AH17*-Valores!$C$72</f>
        <v>0</v>
      </c>
      <c r="AP17" s="125">
        <f>AH17*Valores!$C$73</f>
        <v>-22613.493150000006</v>
      </c>
      <c r="AQ17" s="125">
        <f>Valores!$C$100</f>
        <v>-554.86</v>
      </c>
      <c r="AR17" s="125">
        <f>IF($F$5=0,Valores!$C$101,(Valores!$C$101+$F$5*(Valores!$C$101)))</f>
        <v>-550</v>
      </c>
      <c r="AS17" s="125">
        <f t="shared" si="6"/>
        <v>423526.2891500001</v>
      </c>
      <c r="AT17" s="125">
        <f t="shared" si="0"/>
        <v>-55277.427700000015</v>
      </c>
      <c r="AU17" s="125">
        <f>AH17*Valores!$C$74</f>
        <v>-13568.095890000002</v>
      </c>
      <c r="AV17" s="125">
        <f>AH17*Valores!$C$75</f>
        <v>-1507.5662100000004</v>
      </c>
      <c r="AW17" s="125">
        <f t="shared" si="4"/>
        <v>432168.9802000001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3796.97</v>
      </c>
      <c r="G18" s="192">
        <v>3727</v>
      </c>
      <c r="H18" s="125">
        <f>ROUND(G18*Valores!$C$2,2)</f>
        <v>141513.07</v>
      </c>
      <c r="I18" s="192">
        <v>219</v>
      </c>
      <c r="J18" s="125">
        <f>ROUND(I18*Valores!$C$2,2)</f>
        <v>8315.36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25522.14</v>
      </c>
      <c r="N18" s="125">
        <f t="shared" si="1"/>
        <v>0</v>
      </c>
      <c r="O18" s="125">
        <f>Valores!$C$11</f>
        <v>33856.51</v>
      </c>
      <c r="P18" s="125">
        <f>Valores!$D$5</f>
        <v>19410.1</v>
      </c>
      <c r="Q18" s="125">
        <v>0</v>
      </c>
      <c r="R18" s="125">
        <f>IF($F$4="NO",Valores!$C$46,Valores!$C$46/2)</f>
        <v>16522.17</v>
      </c>
      <c r="S18" s="125">
        <v>0</v>
      </c>
      <c r="T18" s="125">
        <f t="shared" si="7"/>
        <v>0</v>
      </c>
      <c r="U18" s="125">
        <f t="shared" si="8"/>
        <v>153625.40000000002</v>
      </c>
      <c r="V18" s="125">
        <f t="shared" si="9"/>
        <v>61450.16</v>
      </c>
      <c r="W18" s="192">
        <v>0</v>
      </c>
      <c r="X18" s="125">
        <f>ROUND(W18*Valores!$C$2,2)</f>
        <v>0</v>
      </c>
      <c r="Y18" s="125">
        <v>0</v>
      </c>
      <c r="Z18" s="125">
        <f>Valores!$C$94</f>
        <v>27846.26</v>
      </c>
      <c r="AA18" s="125">
        <f>Valores!$C$25</f>
        <v>793.88</v>
      </c>
      <c r="AB18" s="214">
        <v>0</v>
      </c>
      <c r="AC18" s="125">
        <f t="shared" si="2"/>
        <v>0</v>
      </c>
      <c r="AD18" s="125">
        <f>Valores!$C$26</f>
        <v>793.88</v>
      </c>
      <c r="AE18" s="192">
        <v>0</v>
      </c>
      <c r="AF18" s="125">
        <f>ROUND(AE18*Valores!$C$2,2)</f>
        <v>0</v>
      </c>
      <c r="AG18" s="125">
        <f>ROUND(IF($F$4="NO",Valores!$C$63,Valores!$C$63/2),2)</f>
        <v>9076.17</v>
      </c>
      <c r="AH18" s="125">
        <f t="shared" si="5"/>
        <v>502522.0700000001</v>
      </c>
      <c r="AI18" s="125">
        <f>Valores!$C$31</f>
        <v>0</v>
      </c>
      <c r="AJ18" s="125">
        <f>Valores!$C$87</f>
        <v>0</v>
      </c>
      <c r="AK18" s="125">
        <f>Valores!C$38*B18</f>
        <v>0</v>
      </c>
      <c r="AL18" s="125">
        <f>IF($F$3="NO",0,Valores!$C$55)</f>
        <v>0</v>
      </c>
      <c r="AM18" s="125">
        <f t="shared" si="3"/>
        <v>0</v>
      </c>
      <c r="AN18" s="125">
        <f>AH18*Valores!$C$71</f>
        <v>-55277.427700000015</v>
      </c>
      <c r="AO18" s="125">
        <f>AH18*-Valores!$C$72</f>
        <v>0</v>
      </c>
      <c r="AP18" s="125">
        <f>AH18*Valores!$C$73</f>
        <v>-22613.493150000006</v>
      </c>
      <c r="AQ18" s="125">
        <f>Valores!$C$100</f>
        <v>-554.86</v>
      </c>
      <c r="AR18" s="125">
        <f>IF($F$5=0,Valores!$C$101,(Valores!$C$101+$F$5*(Valores!$C$101)))</f>
        <v>-550</v>
      </c>
      <c r="AS18" s="125">
        <f t="shared" si="6"/>
        <v>423526.2891500001</v>
      </c>
      <c r="AT18" s="125">
        <f t="shared" si="0"/>
        <v>-55277.427700000015</v>
      </c>
      <c r="AU18" s="125">
        <f>AH18*Valores!$C$74</f>
        <v>-13568.095890000002</v>
      </c>
      <c r="AV18" s="125">
        <f>AH18*Valores!$C$75</f>
        <v>-1507.5662100000004</v>
      </c>
      <c r="AW18" s="125">
        <f t="shared" si="4"/>
        <v>432168.9802000001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3796.97</v>
      </c>
      <c r="G19" s="192">
        <v>3727</v>
      </c>
      <c r="H19" s="125">
        <f>ROUND(G19*Valores!$C$2,2)</f>
        <v>141513.07</v>
      </c>
      <c r="I19" s="192">
        <v>219</v>
      </c>
      <c r="J19" s="125">
        <f>ROUND(I19*Valores!$C$2,2)</f>
        <v>8315.36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25522.14</v>
      </c>
      <c r="N19" s="125">
        <f t="shared" si="1"/>
        <v>0</v>
      </c>
      <c r="O19" s="125">
        <f>Valores!$C$11</f>
        <v>33856.51</v>
      </c>
      <c r="P19" s="125">
        <f>Valores!$D$5</f>
        <v>19410.1</v>
      </c>
      <c r="Q19" s="125">
        <v>0</v>
      </c>
      <c r="R19" s="125">
        <f>IF($F$4="NO",Valores!$C$46,Valores!$C$46/2)</f>
        <v>16522.17</v>
      </c>
      <c r="S19" s="125">
        <v>0</v>
      </c>
      <c r="T19" s="125">
        <f t="shared" si="7"/>
        <v>0</v>
      </c>
      <c r="U19" s="125">
        <f t="shared" si="8"/>
        <v>153625.40000000002</v>
      </c>
      <c r="V19" s="125">
        <f t="shared" si="9"/>
        <v>61450.16</v>
      </c>
      <c r="W19" s="192">
        <v>0</v>
      </c>
      <c r="X19" s="125">
        <f>ROUND(W19*Valores!$C$2,2)</f>
        <v>0</v>
      </c>
      <c r="Y19" s="125">
        <v>0</v>
      </c>
      <c r="Z19" s="125">
        <f>Valores!$C$94</f>
        <v>27846.26</v>
      </c>
      <c r="AA19" s="125">
        <f>Valores!$C$25</f>
        <v>793.88</v>
      </c>
      <c r="AB19" s="214">
        <v>0</v>
      </c>
      <c r="AC19" s="125">
        <f t="shared" si="2"/>
        <v>0</v>
      </c>
      <c r="AD19" s="125">
        <f>Valores!$C$26</f>
        <v>793.88</v>
      </c>
      <c r="AE19" s="192">
        <v>0</v>
      </c>
      <c r="AF19" s="125">
        <f>ROUND(AE19*Valores!$C$2,2)</f>
        <v>0</v>
      </c>
      <c r="AG19" s="125">
        <f>ROUND(IF($F$4="NO",Valores!$C$63,Valores!$C$63/2),2)</f>
        <v>9076.17</v>
      </c>
      <c r="AH19" s="125">
        <f t="shared" si="5"/>
        <v>502522.0700000001</v>
      </c>
      <c r="AI19" s="125">
        <f>Valores!$C$31</f>
        <v>0</v>
      </c>
      <c r="AJ19" s="125">
        <f>Valores!$C$87</f>
        <v>0</v>
      </c>
      <c r="AK19" s="125">
        <f>Valores!C$38*B19</f>
        <v>0</v>
      </c>
      <c r="AL19" s="125">
        <f>IF($F$3="NO",0,Valores!$C$55)</f>
        <v>0</v>
      </c>
      <c r="AM19" s="125">
        <f t="shared" si="3"/>
        <v>0</v>
      </c>
      <c r="AN19" s="125">
        <f>AH19*Valores!$C$71</f>
        <v>-55277.427700000015</v>
      </c>
      <c r="AO19" s="125">
        <f>AH19*-Valores!$C$72</f>
        <v>0</v>
      </c>
      <c r="AP19" s="125">
        <f>AH19*Valores!$C$73</f>
        <v>-22613.493150000006</v>
      </c>
      <c r="AQ19" s="125">
        <f>Valores!$C$100</f>
        <v>-554.86</v>
      </c>
      <c r="AR19" s="125">
        <f>IF($F$5=0,Valores!$C$101,(Valores!$C$101+$F$5*(Valores!$C$101)))</f>
        <v>-550</v>
      </c>
      <c r="AS19" s="125">
        <f t="shared" si="6"/>
        <v>423526.2891500001</v>
      </c>
      <c r="AT19" s="125">
        <f t="shared" si="0"/>
        <v>-55277.427700000015</v>
      </c>
      <c r="AU19" s="125">
        <f>AH19*Valores!$C$74</f>
        <v>-13568.095890000002</v>
      </c>
      <c r="AV19" s="125">
        <f>AH19*Valores!$C$75</f>
        <v>-1507.5662100000004</v>
      </c>
      <c r="AW19" s="125">
        <f t="shared" si="4"/>
        <v>432168.9802000001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3796.97</v>
      </c>
      <c r="G20" s="192">
        <v>3727</v>
      </c>
      <c r="H20" s="125">
        <f>ROUND(G20*Valores!$C$2,2)</f>
        <v>141513.07</v>
      </c>
      <c r="I20" s="192">
        <v>219</v>
      </c>
      <c r="J20" s="125">
        <f>ROUND(I20*Valores!$C$2,2)</f>
        <v>8315.36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25522.14</v>
      </c>
      <c r="N20" s="125">
        <f t="shared" si="1"/>
        <v>0</v>
      </c>
      <c r="O20" s="125">
        <f>Valores!$C$11</f>
        <v>33856.51</v>
      </c>
      <c r="P20" s="125">
        <f>Valores!$D$5</f>
        <v>19410.1</v>
      </c>
      <c r="Q20" s="125">
        <v>0</v>
      </c>
      <c r="R20" s="125">
        <f>IF($F$4="NO",Valores!$C$46,Valores!$C$46/2)</f>
        <v>16522.17</v>
      </c>
      <c r="S20" s="125">
        <v>0</v>
      </c>
      <c r="T20" s="125">
        <f t="shared" si="7"/>
        <v>0</v>
      </c>
      <c r="U20" s="125">
        <f t="shared" si="8"/>
        <v>153625.40000000002</v>
      </c>
      <c r="V20" s="125">
        <f t="shared" si="9"/>
        <v>61450.16</v>
      </c>
      <c r="W20" s="192">
        <v>0</v>
      </c>
      <c r="X20" s="125">
        <f>ROUND(W20*Valores!$C$2,2)</f>
        <v>0</v>
      </c>
      <c r="Y20" s="125">
        <v>0</v>
      </c>
      <c r="Z20" s="125">
        <f>Valores!$C$94</f>
        <v>27846.26</v>
      </c>
      <c r="AA20" s="125">
        <f>Valores!$C$25</f>
        <v>793.88</v>
      </c>
      <c r="AB20" s="214">
        <v>0</v>
      </c>
      <c r="AC20" s="125">
        <f t="shared" si="2"/>
        <v>0</v>
      </c>
      <c r="AD20" s="125">
        <f>Valores!$C$26</f>
        <v>793.88</v>
      </c>
      <c r="AE20" s="192">
        <v>0</v>
      </c>
      <c r="AF20" s="125">
        <f>ROUND(AE20*Valores!$C$2,2)</f>
        <v>0</v>
      </c>
      <c r="AG20" s="125">
        <f>ROUND(IF($F$4="NO",Valores!$C$63,Valores!$C$63/2),2)</f>
        <v>9076.17</v>
      </c>
      <c r="AH20" s="125">
        <f t="shared" si="5"/>
        <v>502522.0700000001</v>
      </c>
      <c r="AI20" s="125">
        <f>Valores!$C$31</f>
        <v>0</v>
      </c>
      <c r="AJ20" s="125">
        <f>Valores!$C$87</f>
        <v>0</v>
      </c>
      <c r="AK20" s="125">
        <f>Valores!C$38*B20</f>
        <v>0</v>
      </c>
      <c r="AL20" s="125">
        <f>IF($F$3="NO",0,Valores!$C$55)</f>
        <v>0</v>
      </c>
      <c r="AM20" s="125">
        <f t="shared" si="3"/>
        <v>0</v>
      </c>
      <c r="AN20" s="125">
        <f>AH20*Valores!$C$71</f>
        <v>-55277.427700000015</v>
      </c>
      <c r="AO20" s="125">
        <f>AH20*-Valores!$C$72</f>
        <v>0</v>
      </c>
      <c r="AP20" s="125">
        <f>AH20*Valores!$C$73</f>
        <v>-22613.493150000006</v>
      </c>
      <c r="AQ20" s="125">
        <f>Valores!$C$100</f>
        <v>-554.86</v>
      </c>
      <c r="AR20" s="125">
        <f>IF($F$5=0,Valores!$C$101,(Valores!$C$101+$F$5*(Valores!$C$101)))</f>
        <v>-550</v>
      </c>
      <c r="AS20" s="125">
        <f t="shared" si="6"/>
        <v>423526.2891500001</v>
      </c>
      <c r="AT20" s="125">
        <f t="shared" si="0"/>
        <v>-55277.427700000015</v>
      </c>
      <c r="AU20" s="125">
        <f>AH20*Valores!$C$74</f>
        <v>-13568.095890000002</v>
      </c>
      <c r="AV20" s="125">
        <f>AH20*Valores!$C$75</f>
        <v>-1507.5662100000004</v>
      </c>
      <c r="AW20" s="125">
        <f t="shared" si="4"/>
        <v>432168.9802000001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4062.76</v>
      </c>
      <c r="G21" s="192">
        <v>3720</v>
      </c>
      <c r="H21" s="125">
        <f>ROUND(G21*Valores!$C$2,2)</f>
        <v>141247.28</v>
      </c>
      <c r="I21" s="192">
        <v>1226</v>
      </c>
      <c r="J21" s="125">
        <f>ROUND(I21*Valores!$C$2,2)</f>
        <v>46550.85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34532.06</v>
      </c>
      <c r="N21" s="125">
        <f t="shared" si="1"/>
        <v>0</v>
      </c>
      <c r="O21" s="125">
        <f>Valores!$C$12</f>
        <v>86142.40000000001</v>
      </c>
      <c r="P21" s="125">
        <f>Valores!$D$5</f>
        <v>19410.1</v>
      </c>
      <c r="Q21" s="125">
        <v>0</v>
      </c>
      <c r="R21" s="125">
        <f>IF($F$4="NO",Valores!$C$47,Valores!$C$47/2)</f>
        <v>20291.4</v>
      </c>
      <c r="S21" s="125">
        <f>Valores!$C$19</f>
        <v>18061.41</v>
      </c>
      <c r="T21" s="125">
        <f t="shared" si="7"/>
        <v>18061.41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Valores!$C$96</f>
        <v>55692.53</v>
      </c>
      <c r="AA21" s="125">
        <f>Valores!$C$25</f>
        <v>793.88</v>
      </c>
      <c r="AB21" s="214">
        <v>0</v>
      </c>
      <c r="AC21" s="125">
        <f t="shared" si="2"/>
        <v>0</v>
      </c>
      <c r="AD21" s="125">
        <f>Valores!$C$26</f>
        <v>793.88</v>
      </c>
      <c r="AE21" s="192">
        <v>0</v>
      </c>
      <c r="AF21" s="125">
        <f>ROUND(AE21*Valores!$C$2,2)</f>
        <v>0</v>
      </c>
      <c r="AG21" s="125">
        <f>ROUND(IF($F$4="NO",Valores!$C$63,Valores!$C$63/2),2)</f>
        <v>9076.17</v>
      </c>
      <c r="AH21" s="125">
        <f t="shared" si="5"/>
        <v>436654.72000000003</v>
      </c>
      <c r="AI21" s="125">
        <f>Valores!$C$31</f>
        <v>0</v>
      </c>
      <c r="AJ21" s="125">
        <f>Valores!$C$89</f>
        <v>0</v>
      </c>
      <c r="AK21" s="125">
        <f>Valores!C$38*B21</f>
        <v>0</v>
      </c>
      <c r="AL21" s="125">
        <f>IF($F$3="NO",0,Valores!$C$55)</f>
        <v>0</v>
      </c>
      <c r="AM21" s="125">
        <f t="shared" si="3"/>
        <v>0</v>
      </c>
      <c r="AN21" s="125">
        <f>AH21*Valores!$C$71</f>
        <v>-48032.0192</v>
      </c>
      <c r="AO21" s="125">
        <f>AH21*-Valores!$C$72</f>
        <v>0</v>
      </c>
      <c r="AP21" s="125">
        <f>AH21*Valores!$C$73</f>
        <v>-19649.4624</v>
      </c>
      <c r="AQ21" s="125">
        <f>Valores!$C$100</f>
        <v>-554.86</v>
      </c>
      <c r="AR21" s="125">
        <f>IF($F$5=0,Valores!$C$101,(Valores!$C$101+$F$5*(Valores!$C$101)))</f>
        <v>-550</v>
      </c>
      <c r="AS21" s="125">
        <f t="shared" si="6"/>
        <v>367868.37840000005</v>
      </c>
      <c r="AT21" s="125">
        <f t="shared" si="0"/>
        <v>-48032.0192</v>
      </c>
      <c r="AU21" s="125">
        <f>AH21*Valores!$C$74</f>
        <v>-11789.677440000001</v>
      </c>
      <c r="AV21" s="125">
        <f>AH21*Valores!$C$75</f>
        <v>-1309.9641600000002</v>
      </c>
      <c r="AW21" s="125">
        <f t="shared" si="4"/>
        <v>375523.0592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3796.97</v>
      </c>
      <c r="G22" s="192">
        <v>3727</v>
      </c>
      <c r="H22" s="125">
        <f>ROUND(G22*Valores!$C$2,2)</f>
        <v>141513.07</v>
      </c>
      <c r="I22" s="192">
        <v>219</v>
      </c>
      <c r="J22" s="125">
        <f>ROUND(I22*Valores!$C$2,2)</f>
        <v>8315.36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25522.14</v>
      </c>
      <c r="N22" s="125">
        <f t="shared" si="1"/>
        <v>0</v>
      </c>
      <c r="O22" s="125">
        <f>Valores!$C$11</f>
        <v>33856.51</v>
      </c>
      <c r="P22" s="125">
        <f>Valores!$D$5</f>
        <v>19410.1</v>
      </c>
      <c r="Q22" s="125">
        <v>0</v>
      </c>
      <c r="R22" s="125">
        <f>IF($F$4="NO",Valores!$C$46,Valores!$C$46/2)</f>
        <v>16522.17</v>
      </c>
      <c r="S22" s="125">
        <v>0</v>
      </c>
      <c r="T22" s="125">
        <f t="shared" si="7"/>
        <v>0</v>
      </c>
      <c r="U22" s="125">
        <f>SUM(F22,H22,J22)</f>
        <v>153625.40000000002</v>
      </c>
      <c r="V22" s="125">
        <f>INT((SUM(F22,H22,J22)*0.4*100)+0.49)/100</f>
        <v>61450.16</v>
      </c>
      <c r="W22" s="192">
        <v>0</v>
      </c>
      <c r="X22" s="125">
        <f>ROUND(W22*Valores!$C$2,2)</f>
        <v>0</v>
      </c>
      <c r="Y22" s="125">
        <v>0</v>
      </c>
      <c r="Z22" s="125">
        <f>Valores!$C$94</f>
        <v>27846.26</v>
      </c>
      <c r="AA22" s="125">
        <f>Valores!$C$25</f>
        <v>793.88</v>
      </c>
      <c r="AB22" s="214">
        <v>0</v>
      </c>
      <c r="AC22" s="125">
        <f t="shared" si="2"/>
        <v>0</v>
      </c>
      <c r="AD22" s="125">
        <f>Valores!$C$26</f>
        <v>793.88</v>
      </c>
      <c r="AE22" s="192">
        <v>0</v>
      </c>
      <c r="AF22" s="125">
        <f>ROUND(AE22*Valores!$C$2,2)</f>
        <v>0</v>
      </c>
      <c r="AG22" s="125">
        <f>ROUND(IF($F$4="NO",Valores!$C$63,Valores!$C$63/2),2)</f>
        <v>9076.17</v>
      </c>
      <c r="AH22" s="125">
        <f t="shared" si="5"/>
        <v>502522.0700000001</v>
      </c>
      <c r="AI22" s="125">
        <f>Valores!$C$31</f>
        <v>0</v>
      </c>
      <c r="AJ22" s="125">
        <f>Valores!$C$87</f>
        <v>0</v>
      </c>
      <c r="AK22" s="125">
        <f>Valores!C$38*B22</f>
        <v>0</v>
      </c>
      <c r="AL22" s="125">
        <f>IF($F$3="NO",0,Valores!$C$55)</f>
        <v>0</v>
      </c>
      <c r="AM22" s="125">
        <f t="shared" si="3"/>
        <v>0</v>
      </c>
      <c r="AN22" s="125">
        <f>AH22*Valores!$C$71</f>
        <v>-55277.427700000015</v>
      </c>
      <c r="AO22" s="125">
        <f>AH22*-Valores!$C$72</f>
        <v>0</v>
      </c>
      <c r="AP22" s="125">
        <f>AH22*Valores!$C$73</f>
        <v>-22613.493150000006</v>
      </c>
      <c r="AQ22" s="125">
        <f>Valores!$C$100</f>
        <v>-554.86</v>
      </c>
      <c r="AR22" s="125">
        <f>IF($F$5=0,Valores!$C$101,(Valores!$C$101+$F$5*(Valores!$C$101)))</f>
        <v>-550</v>
      </c>
      <c r="AS22" s="125">
        <f t="shared" si="6"/>
        <v>423526.2891500001</v>
      </c>
      <c r="AT22" s="125">
        <f t="shared" si="0"/>
        <v>-55277.427700000015</v>
      </c>
      <c r="AU22" s="125">
        <f>AH22*Valores!$C$74</f>
        <v>-13568.095890000002</v>
      </c>
      <c r="AV22" s="125">
        <f>AH22*Valores!$C$75</f>
        <v>-1507.5662100000004</v>
      </c>
      <c r="AW22" s="125">
        <f t="shared" si="4"/>
        <v>432168.9802000001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3796.97</v>
      </c>
      <c r="G23" s="192">
        <v>3727</v>
      </c>
      <c r="H23" s="125">
        <f>ROUND(G23*Valores!$C$2,2)</f>
        <v>141513.07</v>
      </c>
      <c r="I23" s="192">
        <v>219</v>
      </c>
      <c r="J23" s="125">
        <f>ROUND(I23*Valores!$C$2,2)</f>
        <v>8315.36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25522.14</v>
      </c>
      <c r="N23" s="125">
        <f t="shared" si="1"/>
        <v>0</v>
      </c>
      <c r="O23" s="125">
        <f>Valores!$C$11</f>
        <v>33856.51</v>
      </c>
      <c r="P23" s="125">
        <f>Valores!$D$5</f>
        <v>19410.1</v>
      </c>
      <c r="Q23" s="125">
        <v>0</v>
      </c>
      <c r="R23" s="125">
        <f>IF($F$4="NO",Valores!$C$46,Valores!$C$46/2)</f>
        <v>16522.17</v>
      </c>
      <c r="S23" s="125">
        <v>0</v>
      </c>
      <c r="T23" s="125">
        <f t="shared" si="7"/>
        <v>0</v>
      </c>
      <c r="U23" s="125">
        <f>SUM(F23,H23,J23)</f>
        <v>153625.40000000002</v>
      </c>
      <c r="V23" s="125">
        <f>INT((SUM(F23,H23,J23)*0.4*100)+0.49)/100</f>
        <v>61450.16</v>
      </c>
      <c r="W23" s="192">
        <v>0</v>
      </c>
      <c r="X23" s="125">
        <f>ROUND(W23*Valores!$C$2,2)</f>
        <v>0</v>
      </c>
      <c r="Y23" s="125">
        <v>0</v>
      </c>
      <c r="Z23" s="125">
        <f>Valores!$C$94</f>
        <v>27846.26</v>
      </c>
      <c r="AA23" s="125">
        <f>Valores!$C$25</f>
        <v>793.88</v>
      </c>
      <c r="AB23" s="214">
        <v>0</v>
      </c>
      <c r="AC23" s="125">
        <f t="shared" si="2"/>
        <v>0</v>
      </c>
      <c r="AD23" s="125">
        <f>Valores!$C$26</f>
        <v>793.88</v>
      </c>
      <c r="AE23" s="192">
        <v>0</v>
      </c>
      <c r="AF23" s="125">
        <f>ROUND(AE23*Valores!$C$2,2)</f>
        <v>0</v>
      </c>
      <c r="AG23" s="125">
        <f>ROUND(IF($F$4="NO",Valores!$C$63,Valores!$C$63/2),2)</f>
        <v>9076.17</v>
      </c>
      <c r="AH23" s="125">
        <f t="shared" si="5"/>
        <v>502522.0700000001</v>
      </c>
      <c r="AI23" s="125">
        <f>Valores!$C$31</f>
        <v>0</v>
      </c>
      <c r="AJ23" s="125">
        <f>Valores!$C$87</f>
        <v>0</v>
      </c>
      <c r="AK23" s="125">
        <f>Valores!C$38*B23</f>
        <v>0</v>
      </c>
      <c r="AL23" s="125">
        <f>IF($F$3="NO",0,Valores!$C$55)</f>
        <v>0</v>
      </c>
      <c r="AM23" s="125">
        <f t="shared" si="3"/>
        <v>0</v>
      </c>
      <c r="AN23" s="125">
        <f>AH23*Valores!$C$71</f>
        <v>-55277.427700000015</v>
      </c>
      <c r="AO23" s="125">
        <f>AH23*-Valores!$C$72</f>
        <v>0</v>
      </c>
      <c r="AP23" s="125">
        <f>AH23*Valores!$C$73</f>
        <v>-22613.493150000006</v>
      </c>
      <c r="AQ23" s="125">
        <f>Valores!$C$100</f>
        <v>-554.86</v>
      </c>
      <c r="AR23" s="125">
        <f>IF($F$5=0,Valores!$C$101,(Valores!$C$101+$F$5*(Valores!$C$101)))</f>
        <v>-550</v>
      </c>
      <c r="AS23" s="125">
        <f t="shared" si="6"/>
        <v>423526.2891500001</v>
      </c>
      <c r="AT23" s="125">
        <f t="shared" si="0"/>
        <v>-55277.427700000015</v>
      </c>
      <c r="AU23" s="125">
        <f>AH23*Valores!$C$74</f>
        <v>-13568.095890000002</v>
      </c>
      <c r="AV23" s="125">
        <f>AH23*Valores!$C$75</f>
        <v>-1507.5662100000004</v>
      </c>
      <c r="AW23" s="125">
        <f t="shared" si="4"/>
        <v>432168.9802000001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3796.97</v>
      </c>
      <c r="G24" s="192">
        <v>3727</v>
      </c>
      <c r="H24" s="125">
        <f>ROUND(G24*Valores!$C$2,2)</f>
        <v>141513.07</v>
      </c>
      <c r="I24" s="192">
        <v>219</v>
      </c>
      <c r="J24" s="125">
        <f>ROUND(I24*Valores!$C$2,2)</f>
        <v>8315.36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25522.14</v>
      </c>
      <c r="N24" s="125">
        <f t="shared" si="1"/>
        <v>0</v>
      </c>
      <c r="O24" s="125">
        <f>Valores!$C$11</f>
        <v>33856.51</v>
      </c>
      <c r="P24" s="125">
        <f>Valores!$D$5</f>
        <v>19410.1</v>
      </c>
      <c r="Q24" s="125">
        <v>0</v>
      </c>
      <c r="R24" s="125">
        <f>IF($F$4="NO",Valores!$C$46,Valores!$C$46/2)</f>
        <v>16522.17</v>
      </c>
      <c r="S24" s="125">
        <v>0</v>
      </c>
      <c r="T24" s="125">
        <f t="shared" si="7"/>
        <v>0</v>
      </c>
      <c r="U24" s="125">
        <f>SUM(F24,H24,J24)</f>
        <v>153625.40000000002</v>
      </c>
      <c r="V24" s="125">
        <f>INT((SUM(F24,H24,J24)*0.4*100)+0.49)/100</f>
        <v>61450.16</v>
      </c>
      <c r="W24" s="192">
        <v>0</v>
      </c>
      <c r="X24" s="125">
        <f>ROUND(W24*Valores!$C$2,2)</f>
        <v>0</v>
      </c>
      <c r="Y24" s="125">
        <v>0</v>
      </c>
      <c r="Z24" s="125">
        <f>Valores!$C$94</f>
        <v>27846.26</v>
      </c>
      <c r="AA24" s="125">
        <f>Valores!$C$25</f>
        <v>793.88</v>
      </c>
      <c r="AB24" s="214">
        <v>0</v>
      </c>
      <c r="AC24" s="125">
        <f t="shared" si="2"/>
        <v>0</v>
      </c>
      <c r="AD24" s="125">
        <f>Valores!$C$26</f>
        <v>793.88</v>
      </c>
      <c r="AE24" s="192">
        <v>0</v>
      </c>
      <c r="AF24" s="125">
        <f>ROUND(AE24*Valores!$C$2,2)</f>
        <v>0</v>
      </c>
      <c r="AG24" s="125">
        <f>ROUND(IF($F$4="NO",Valores!$C$63,Valores!$C$63/2),2)</f>
        <v>9076.17</v>
      </c>
      <c r="AH24" s="125">
        <f t="shared" si="5"/>
        <v>502522.0700000001</v>
      </c>
      <c r="AI24" s="125">
        <f>Valores!$C$31</f>
        <v>0</v>
      </c>
      <c r="AJ24" s="125">
        <f>Valores!$C$87</f>
        <v>0</v>
      </c>
      <c r="AK24" s="125">
        <f>Valores!C$38*B24</f>
        <v>0</v>
      </c>
      <c r="AL24" s="125">
        <f>IF($F$3="NO",0,Valores!$C$55)</f>
        <v>0</v>
      </c>
      <c r="AM24" s="125">
        <f t="shared" si="3"/>
        <v>0</v>
      </c>
      <c r="AN24" s="125">
        <f>AH24*Valores!$C$71</f>
        <v>-55277.427700000015</v>
      </c>
      <c r="AO24" s="125">
        <f>AH24*-Valores!$C$72</f>
        <v>0</v>
      </c>
      <c r="AP24" s="125">
        <f>AH24*Valores!$C$73</f>
        <v>-22613.493150000006</v>
      </c>
      <c r="AQ24" s="125">
        <f>Valores!$C$100</f>
        <v>-554.86</v>
      </c>
      <c r="AR24" s="125">
        <f>IF($F$5=0,Valores!$C$101,(Valores!$C$101+$F$5*(Valores!$C$101)))</f>
        <v>-550</v>
      </c>
      <c r="AS24" s="125">
        <f t="shared" si="6"/>
        <v>423526.2891500001</v>
      </c>
      <c r="AT24" s="125">
        <f t="shared" si="0"/>
        <v>-55277.427700000015</v>
      </c>
      <c r="AU24" s="125">
        <f>AH24*Valores!$C$74</f>
        <v>-13568.095890000002</v>
      </c>
      <c r="AV24" s="125">
        <f>AH24*Valores!$C$75</f>
        <v>-1507.5662100000004</v>
      </c>
      <c r="AW24" s="125">
        <f t="shared" si="4"/>
        <v>432168.9802000001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3645.09</v>
      </c>
      <c r="G25" s="192">
        <v>3737</v>
      </c>
      <c r="H25" s="125">
        <f>ROUND(G25*Valores!$C$2,2)</f>
        <v>141892.77</v>
      </c>
      <c r="I25" s="192">
        <v>1220</v>
      </c>
      <c r="J25" s="125">
        <f>ROUND(I25*Valores!$C$2,2)</f>
        <v>46323.03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34532.06</v>
      </c>
      <c r="N25" s="125">
        <f t="shared" si="1"/>
        <v>0</v>
      </c>
      <c r="O25" s="125">
        <f>Valores!$C$12</f>
        <v>86142.40000000001</v>
      </c>
      <c r="P25" s="125">
        <f>Valores!$D$5</f>
        <v>19410.1</v>
      </c>
      <c r="Q25" s="125">
        <v>0</v>
      </c>
      <c r="R25" s="125">
        <f>IF($F$4="NO",Valores!$C$47,Valores!$C$47/2)</f>
        <v>20291.4</v>
      </c>
      <c r="S25" s="125">
        <f>Valores!$C$19</f>
        <v>18061.41</v>
      </c>
      <c r="T25" s="125">
        <f t="shared" si="7"/>
        <v>18061.41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Valores!$C$96</f>
        <v>55692.53</v>
      </c>
      <c r="AA25" s="125">
        <f>Valores!$C$25</f>
        <v>793.88</v>
      </c>
      <c r="AB25" s="214">
        <v>0</v>
      </c>
      <c r="AC25" s="125">
        <f t="shared" si="2"/>
        <v>0</v>
      </c>
      <c r="AD25" s="125">
        <f>Valores!$C$26</f>
        <v>793.88</v>
      </c>
      <c r="AE25" s="192">
        <v>0</v>
      </c>
      <c r="AF25" s="125">
        <f>ROUND(AE25*Valores!$C$2,2)</f>
        <v>0</v>
      </c>
      <c r="AG25" s="125">
        <f>ROUND(IF($F$4="NO",Valores!$C$63,Valores!$C$63/2),2)</f>
        <v>9076.17</v>
      </c>
      <c r="AH25" s="125">
        <f t="shared" si="5"/>
        <v>436654.7199999999</v>
      </c>
      <c r="AI25" s="125">
        <f>Valores!$C$31</f>
        <v>0</v>
      </c>
      <c r="AJ25" s="125">
        <f>Valores!$C$89</f>
        <v>0</v>
      </c>
      <c r="AK25" s="125">
        <f>Valores!C$38*B25</f>
        <v>0</v>
      </c>
      <c r="AL25" s="125">
        <f>IF($F$3="NO",0,Valores!$C$55)</f>
        <v>0</v>
      </c>
      <c r="AM25" s="125">
        <f t="shared" si="3"/>
        <v>0</v>
      </c>
      <c r="AN25" s="125">
        <f>AH25*Valores!$C$71</f>
        <v>-48032.01919999999</v>
      </c>
      <c r="AO25" s="125">
        <f>AH25*-Valores!$C$72</f>
        <v>0</v>
      </c>
      <c r="AP25" s="125">
        <f>AH25*Valores!$C$73</f>
        <v>-19649.462399999997</v>
      </c>
      <c r="AQ25" s="125">
        <f>Valores!$C$100</f>
        <v>-554.86</v>
      </c>
      <c r="AR25" s="125">
        <f>IF($F$5=0,Valores!$C$101,(Valores!$C$101+$F$5*(Valores!$C$101)))</f>
        <v>-550</v>
      </c>
      <c r="AS25" s="125">
        <f t="shared" si="6"/>
        <v>367868.3783999999</v>
      </c>
      <c r="AT25" s="125">
        <f t="shared" si="0"/>
        <v>-48032.01919999999</v>
      </c>
      <c r="AU25" s="125">
        <f>AH25*Valores!$C$74</f>
        <v>-11789.677439999998</v>
      </c>
      <c r="AV25" s="125">
        <f>AH25*Valores!$C$75</f>
        <v>-1309.9641599999998</v>
      </c>
      <c r="AW25" s="125">
        <f t="shared" si="4"/>
        <v>375523.0591999999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3645.09</v>
      </c>
      <c r="G26" s="192">
        <v>3737</v>
      </c>
      <c r="H26" s="125">
        <f>ROUND(G26*Valores!$C$2,2)</f>
        <v>141892.77</v>
      </c>
      <c r="I26" s="192">
        <v>1220</v>
      </c>
      <c r="J26" s="125">
        <f>ROUND(I26*Valores!$C$2,2)</f>
        <v>46323.03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34532.06</v>
      </c>
      <c r="N26" s="125">
        <f t="shared" si="1"/>
        <v>0</v>
      </c>
      <c r="O26" s="125">
        <f>Valores!$C$12</f>
        <v>86142.40000000001</v>
      </c>
      <c r="P26" s="125">
        <f>Valores!$D$5</f>
        <v>19410.1</v>
      </c>
      <c r="Q26" s="125">
        <v>0</v>
      </c>
      <c r="R26" s="125">
        <f>IF($F$4="NO",Valores!$C$47,Valores!$C$47/2)</f>
        <v>20291.4</v>
      </c>
      <c r="S26" s="125">
        <f>Valores!$C$19</f>
        <v>18061.41</v>
      </c>
      <c r="T26" s="125">
        <f t="shared" si="7"/>
        <v>18061.41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Valores!$C$96</f>
        <v>55692.53</v>
      </c>
      <c r="AA26" s="125">
        <f>Valores!$C$25</f>
        <v>793.88</v>
      </c>
      <c r="AB26" s="214">
        <v>0</v>
      </c>
      <c r="AC26" s="125">
        <f t="shared" si="2"/>
        <v>0</v>
      </c>
      <c r="AD26" s="125">
        <f>Valores!$C$26</f>
        <v>793.88</v>
      </c>
      <c r="AE26" s="192">
        <v>0</v>
      </c>
      <c r="AF26" s="125">
        <f>ROUND(AE26*Valores!$C$2,2)</f>
        <v>0</v>
      </c>
      <c r="AG26" s="125">
        <f>ROUND(IF($F$4="NO",Valores!$C$63,Valores!$C$63/2),2)</f>
        <v>9076.17</v>
      </c>
      <c r="AH26" s="125">
        <f t="shared" si="5"/>
        <v>436654.7199999999</v>
      </c>
      <c r="AI26" s="125">
        <f>Valores!$C$31</f>
        <v>0</v>
      </c>
      <c r="AJ26" s="125">
        <f>Valores!$C$89</f>
        <v>0</v>
      </c>
      <c r="AK26" s="125">
        <f>Valores!C$38*B26</f>
        <v>0</v>
      </c>
      <c r="AL26" s="125">
        <f>IF($F$3="NO",0,Valores!$C$55)</f>
        <v>0</v>
      </c>
      <c r="AM26" s="125">
        <f t="shared" si="3"/>
        <v>0</v>
      </c>
      <c r="AN26" s="125">
        <f>AH26*Valores!$C$71</f>
        <v>-48032.01919999999</v>
      </c>
      <c r="AO26" s="125">
        <f>AH26*-Valores!$C$72</f>
        <v>0</v>
      </c>
      <c r="AP26" s="125">
        <f>AH26*Valores!$C$73</f>
        <v>-19649.462399999997</v>
      </c>
      <c r="AQ26" s="125">
        <f>Valores!$C$100</f>
        <v>-554.86</v>
      </c>
      <c r="AR26" s="125">
        <f>IF($F$5=0,Valores!$C$101,(Valores!$C$101+$F$5*(Valores!$C$101)))</f>
        <v>-550</v>
      </c>
      <c r="AS26" s="125">
        <f t="shared" si="6"/>
        <v>367868.3783999999</v>
      </c>
      <c r="AT26" s="125">
        <f t="shared" si="0"/>
        <v>-48032.01919999999</v>
      </c>
      <c r="AU26" s="125">
        <f>AH26*Valores!$C$74</f>
        <v>-11789.677439999998</v>
      </c>
      <c r="AV26" s="125">
        <f>AH26*Valores!$C$75</f>
        <v>-1309.9641599999998</v>
      </c>
      <c r="AW26" s="125">
        <f t="shared" si="4"/>
        <v>375523.0591999999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3645.09</v>
      </c>
      <c r="G27" s="192">
        <v>3737</v>
      </c>
      <c r="H27" s="125">
        <f>ROUND(G27*Valores!$C$2,2)</f>
        <v>141892.77</v>
      </c>
      <c r="I27" s="192">
        <v>1220</v>
      </c>
      <c r="J27" s="125">
        <f>ROUND(I27*Valores!$C$2,2)</f>
        <v>46323.03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34532.06</v>
      </c>
      <c r="N27" s="125">
        <f t="shared" si="1"/>
        <v>0</v>
      </c>
      <c r="O27" s="125">
        <f>Valores!$C$12</f>
        <v>86142.40000000001</v>
      </c>
      <c r="P27" s="125">
        <f>Valores!$D$5</f>
        <v>19410.1</v>
      </c>
      <c r="Q27" s="125">
        <v>0</v>
      </c>
      <c r="R27" s="125">
        <f>IF($F$4="NO",Valores!$C$47,Valores!$C$47/2)</f>
        <v>20291.4</v>
      </c>
      <c r="S27" s="125">
        <f>Valores!$C$19</f>
        <v>18061.41</v>
      </c>
      <c r="T27" s="125">
        <f t="shared" si="7"/>
        <v>18061.41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Valores!$C$96</f>
        <v>55692.53</v>
      </c>
      <c r="AA27" s="125">
        <f>Valores!$C$25</f>
        <v>793.88</v>
      </c>
      <c r="AB27" s="214">
        <v>0</v>
      </c>
      <c r="AC27" s="125">
        <f t="shared" si="2"/>
        <v>0</v>
      </c>
      <c r="AD27" s="125">
        <f>Valores!$C$26</f>
        <v>793.88</v>
      </c>
      <c r="AE27" s="192">
        <v>0</v>
      </c>
      <c r="AF27" s="125">
        <f>ROUND(AE27*Valores!$C$2,2)</f>
        <v>0</v>
      </c>
      <c r="AG27" s="125">
        <f>ROUND(IF($F$4="NO",Valores!$C$63,Valores!$C$63/2),2)</f>
        <v>9076.17</v>
      </c>
      <c r="AH27" s="125">
        <f t="shared" si="5"/>
        <v>436654.7199999999</v>
      </c>
      <c r="AI27" s="125">
        <f>Valores!$C$31</f>
        <v>0</v>
      </c>
      <c r="AJ27" s="125">
        <f>Valores!$C$89</f>
        <v>0</v>
      </c>
      <c r="AK27" s="125">
        <f>Valores!C$38*B27</f>
        <v>0</v>
      </c>
      <c r="AL27" s="125">
        <f>IF($F$3="NO",0,Valores!$C$55)</f>
        <v>0</v>
      </c>
      <c r="AM27" s="125">
        <f t="shared" si="3"/>
        <v>0</v>
      </c>
      <c r="AN27" s="125">
        <f>AH27*Valores!$C$71</f>
        <v>-48032.01919999999</v>
      </c>
      <c r="AO27" s="125">
        <f>AH27*-Valores!$C$72</f>
        <v>0</v>
      </c>
      <c r="AP27" s="125">
        <f>AH27*Valores!$C$73</f>
        <v>-19649.462399999997</v>
      </c>
      <c r="AQ27" s="125">
        <f>Valores!$C$100</f>
        <v>-554.86</v>
      </c>
      <c r="AR27" s="125">
        <f>IF($F$5=0,Valores!$C$101,(Valores!$C$101+$F$5*(Valores!$C$101)))</f>
        <v>-550</v>
      </c>
      <c r="AS27" s="125">
        <f t="shared" si="6"/>
        <v>367868.3783999999</v>
      </c>
      <c r="AT27" s="125">
        <f t="shared" si="0"/>
        <v>-48032.01919999999</v>
      </c>
      <c r="AU27" s="125">
        <f>AH27*Valores!$C$74</f>
        <v>-11789.677439999998</v>
      </c>
      <c r="AV27" s="125">
        <f>AH27*Valores!$C$75</f>
        <v>-1309.9641599999998</v>
      </c>
      <c r="AW27" s="125">
        <f t="shared" si="4"/>
        <v>375523.0591999999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4062.76</v>
      </c>
      <c r="G28" s="192">
        <v>3728</v>
      </c>
      <c r="H28" s="125">
        <f>ROUND(G28*Valores!$C$2,2)</f>
        <v>141551.04</v>
      </c>
      <c r="I28" s="192">
        <v>1218</v>
      </c>
      <c r="J28" s="125">
        <f>ROUND(I28*Valores!$C$2,2)</f>
        <v>46247.09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34532.06</v>
      </c>
      <c r="N28" s="125">
        <f t="shared" si="1"/>
        <v>0</v>
      </c>
      <c r="O28" s="125">
        <f>Valores!$C$12</f>
        <v>86142.40000000001</v>
      </c>
      <c r="P28" s="125">
        <f>Valores!$D$5</f>
        <v>19410.1</v>
      </c>
      <c r="Q28" s="125">
        <v>0</v>
      </c>
      <c r="R28" s="125">
        <f>IF($F$4="NO",Valores!$C$47,Valores!$C$47/2)</f>
        <v>20291.4</v>
      </c>
      <c r="S28" s="125">
        <f>Valores!$C$19</f>
        <v>18061.41</v>
      </c>
      <c r="T28" s="125">
        <f t="shared" si="7"/>
        <v>18061.41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Valores!$C$96</f>
        <v>55692.53</v>
      </c>
      <c r="AA28" s="125">
        <f>Valores!$C$25</f>
        <v>793.88</v>
      </c>
      <c r="AB28" s="214">
        <v>0</v>
      </c>
      <c r="AC28" s="125">
        <f t="shared" si="2"/>
        <v>0</v>
      </c>
      <c r="AD28" s="125">
        <f>Valores!$C$26</f>
        <v>793.88</v>
      </c>
      <c r="AE28" s="192">
        <v>0</v>
      </c>
      <c r="AF28" s="125">
        <f>ROUND(AE28*Valores!$C$2,2)</f>
        <v>0</v>
      </c>
      <c r="AG28" s="125">
        <f>ROUND(IF($F$4="NO",Valores!$C$63,Valores!$C$63/2),2)</f>
        <v>9076.17</v>
      </c>
      <c r="AH28" s="125">
        <f t="shared" si="5"/>
        <v>436654.72000000003</v>
      </c>
      <c r="AI28" s="125">
        <f>Valores!$C$31</f>
        <v>0</v>
      </c>
      <c r="AJ28" s="125">
        <f>Valores!$C$89</f>
        <v>0</v>
      </c>
      <c r="AK28" s="125">
        <f>Valores!C$38*B28</f>
        <v>0</v>
      </c>
      <c r="AL28" s="125">
        <f>IF($F$3="NO",0,Valores!$C$55)</f>
        <v>0</v>
      </c>
      <c r="AM28" s="125">
        <f t="shared" si="3"/>
        <v>0</v>
      </c>
      <c r="AN28" s="125">
        <f>AH28*Valores!$C$71</f>
        <v>-48032.0192</v>
      </c>
      <c r="AO28" s="125">
        <f>AH28*-Valores!$C$72</f>
        <v>0</v>
      </c>
      <c r="AP28" s="125">
        <f>AH28*Valores!$C$73</f>
        <v>-19649.4624</v>
      </c>
      <c r="AQ28" s="125">
        <f>Valores!$C$100</f>
        <v>-554.86</v>
      </c>
      <c r="AR28" s="125">
        <f>IF($F$5=0,Valores!$C$101,(Valores!$C$101+$F$5*(Valores!$C$101)))</f>
        <v>-550</v>
      </c>
      <c r="AS28" s="125">
        <f t="shared" si="6"/>
        <v>367868.37840000005</v>
      </c>
      <c r="AT28" s="125">
        <f t="shared" si="0"/>
        <v>-48032.0192</v>
      </c>
      <c r="AU28" s="125">
        <f>AH28*Valores!$C$74</f>
        <v>-11789.677440000001</v>
      </c>
      <c r="AV28" s="125">
        <f>AH28*Valores!$C$75</f>
        <v>-1309.9641600000002</v>
      </c>
      <c r="AW28" s="125">
        <f t="shared" si="4"/>
        <v>375523.0592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3569.15</v>
      </c>
      <c r="G29" s="192">
        <v>3624</v>
      </c>
      <c r="H29" s="125">
        <f>ROUND(G29*Valores!$C$2,2)</f>
        <v>137602.19</v>
      </c>
      <c r="I29" s="192">
        <v>1219</v>
      </c>
      <c r="J29" s="125">
        <f>ROUND(I29*Valores!$C$2,2)</f>
        <v>46285.06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33871.38</v>
      </c>
      <c r="N29" s="125">
        <f t="shared" si="1"/>
        <v>0</v>
      </c>
      <c r="O29" s="125">
        <f>Valores!$C$12</f>
        <v>86142.40000000001</v>
      </c>
      <c r="P29" s="125">
        <f>Valores!$D$5</f>
        <v>19410.1</v>
      </c>
      <c r="Q29" s="125">
        <v>0</v>
      </c>
      <c r="R29" s="125">
        <f>IF($F$4="NO",Valores!$C$47,Valores!$C$47/2)</f>
        <v>20291.4</v>
      </c>
      <c r="S29" s="125">
        <f>Valores!$C$19</f>
        <v>18061.41</v>
      </c>
      <c r="T29" s="125">
        <f t="shared" si="7"/>
        <v>18061.41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Valores!$C$96</f>
        <v>55692.53</v>
      </c>
      <c r="AA29" s="125">
        <f>Valores!$C$25</f>
        <v>793.88</v>
      </c>
      <c r="AB29" s="214">
        <v>0</v>
      </c>
      <c r="AC29" s="125">
        <f t="shared" si="2"/>
        <v>0</v>
      </c>
      <c r="AD29" s="125">
        <f>Valores!$C$26</f>
        <v>793.88</v>
      </c>
      <c r="AE29" s="192">
        <v>0</v>
      </c>
      <c r="AF29" s="125">
        <f>ROUND(AE29*Valores!$C$2,2)</f>
        <v>0</v>
      </c>
      <c r="AG29" s="125">
        <f>ROUND(IF($F$4="NO",Valores!$C$63,Valores!$C$63/2),2)</f>
        <v>9076.17</v>
      </c>
      <c r="AH29" s="125">
        <f t="shared" si="5"/>
        <v>431589.55</v>
      </c>
      <c r="AI29" s="125">
        <f>Valores!$C$31</f>
        <v>0</v>
      </c>
      <c r="AJ29" s="125">
        <f>Valores!$C$89</f>
        <v>0</v>
      </c>
      <c r="AK29" s="125">
        <f>Valores!C$38*B29</f>
        <v>0</v>
      </c>
      <c r="AL29" s="125">
        <f>IF($F$3="NO",0,Valores!$C$55)</f>
        <v>0</v>
      </c>
      <c r="AM29" s="125">
        <f t="shared" si="3"/>
        <v>0</v>
      </c>
      <c r="AN29" s="125">
        <f>AH29*Valores!$C$71</f>
        <v>-47474.8505</v>
      </c>
      <c r="AO29" s="125">
        <f>AH29*-Valores!$C$72</f>
        <v>0</v>
      </c>
      <c r="AP29" s="125">
        <f>AH29*Valores!$C$73</f>
        <v>-19421.529749999998</v>
      </c>
      <c r="AQ29" s="125">
        <f>Valores!$C$100</f>
        <v>-554.86</v>
      </c>
      <c r="AR29" s="125">
        <f>IF($F$5=0,Valores!$C$101,(Valores!$C$101+$F$5*(Valores!$C$101)))</f>
        <v>-550</v>
      </c>
      <c r="AS29" s="125">
        <f t="shared" si="6"/>
        <v>363588.30975</v>
      </c>
      <c r="AT29" s="125">
        <f t="shared" si="0"/>
        <v>-47474.8505</v>
      </c>
      <c r="AU29" s="125">
        <f>AH29*Valores!$C$74</f>
        <v>-11652.91785</v>
      </c>
      <c r="AV29" s="125">
        <f>AH29*Valores!$C$75</f>
        <v>-1294.76865</v>
      </c>
      <c r="AW29" s="125">
        <f t="shared" si="4"/>
        <v>371167.013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3531.18</v>
      </c>
      <c r="G30" s="192">
        <v>3627</v>
      </c>
      <c r="H30" s="125">
        <f>ROUND(G30*Valores!$C$2,2)</f>
        <v>137716.1</v>
      </c>
      <c r="I30" s="192">
        <v>210</v>
      </c>
      <c r="J30" s="125">
        <f>ROUND(I30*Valores!$C$2,2)</f>
        <v>7973.64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28136.06</v>
      </c>
      <c r="N30" s="125">
        <f t="shared" si="1"/>
        <v>0</v>
      </c>
      <c r="O30" s="125">
        <f>Valores!$C$12</f>
        <v>86142.40000000001</v>
      </c>
      <c r="P30" s="125">
        <f>Valores!$D$5</f>
        <v>19410.1</v>
      </c>
      <c r="Q30" s="125">
        <v>0</v>
      </c>
      <c r="R30" s="125">
        <f>IF($F$4="NO",Valores!$C$47,Valores!$C$47/2)</f>
        <v>20291.4</v>
      </c>
      <c r="S30" s="125">
        <f>Valores!$C$19</f>
        <v>18061.41</v>
      </c>
      <c r="T30" s="125">
        <f t="shared" si="7"/>
        <v>18061.41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Valores!$C$96</f>
        <v>55692.53</v>
      </c>
      <c r="AA30" s="125">
        <f>Valores!$C$25</f>
        <v>793.88</v>
      </c>
      <c r="AB30" s="214">
        <v>0</v>
      </c>
      <c r="AC30" s="125">
        <f t="shared" si="2"/>
        <v>0</v>
      </c>
      <c r="AD30" s="125">
        <f>Valores!$C$26</f>
        <v>793.88</v>
      </c>
      <c r="AE30" s="192">
        <v>0</v>
      </c>
      <c r="AF30" s="125">
        <f>ROUND(AE30*Valores!$C$2,2)</f>
        <v>0</v>
      </c>
      <c r="AG30" s="125">
        <f>ROUND(IF($F$4="NO",Valores!$C$63,Valores!$C$63/2),2)</f>
        <v>9076.17</v>
      </c>
      <c r="AH30" s="125">
        <f t="shared" si="5"/>
        <v>387618.74999999994</v>
      </c>
      <c r="AI30" s="125">
        <f>Valores!$C$31</f>
        <v>0</v>
      </c>
      <c r="AJ30" s="125">
        <f>Valores!$C$89</f>
        <v>0</v>
      </c>
      <c r="AK30" s="125">
        <f>Valores!C$38*B30</f>
        <v>0</v>
      </c>
      <c r="AL30" s="125">
        <f>IF($F$3="NO",0,Valores!$C$55)</f>
        <v>0</v>
      </c>
      <c r="AM30" s="125">
        <f t="shared" si="3"/>
        <v>0</v>
      </c>
      <c r="AN30" s="125">
        <f>AH30*Valores!$C$71</f>
        <v>-42638.06249999999</v>
      </c>
      <c r="AO30" s="125">
        <f>AH30*-Valores!$C$72</f>
        <v>0</v>
      </c>
      <c r="AP30" s="125">
        <f>AH30*Valores!$C$73</f>
        <v>-17442.843749999996</v>
      </c>
      <c r="AQ30" s="125">
        <f>Valores!$C$100</f>
        <v>-554.86</v>
      </c>
      <c r="AR30" s="125">
        <f>IF($F$5=0,Valores!$C$101,(Valores!$C$101+$F$5*(Valores!$C$101)))</f>
        <v>-550</v>
      </c>
      <c r="AS30" s="125">
        <f t="shared" si="6"/>
        <v>326432.98374999996</v>
      </c>
      <c r="AT30" s="125">
        <f t="shared" si="0"/>
        <v>-42638.06249999999</v>
      </c>
      <c r="AU30" s="125">
        <f>AH30*Valores!$C$74</f>
        <v>-10465.706249999997</v>
      </c>
      <c r="AV30" s="125">
        <f>AH30*Valores!$C$75</f>
        <v>-1162.8562499999998</v>
      </c>
      <c r="AW30" s="125">
        <f t="shared" si="4"/>
        <v>333352.12499999994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3531.18</v>
      </c>
      <c r="G31" s="192">
        <v>3630</v>
      </c>
      <c r="H31" s="125">
        <f>ROUND(G31*Valores!$C$2,2)</f>
        <v>137830.01</v>
      </c>
      <c r="I31" s="192">
        <v>1214</v>
      </c>
      <c r="J31" s="125">
        <f>ROUND(I31*Valores!$C$2,2)</f>
        <v>46095.22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33871.38</v>
      </c>
      <c r="N31" s="125">
        <f t="shared" si="1"/>
        <v>0</v>
      </c>
      <c r="O31" s="125">
        <f>Valores!$C$12</f>
        <v>86142.40000000001</v>
      </c>
      <c r="P31" s="125">
        <f>Valores!$D$5</f>
        <v>19410.1</v>
      </c>
      <c r="Q31" s="125">
        <v>0</v>
      </c>
      <c r="R31" s="125">
        <f>IF($F$4="NO",Valores!$C$47,Valores!$C$47/2)</f>
        <v>20291.4</v>
      </c>
      <c r="S31" s="125">
        <f>Valores!$C$19</f>
        <v>18061.41</v>
      </c>
      <c r="T31" s="125">
        <f t="shared" si="7"/>
        <v>18061.41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Valores!$C$96</f>
        <v>55692.53</v>
      </c>
      <c r="AA31" s="125">
        <f>Valores!$C$25</f>
        <v>793.88</v>
      </c>
      <c r="AB31" s="214">
        <v>0</v>
      </c>
      <c r="AC31" s="125">
        <f t="shared" si="2"/>
        <v>0</v>
      </c>
      <c r="AD31" s="125">
        <f>Valores!$C$26</f>
        <v>793.88</v>
      </c>
      <c r="AE31" s="192">
        <v>0</v>
      </c>
      <c r="AF31" s="125">
        <f>ROUND(AE31*Valores!$C$2,2)</f>
        <v>0</v>
      </c>
      <c r="AG31" s="125">
        <f>ROUND(IF($F$4="NO",Valores!$C$63,Valores!$C$63/2),2)</f>
        <v>9076.17</v>
      </c>
      <c r="AH31" s="125">
        <f t="shared" si="5"/>
        <v>431589.56</v>
      </c>
      <c r="AI31" s="125">
        <f>Valores!$C$31</f>
        <v>0</v>
      </c>
      <c r="AJ31" s="125">
        <f>Valores!$C$89</f>
        <v>0</v>
      </c>
      <c r="AK31" s="125">
        <f>Valores!C$38*B31</f>
        <v>0</v>
      </c>
      <c r="AL31" s="125">
        <f>IF($F$3="NO",0,Valores!$C$55)</f>
        <v>0</v>
      </c>
      <c r="AM31" s="125">
        <f t="shared" si="3"/>
        <v>0</v>
      </c>
      <c r="AN31" s="125">
        <f>AH31*Valores!$C$71</f>
        <v>-47474.8516</v>
      </c>
      <c r="AO31" s="125">
        <f>AH31*-Valores!$C$72</f>
        <v>0</v>
      </c>
      <c r="AP31" s="125">
        <f>AH31*Valores!$C$73</f>
        <v>-19421.530199999997</v>
      </c>
      <c r="AQ31" s="125">
        <f>Valores!$C$100</f>
        <v>-554.86</v>
      </c>
      <c r="AR31" s="125">
        <f>IF($F$5=0,Valores!$C$101,(Valores!$C$101+$F$5*(Valores!$C$101)))</f>
        <v>-550</v>
      </c>
      <c r="AS31" s="125">
        <f t="shared" si="6"/>
        <v>363588.3182</v>
      </c>
      <c r="AT31" s="125">
        <f t="shared" si="0"/>
        <v>-47474.8516</v>
      </c>
      <c r="AU31" s="125">
        <f>AH31*Valores!$C$74</f>
        <v>-11652.91812</v>
      </c>
      <c r="AV31" s="125">
        <f>AH31*Valores!$C$75</f>
        <v>-1294.7686800000001</v>
      </c>
      <c r="AW31" s="125">
        <f t="shared" si="4"/>
        <v>371167.0216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3645.09</v>
      </c>
      <c r="G32" s="192">
        <v>3737</v>
      </c>
      <c r="H32" s="125">
        <f>ROUND(G32*Valores!$C$2,2)</f>
        <v>141892.77</v>
      </c>
      <c r="I32" s="192">
        <v>1220</v>
      </c>
      <c r="J32" s="125">
        <f>ROUND(I32*Valores!$C$2,2)</f>
        <v>46323.03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34532.06</v>
      </c>
      <c r="N32" s="125">
        <f t="shared" si="1"/>
        <v>0</v>
      </c>
      <c r="O32" s="125">
        <f>Valores!$C$12</f>
        <v>86142.40000000001</v>
      </c>
      <c r="P32" s="125">
        <f>Valores!$D$5</f>
        <v>19410.1</v>
      </c>
      <c r="Q32" s="125">
        <v>0</v>
      </c>
      <c r="R32" s="125">
        <f>IF($F$4="NO",Valores!$C$47,Valores!$C$47/2)</f>
        <v>20291.4</v>
      </c>
      <c r="S32" s="125">
        <f>Valores!$C$19</f>
        <v>18061.41</v>
      </c>
      <c r="T32" s="125">
        <f t="shared" si="7"/>
        <v>18061.41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31822.84</v>
      </c>
      <c r="Z32" s="125">
        <f>Valores!$C$96</f>
        <v>55692.53</v>
      </c>
      <c r="AA32" s="125">
        <f>Valores!$C$25</f>
        <v>793.88</v>
      </c>
      <c r="AB32" s="214">
        <v>0</v>
      </c>
      <c r="AC32" s="125">
        <f t="shared" si="2"/>
        <v>0</v>
      </c>
      <c r="AD32" s="125">
        <f>Valores!$C$26</f>
        <v>793.88</v>
      </c>
      <c r="AE32" s="192">
        <v>0</v>
      </c>
      <c r="AF32" s="125">
        <f>ROUND(AE32*Valores!$C$2,2)</f>
        <v>0</v>
      </c>
      <c r="AG32" s="125">
        <f>ROUND(IF($F$4="NO",Valores!$C$63,Valores!$C$63/2),2)</f>
        <v>9076.17</v>
      </c>
      <c r="AH32" s="125">
        <f t="shared" si="5"/>
        <v>468477.56</v>
      </c>
      <c r="AI32" s="125">
        <f>Valores!$C$31</f>
        <v>0</v>
      </c>
      <c r="AJ32" s="125">
        <f>Valores!$C$89</f>
        <v>0</v>
      </c>
      <c r="AK32" s="125">
        <f>Valores!C$38*B32</f>
        <v>0</v>
      </c>
      <c r="AL32" s="125">
        <f>IF($F$3="NO",0,Valores!$C$55)</f>
        <v>0</v>
      </c>
      <c r="AM32" s="125">
        <f t="shared" si="3"/>
        <v>0</v>
      </c>
      <c r="AN32" s="125">
        <f>AH32*Valores!$C$71</f>
        <v>-51532.5316</v>
      </c>
      <c r="AO32" s="125">
        <f>AH32*-Valores!$C$72</f>
        <v>0</v>
      </c>
      <c r="AP32" s="125">
        <f>AH32*Valores!$C$73</f>
        <v>-21081.4902</v>
      </c>
      <c r="AQ32" s="125">
        <f>Valores!$C$100</f>
        <v>-554.86</v>
      </c>
      <c r="AR32" s="125">
        <f>IF($F$5=0,Valores!$C$101,(Valores!$C$101+$F$5*(Valores!$C$101)))</f>
        <v>-550</v>
      </c>
      <c r="AS32" s="125">
        <f t="shared" si="6"/>
        <v>394758.67819999997</v>
      </c>
      <c r="AT32" s="125">
        <f t="shared" si="0"/>
        <v>-51532.5316</v>
      </c>
      <c r="AU32" s="125">
        <f>AH32*Valores!$C$74</f>
        <v>-12648.894119999999</v>
      </c>
      <c r="AV32" s="125">
        <f>AH32*Valores!$C$75</f>
        <v>-1405.4326800000001</v>
      </c>
      <c r="AW32" s="125">
        <f t="shared" si="4"/>
        <v>402890.70160000003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3493.21</v>
      </c>
      <c r="G33" s="192">
        <v>3483</v>
      </c>
      <c r="H33" s="125">
        <f>ROUND(G33*Valores!$C$2,2)</f>
        <v>132248.47</v>
      </c>
      <c r="I33" s="192">
        <v>1217</v>
      </c>
      <c r="J33" s="125">
        <f>ROUND(I33*Valores!$C$2,2)</f>
        <v>46209.12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33045.54</v>
      </c>
      <c r="N33" s="125">
        <f t="shared" si="1"/>
        <v>0</v>
      </c>
      <c r="O33" s="125">
        <f>Valores!$C$12</f>
        <v>86142.40000000001</v>
      </c>
      <c r="P33" s="125">
        <f>Valores!$D$5</f>
        <v>19410.1</v>
      </c>
      <c r="Q33" s="125">
        <v>0</v>
      </c>
      <c r="R33" s="125">
        <f>IF($F$4="NO",Valores!$C$47,Valores!$C$47/2)</f>
        <v>20291.4</v>
      </c>
      <c r="S33" s="125">
        <f>Valores!$C$19</f>
        <v>18061.41</v>
      </c>
      <c r="T33" s="125">
        <f t="shared" si="7"/>
        <v>18061.41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Valores!$C$96</f>
        <v>55692.53</v>
      </c>
      <c r="AA33" s="125">
        <f>Valores!$C$25</f>
        <v>793.88</v>
      </c>
      <c r="AB33" s="214">
        <v>0</v>
      </c>
      <c r="AC33" s="125">
        <f t="shared" si="2"/>
        <v>0</v>
      </c>
      <c r="AD33" s="125">
        <f>Valores!$C$26</f>
        <v>793.88</v>
      </c>
      <c r="AE33" s="192">
        <v>0</v>
      </c>
      <c r="AF33" s="125">
        <f>ROUND(AE33*Valores!$C$2,2)</f>
        <v>0</v>
      </c>
      <c r="AG33" s="125">
        <f>ROUND(IF($F$4="NO",Valores!$C$63,Valores!$C$63/2),2)</f>
        <v>9076.17</v>
      </c>
      <c r="AH33" s="125">
        <f t="shared" si="5"/>
        <v>425258.1099999999</v>
      </c>
      <c r="AI33" s="125">
        <f>Valores!$C$31</f>
        <v>0</v>
      </c>
      <c r="AJ33" s="125">
        <f>Valores!$C$89</f>
        <v>0</v>
      </c>
      <c r="AK33" s="125">
        <f>Valores!C$38*B33</f>
        <v>0</v>
      </c>
      <c r="AL33" s="125">
        <f>IF($F$3="NO",0,Valores!$C$55)</f>
        <v>0</v>
      </c>
      <c r="AM33" s="125">
        <f t="shared" si="3"/>
        <v>0</v>
      </c>
      <c r="AN33" s="125">
        <f>AH33*Valores!$C$71</f>
        <v>-46778.39209999999</v>
      </c>
      <c r="AO33" s="125">
        <f>AH33*-Valores!$C$72</f>
        <v>0</v>
      </c>
      <c r="AP33" s="125">
        <f>AH33*Valores!$C$73</f>
        <v>-19136.614949999996</v>
      </c>
      <c r="AQ33" s="125">
        <f>Valores!$C$100</f>
        <v>-554.86</v>
      </c>
      <c r="AR33" s="125">
        <f>IF($F$5=0,Valores!$C$101,(Valores!$C$101+$F$5*(Valores!$C$101)))</f>
        <v>-550</v>
      </c>
      <c r="AS33" s="125">
        <f t="shared" si="6"/>
        <v>358238.2429499999</v>
      </c>
      <c r="AT33" s="125">
        <f t="shared" si="0"/>
        <v>-46778.39209999999</v>
      </c>
      <c r="AU33" s="125">
        <f>AH33*Valores!$C$74</f>
        <v>-11481.968969999998</v>
      </c>
      <c r="AV33" s="125">
        <f>AH33*Valores!$C$75</f>
        <v>-1275.7743299999997</v>
      </c>
      <c r="AW33" s="125">
        <f t="shared" si="4"/>
        <v>365721.97459999996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3227.42</v>
      </c>
      <c r="G34" s="192">
        <v>3498</v>
      </c>
      <c r="H34" s="125">
        <f>ROUND(G34*Valores!$C$2,2)</f>
        <v>132818.01</v>
      </c>
      <c r="I34" s="192">
        <v>1209</v>
      </c>
      <c r="J34" s="125">
        <f>ROUND(I34*Valores!$C$2,2)</f>
        <v>45905.37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33045.54</v>
      </c>
      <c r="N34" s="125">
        <f t="shared" si="1"/>
        <v>0</v>
      </c>
      <c r="O34" s="125">
        <f>Valores!$C$12</f>
        <v>86142.40000000001</v>
      </c>
      <c r="P34" s="125">
        <f>Valores!$D$5</f>
        <v>19410.1</v>
      </c>
      <c r="Q34" s="125">
        <v>0</v>
      </c>
      <c r="R34" s="125">
        <f>IF($F$4="NO",Valores!$C$47,Valores!$C$47/2)</f>
        <v>20291.4</v>
      </c>
      <c r="S34" s="125">
        <f>Valores!$C$19</f>
        <v>18061.41</v>
      </c>
      <c r="T34" s="125">
        <f t="shared" si="7"/>
        <v>18061.41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Valores!$C$96</f>
        <v>55692.53</v>
      </c>
      <c r="AA34" s="125">
        <f>Valores!$C$25</f>
        <v>793.88</v>
      </c>
      <c r="AB34" s="214">
        <v>0</v>
      </c>
      <c r="AC34" s="125">
        <f t="shared" si="2"/>
        <v>0</v>
      </c>
      <c r="AD34" s="125">
        <f>Valores!$C$26</f>
        <v>793.88</v>
      </c>
      <c r="AE34" s="192">
        <v>0</v>
      </c>
      <c r="AF34" s="125">
        <f>ROUND(AE34*Valores!$C$2,2)</f>
        <v>0</v>
      </c>
      <c r="AG34" s="125">
        <f>ROUND(IF($F$4="NO",Valores!$C$63,Valores!$C$63/2),2)</f>
        <v>9076.17</v>
      </c>
      <c r="AH34" s="125">
        <f t="shared" si="5"/>
        <v>425258.11000000004</v>
      </c>
      <c r="AI34" s="125">
        <f>Valores!$C$31</f>
        <v>0</v>
      </c>
      <c r="AJ34" s="125">
        <f>Valores!$C$89</f>
        <v>0</v>
      </c>
      <c r="AK34" s="125">
        <f>Valores!C$38*B34</f>
        <v>0</v>
      </c>
      <c r="AL34" s="125">
        <f>IF($F$3="NO",0,Valores!$C$55)</f>
        <v>0</v>
      </c>
      <c r="AM34" s="125">
        <f t="shared" si="3"/>
        <v>0</v>
      </c>
      <c r="AN34" s="125">
        <f>AH34*Valores!$C$71</f>
        <v>-46778.392100000005</v>
      </c>
      <c r="AO34" s="125">
        <f>AH34*-Valores!$C$72</f>
        <v>0</v>
      </c>
      <c r="AP34" s="125">
        <f>AH34*Valores!$C$73</f>
        <v>-19136.614950000003</v>
      </c>
      <c r="AQ34" s="125">
        <f>Valores!$C$100</f>
        <v>-554.86</v>
      </c>
      <c r="AR34" s="125">
        <f>IF($F$5=0,Valores!$C$101,(Valores!$C$101+$F$5*(Valores!$C$101)))</f>
        <v>-550</v>
      </c>
      <c r="AS34" s="125">
        <f t="shared" si="6"/>
        <v>358238.24295000004</v>
      </c>
      <c r="AT34" s="125">
        <f t="shared" si="0"/>
        <v>-46778.392100000005</v>
      </c>
      <c r="AU34" s="125">
        <f>AH34*Valores!$C$74</f>
        <v>-11481.968970000002</v>
      </c>
      <c r="AV34" s="125">
        <f>AH34*Valores!$C$75</f>
        <v>-1275.7743300000002</v>
      </c>
      <c r="AW34" s="125">
        <f t="shared" si="4"/>
        <v>365721.9746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3493.21</v>
      </c>
      <c r="G35" s="192">
        <v>3483</v>
      </c>
      <c r="H35" s="125">
        <f>ROUND(G35*Valores!$C$2,2)</f>
        <v>132248.47</v>
      </c>
      <c r="I35" s="192">
        <v>1217</v>
      </c>
      <c r="J35" s="125">
        <f>ROUND(I35*Valores!$C$2,2)</f>
        <v>46209.12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33045.54</v>
      </c>
      <c r="N35" s="125">
        <f t="shared" si="1"/>
        <v>0</v>
      </c>
      <c r="O35" s="125">
        <f>Valores!$C$12</f>
        <v>86142.40000000001</v>
      </c>
      <c r="P35" s="125">
        <f>Valores!$D$5</f>
        <v>19410.1</v>
      </c>
      <c r="Q35" s="125">
        <v>0</v>
      </c>
      <c r="R35" s="125">
        <f>IF($F$4="NO",Valores!$C$47,Valores!$C$47/2)</f>
        <v>20291.4</v>
      </c>
      <c r="S35" s="125">
        <f>Valores!$C$19</f>
        <v>18061.41</v>
      </c>
      <c r="T35" s="125">
        <f t="shared" si="7"/>
        <v>18061.41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Valores!$C$96</f>
        <v>55692.53</v>
      </c>
      <c r="AA35" s="125">
        <f>Valores!$C$25</f>
        <v>793.88</v>
      </c>
      <c r="AB35" s="214">
        <v>0</v>
      </c>
      <c r="AC35" s="125">
        <f t="shared" si="2"/>
        <v>0</v>
      </c>
      <c r="AD35" s="125">
        <f>Valores!$C$26</f>
        <v>793.88</v>
      </c>
      <c r="AE35" s="192">
        <v>0</v>
      </c>
      <c r="AF35" s="125">
        <f>ROUND(AE35*Valores!$C$2,2)</f>
        <v>0</v>
      </c>
      <c r="AG35" s="125">
        <f>ROUND(IF($F$4="NO",Valores!$C$63,Valores!$C$63/2),2)</f>
        <v>9076.17</v>
      </c>
      <c r="AH35" s="125">
        <f t="shared" si="5"/>
        <v>425258.1099999999</v>
      </c>
      <c r="AI35" s="125">
        <f>Valores!$C$31</f>
        <v>0</v>
      </c>
      <c r="AJ35" s="125">
        <f>Valores!$C$89</f>
        <v>0</v>
      </c>
      <c r="AK35" s="125">
        <f>Valores!C$38*B35</f>
        <v>0</v>
      </c>
      <c r="AL35" s="125">
        <f>IF($F$3="NO",0,Valores!$C$55)</f>
        <v>0</v>
      </c>
      <c r="AM35" s="125">
        <f t="shared" si="3"/>
        <v>0</v>
      </c>
      <c r="AN35" s="125">
        <f>AH35*Valores!$C$71</f>
        <v>-46778.39209999999</v>
      </c>
      <c r="AO35" s="125">
        <f>AH35*-Valores!$C$72</f>
        <v>0</v>
      </c>
      <c r="AP35" s="125">
        <f>AH35*Valores!$C$73</f>
        <v>-19136.614949999996</v>
      </c>
      <c r="AQ35" s="125">
        <f>Valores!$C$100</f>
        <v>-554.86</v>
      </c>
      <c r="AR35" s="125">
        <f>IF($F$5=0,Valores!$C$101,(Valores!$C$101+$F$5*(Valores!$C$101)))</f>
        <v>-550</v>
      </c>
      <c r="AS35" s="125">
        <f t="shared" si="6"/>
        <v>358238.2429499999</v>
      </c>
      <c r="AT35" s="125">
        <f t="shared" si="0"/>
        <v>-46778.39209999999</v>
      </c>
      <c r="AU35" s="125">
        <f>AH35*Valores!$C$74</f>
        <v>-11481.968969999998</v>
      </c>
      <c r="AV35" s="125">
        <f>AH35*Valores!$C$75</f>
        <v>-1275.7743299999997</v>
      </c>
      <c r="AW35" s="125">
        <f t="shared" si="4"/>
        <v>365721.97459999996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3227.42</v>
      </c>
      <c r="G36" s="192">
        <v>3498</v>
      </c>
      <c r="H36" s="125">
        <f>ROUND(G36*Valores!$C$2,2)</f>
        <v>132818.01</v>
      </c>
      <c r="I36" s="192">
        <v>1209</v>
      </c>
      <c r="J36" s="125">
        <f>ROUND(I36*Valores!$C$2,2)</f>
        <v>45905.37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33045.54</v>
      </c>
      <c r="N36" s="125">
        <f t="shared" si="1"/>
        <v>0</v>
      </c>
      <c r="O36" s="125">
        <f>Valores!$C$12</f>
        <v>86142.40000000001</v>
      </c>
      <c r="P36" s="125">
        <f>Valores!$D$5</f>
        <v>19410.1</v>
      </c>
      <c r="Q36" s="125">
        <v>0</v>
      </c>
      <c r="R36" s="125">
        <f>IF($F$4="NO",Valores!$C$47,Valores!$C$47/2)</f>
        <v>20291.4</v>
      </c>
      <c r="S36" s="125">
        <f>Valores!$C$19</f>
        <v>18061.41</v>
      </c>
      <c r="T36" s="125">
        <f t="shared" si="7"/>
        <v>18061.41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Valores!$C$96</f>
        <v>55692.53</v>
      </c>
      <c r="AA36" s="125">
        <f>Valores!$C$25</f>
        <v>793.88</v>
      </c>
      <c r="AB36" s="214">
        <v>0</v>
      </c>
      <c r="AC36" s="125">
        <f t="shared" si="2"/>
        <v>0</v>
      </c>
      <c r="AD36" s="125">
        <f>Valores!$C$26</f>
        <v>793.88</v>
      </c>
      <c r="AE36" s="192">
        <v>0</v>
      </c>
      <c r="AF36" s="125">
        <f>ROUND(AE36*Valores!$C$2,2)</f>
        <v>0</v>
      </c>
      <c r="AG36" s="125">
        <f>ROUND(IF($F$4="NO",Valores!$C$63,Valores!$C$63/2),2)</f>
        <v>9076.17</v>
      </c>
      <c r="AH36" s="125">
        <f t="shared" si="5"/>
        <v>425258.11000000004</v>
      </c>
      <c r="AI36" s="125">
        <f>Valores!$C$31</f>
        <v>0</v>
      </c>
      <c r="AJ36" s="125">
        <f>Valores!$C$89</f>
        <v>0</v>
      </c>
      <c r="AK36" s="125">
        <f>Valores!C$38*B36</f>
        <v>0</v>
      </c>
      <c r="AL36" s="125">
        <f>IF($F$3="NO",0,Valores!$C$55)</f>
        <v>0</v>
      </c>
      <c r="AM36" s="125">
        <f t="shared" si="3"/>
        <v>0</v>
      </c>
      <c r="AN36" s="125">
        <f>AH36*Valores!$C$71</f>
        <v>-46778.392100000005</v>
      </c>
      <c r="AO36" s="125">
        <f>AH36*-Valores!$C$72</f>
        <v>0</v>
      </c>
      <c r="AP36" s="125">
        <f>AH36*Valores!$C$73</f>
        <v>-19136.614950000003</v>
      </c>
      <c r="AQ36" s="125">
        <f>Valores!$C$100</f>
        <v>-554.86</v>
      </c>
      <c r="AR36" s="125">
        <f>IF($F$5=0,Valores!$C$101,(Valores!$C$101+$F$5*(Valores!$C$101)))</f>
        <v>-550</v>
      </c>
      <c r="AS36" s="125">
        <f t="shared" si="6"/>
        <v>358238.24295000004</v>
      </c>
      <c r="AT36" s="125">
        <f t="shared" si="0"/>
        <v>-46778.392100000005</v>
      </c>
      <c r="AU36" s="125">
        <f>AH36*Valores!$C$74</f>
        <v>-11481.968970000002</v>
      </c>
      <c r="AV36" s="125">
        <f>AH36*Valores!$C$75</f>
        <v>-1275.7743300000002</v>
      </c>
      <c r="AW36" s="125">
        <f t="shared" si="4"/>
        <v>365721.9746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3493.21</v>
      </c>
      <c r="G37" s="192">
        <v>3483</v>
      </c>
      <c r="H37" s="125">
        <f>ROUND(G37*Valores!$C$2,2)</f>
        <v>132248.47</v>
      </c>
      <c r="I37" s="192">
        <v>1217</v>
      </c>
      <c r="J37" s="125">
        <f>ROUND(I37*Valores!$C$2,2)</f>
        <v>46209.12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33045.54</v>
      </c>
      <c r="N37" s="125">
        <f t="shared" si="1"/>
        <v>0</v>
      </c>
      <c r="O37" s="125">
        <f>Valores!$C$12</f>
        <v>86142.40000000001</v>
      </c>
      <c r="P37" s="125">
        <f>Valores!$D$5</f>
        <v>19410.1</v>
      </c>
      <c r="Q37" s="125">
        <v>0</v>
      </c>
      <c r="R37" s="125">
        <f>IF($F$4="NO",Valores!$C$47,Valores!$C$47/2)</f>
        <v>20291.4</v>
      </c>
      <c r="S37" s="125">
        <f>Valores!$C$19</f>
        <v>18061.41</v>
      </c>
      <c r="T37" s="125">
        <f t="shared" si="7"/>
        <v>18061.41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30336.33</v>
      </c>
      <c r="Z37" s="125">
        <f>Valores!$C$96</f>
        <v>55692.53</v>
      </c>
      <c r="AA37" s="125">
        <f>Valores!$C$25</f>
        <v>793.88</v>
      </c>
      <c r="AB37" s="214">
        <v>0</v>
      </c>
      <c r="AC37" s="125">
        <f t="shared" si="2"/>
        <v>0</v>
      </c>
      <c r="AD37" s="125">
        <f>Valores!$C$26</f>
        <v>793.88</v>
      </c>
      <c r="AE37" s="192">
        <v>0</v>
      </c>
      <c r="AF37" s="125">
        <f>ROUND(AE37*Valores!$C$2,2)</f>
        <v>0</v>
      </c>
      <c r="AG37" s="125">
        <f>ROUND(IF($F$4="NO",Valores!$C$63,Valores!$C$63/2),2)</f>
        <v>9076.17</v>
      </c>
      <c r="AH37" s="125">
        <f t="shared" si="5"/>
        <v>455594.44</v>
      </c>
      <c r="AI37" s="125">
        <f>Valores!$C$31</f>
        <v>0</v>
      </c>
      <c r="AJ37" s="125">
        <f>Valores!$C$89</f>
        <v>0</v>
      </c>
      <c r="AK37" s="125">
        <f>Valores!C$38*B37</f>
        <v>0</v>
      </c>
      <c r="AL37" s="125">
        <f>IF($F$3="NO",0,Valores!$C$55)</f>
        <v>0</v>
      </c>
      <c r="AM37" s="125">
        <f t="shared" si="3"/>
        <v>0</v>
      </c>
      <c r="AN37" s="125">
        <f>AH37*Valores!$C$71</f>
        <v>-50115.3884</v>
      </c>
      <c r="AO37" s="125">
        <f>AH37*-Valores!$C$72</f>
        <v>0</v>
      </c>
      <c r="AP37" s="125">
        <f>AH37*Valores!$C$73</f>
        <v>-20501.749799999998</v>
      </c>
      <c r="AQ37" s="125">
        <f>Valores!$C$100</f>
        <v>-554.86</v>
      </c>
      <c r="AR37" s="125">
        <f>IF($F$5=0,Valores!$C$101,(Valores!$C$101+$F$5*(Valores!$C$101)))</f>
        <v>-550</v>
      </c>
      <c r="AS37" s="125">
        <f t="shared" si="6"/>
        <v>383872.44180000003</v>
      </c>
      <c r="AT37" s="125">
        <f t="shared" si="0"/>
        <v>-50115.3884</v>
      </c>
      <c r="AU37" s="125">
        <f>AH37*Valores!$C$74</f>
        <v>-12301.04988</v>
      </c>
      <c r="AV37" s="125">
        <f>AH37*Valores!$C$75</f>
        <v>-1366.78332</v>
      </c>
      <c r="AW37" s="125">
        <f t="shared" si="4"/>
        <v>391811.2184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3227.42</v>
      </c>
      <c r="G38" s="192">
        <v>3498</v>
      </c>
      <c r="H38" s="125">
        <f>ROUND(G38*Valores!$C$2,2)</f>
        <v>132818.01</v>
      </c>
      <c r="I38" s="192">
        <v>202</v>
      </c>
      <c r="J38" s="125">
        <f>ROUND(I38*Valores!$C$2,2)</f>
        <v>7669.88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27310.22</v>
      </c>
      <c r="N38" s="125">
        <f t="shared" si="1"/>
        <v>0</v>
      </c>
      <c r="O38" s="125">
        <f>Valores!$C$12</f>
        <v>86142.40000000001</v>
      </c>
      <c r="P38" s="125">
        <f>Valores!$D$5</f>
        <v>19410.1</v>
      </c>
      <c r="Q38" s="125">
        <v>0</v>
      </c>
      <c r="R38" s="125">
        <f>IF($F$4="NO",Valores!$C$47,Valores!$C$47/2)</f>
        <v>20291.4</v>
      </c>
      <c r="S38" s="125">
        <f>Valores!$C$19</f>
        <v>18061.41</v>
      </c>
      <c r="T38" s="125">
        <f t="shared" si="7"/>
        <v>18061.41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Valores!$C$96</f>
        <v>55692.53</v>
      </c>
      <c r="AA38" s="125">
        <f>Valores!$C$25</f>
        <v>793.88</v>
      </c>
      <c r="AB38" s="214">
        <v>0</v>
      </c>
      <c r="AC38" s="125">
        <f t="shared" si="2"/>
        <v>0</v>
      </c>
      <c r="AD38" s="125">
        <f>Valores!$C$26</f>
        <v>793.88</v>
      </c>
      <c r="AE38" s="192">
        <v>0</v>
      </c>
      <c r="AF38" s="125">
        <f>ROUND(AE38*Valores!$C$2,2)</f>
        <v>0</v>
      </c>
      <c r="AG38" s="125">
        <f>ROUND(IF($F$4="NO",Valores!$C$63,Valores!$C$63/2),2)</f>
        <v>9076.17</v>
      </c>
      <c r="AH38" s="125">
        <f t="shared" si="5"/>
        <v>381287.3</v>
      </c>
      <c r="AI38" s="125">
        <f>Valores!$C$31</f>
        <v>0</v>
      </c>
      <c r="AJ38" s="125">
        <f>Valores!$C$89</f>
        <v>0</v>
      </c>
      <c r="AK38" s="125">
        <f>Valores!C$38*B38</f>
        <v>0</v>
      </c>
      <c r="AL38" s="125">
        <f>IF($F$3="NO",0,Valores!$C$55)</f>
        <v>0</v>
      </c>
      <c r="AM38" s="125">
        <f t="shared" si="3"/>
        <v>0</v>
      </c>
      <c r="AN38" s="125">
        <f>AH38*Valores!$C$71</f>
        <v>-41941.602999999996</v>
      </c>
      <c r="AO38" s="125">
        <f>AH38*-Valores!$C$72</f>
        <v>0</v>
      </c>
      <c r="AP38" s="125">
        <f>AH38*Valores!$C$73</f>
        <v>-17157.928499999998</v>
      </c>
      <c r="AQ38" s="125">
        <f>Valores!$C$100</f>
        <v>-554.86</v>
      </c>
      <c r="AR38" s="125">
        <f>IF($F$5=0,Valores!$C$101,(Valores!$C$101+$F$5*(Valores!$C$101)))</f>
        <v>-550</v>
      </c>
      <c r="AS38" s="125">
        <f t="shared" si="6"/>
        <v>321082.9085</v>
      </c>
      <c r="AT38" s="125">
        <f t="shared" si="0"/>
        <v>-41941.602999999996</v>
      </c>
      <c r="AU38" s="125">
        <f>AH38*Valores!$C$74</f>
        <v>-10294.757099999999</v>
      </c>
      <c r="AV38" s="125">
        <f>AH38*Valores!$C$75</f>
        <v>-1143.8618999999999</v>
      </c>
      <c r="AW38" s="125">
        <f t="shared" si="4"/>
        <v>327907.078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3227.42</v>
      </c>
      <c r="G39" s="192">
        <v>3498</v>
      </c>
      <c r="H39" s="125">
        <f>ROUND(G39*Valores!$C$2,2)</f>
        <v>132818.01</v>
      </c>
      <c r="I39" s="192">
        <v>1209</v>
      </c>
      <c r="J39" s="125">
        <f>ROUND(I39*Valores!$C$2,2)</f>
        <v>45905.37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33045.54</v>
      </c>
      <c r="N39" s="125">
        <f t="shared" si="1"/>
        <v>0</v>
      </c>
      <c r="O39" s="125">
        <f>Valores!$C$12</f>
        <v>86142.40000000001</v>
      </c>
      <c r="P39" s="125">
        <f>Valores!$D$5</f>
        <v>19410.1</v>
      </c>
      <c r="Q39" s="125">
        <v>0</v>
      </c>
      <c r="R39" s="125">
        <f>IF($F$4="NO",Valores!$C$47,Valores!$C$47/2)</f>
        <v>20291.4</v>
      </c>
      <c r="S39" s="125">
        <f>Valores!$C$19</f>
        <v>18061.41</v>
      </c>
      <c r="T39" s="125">
        <f t="shared" si="7"/>
        <v>18061.41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Valores!$C$96</f>
        <v>55692.53</v>
      </c>
      <c r="AA39" s="125">
        <f>Valores!$C$25</f>
        <v>793.88</v>
      </c>
      <c r="AB39" s="214">
        <v>0</v>
      </c>
      <c r="AC39" s="125">
        <f t="shared" si="2"/>
        <v>0</v>
      </c>
      <c r="AD39" s="125">
        <f>Valores!$C$26</f>
        <v>793.88</v>
      </c>
      <c r="AE39" s="192">
        <v>0</v>
      </c>
      <c r="AF39" s="125">
        <f>ROUND(AE39*Valores!$C$2,2)</f>
        <v>0</v>
      </c>
      <c r="AG39" s="125">
        <f>ROUND(IF($F$4="NO",Valores!$C$63,Valores!$C$63/2),2)</f>
        <v>9076.17</v>
      </c>
      <c r="AH39" s="125">
        <f t="shared" si="5"/>
        <v>425258.11000000004</v>
      </c>
      <c r="AI39" s="125">
        <f>Valores!$C$31</f>
        <v>0</v>
      </c>
      <c r="AJ39" s="125">
        <f>Valores!$C$89</f>
        <v>0</v>
      </c>
      <c r="AK39" s="125">
        <f>Valores!C$38*B39</f>
        <v>0</v>
      </c>
      <c r="AL39" s="125">
        <f>IF($F$3="NO",0,Valores!$C$55)</f>
        <v>0</v>
      </c>
      <c r="AM39" s="125">
        <f t="shared" si="3"/>
        <v>0</v>
      </c>
      <c r="AN39" s="125">
        <f>AH39*Valores!$C$71</f>
        <v>-46778.392100000005</v>
      </c>
      <c r="AO39" s="125">
        <f>AH39*-Valores!$C$72</f>
        <v>0</v>
      </c>
      <c r="AP39" s="125">
        <f>AH39*Valores!$C$73</f>
        <v>-19136.614950000003</v>
      </c>
      <c r="AQ39" s="125">
        <f>Valores!$C$100</f>
        <v>-554.86</v>
      </c>
      <c r="AR39" s="125">
        <f>IF($F$5=0,Valores!$C$101,(Valores!$C$101+$F$5*(Valores!$C$101)))</f>
        <v>-550</v>
      </c>
      <c r="AS39" s="125">
        <f t="shared" si="6"/>
        <v>358238.24295000004</v>
      </c>
      <c r="AT39" s="125">
        <f t="shared" si="0"/>
        <v>-46778.392100000005</v>
      </c>
      <c r="AU39" s="125">
        <f>AH39*Valores!$C$74</f>
        <v>-11481.968970000002</v>
      </c>
      <c r="AV39" s="125">
        <f>AH39*Valores!$C$75</f>
        <v>-1275.7743300000002</v>
      </c>
      <c r="AW39" s="125">
        <f t="shared" si="4"/>
        <v>365721.9746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3227.42</v>
      </c>
      <c r="G40" s="192">
        <v>3498</v>
      </c>
      <c r="H40" s="125">
        <f>ROUND(G40*Valores!$C$2,2)</f>
        <v>132818.01</v>
      </c>
      <c r="I40" s="192">
        <v>1209</v>
      </c>
      <c r="J40" s="125">
        <f>ROUND(I40*Valores!$C$2,2)</f>
        <v>45905.37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33045.54</v>
      </c>
      <c r="N40" s="125">
        <f t="shared" si="1"/>
        <v>0</v>
      </c>
      <c r="O40" s="125">
        <f>Valores!$C$12</f>
        <v>86142.40000000001</v>
      </c>
      <c r="P40" s="125">
        <f>Valores!$D$5</f>
        <v>19410.1</v>
      </c>
      <c r="Q40" s="125">
        <v>0</v>
      </c>
      <c r="R40" s="125">
        <f>IF($F$4="NO",Valores!$C$47,Valores!$C$47/2)</f>
        <v>20291.4</v>
      </c>
      <c r="S40" s="125">
        <f>Valores!$C$19</f>
        <v>18061.41</v>
      </c>
      <c r="T40" s="125">
        <f t="shared" si="7"/>
        <v>18061.41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Valores!$C$96</f>
        <v>55692.53</v>
      </c>
      <c r="AA40" s="125">
        <f>Valores!$C$25</f>
        <v>793.88</v>
      </c>
      <c r="AB40" s="214">
        <v>0</v>
      </c>
      <c r="AC40" s="125">
        <f t="shared" si="2"/>
        <v>0</v>
      </c>
      <c r="AD40" s="125">
        <f>Valores!$C$26</f>
        <v>793.88</v>
      </c>
      <c r="AE40" s="192">
        <v>0</v>
      </c>
      <c r="AF40" s="125">
        <f>ROUND(AE40*Valores!$C$2,2)</f>
        <v>0</v>
      </c>
      <c r="AG40" s="125">
        <f>ROUND(IF($F$4="NO",Valores!$C$63,Valores!$C$63/2),2)</f>
        <v>9076.17</v>
      </c>
      <c r="AH40" s="125">
        <f t="shared" si="5"/>
        <v>425258.11000000004</v>
      </c>
      <c r="AI40" s="125">
        <f>Valores!$C$31</f>
        <v>0</v>
      </c>
      <c r="AJ40" s="125">
        <f>Valores!$C$89</f>
        <v>0</v>
      </c>
      <c r="AK40" s="125">
        <f>Valores!C$38*B40</f>
        <v>0</v>
      </c>
      <c r="AL40" s="125">
        <f>IF($F$3="NO",0,Valores!$C$55)</f>
        <v>0</v>
      </c>
      <c r="AM40" s="125">
        <f t="shared" si="3"/>
        <v>0</v>
      </c>
      <c r="AN40" s="125">
        <f>AH40*Valores!$C$71</f>
        <v>-46778.392100000005</v>
      </c>
      <c r="AO40" s="125">
        <f>AH40*-Valores!$C$72</f>
        <v>0</v>
      </c>
      <c r="AP40" s="125">
        <f>AH40*Valores!$C$73</f>
        <v>-19136.614950000003</v>
      </c>
      <c r="AQ40" s="125">
        <f>Valores!$C$100</f>
        <v>-554.86</v>
      </c>
      <c r="AR40" s="125">
        <f>IF($F$5=0,Valores!$C$101,(Valores!$C$101+$F$5*(Valores!$C$101)))</f>
        <v>-550</v>
      </c>
      <c r="AS40" s="125">
        <f t="shared" si="6"/>
        <v>358238.24295000004</v>
      </c>
      <c r="AT40" s="125">
        <f t="shared" si="0"/>
        <v>-46778.392100000005</v>
      </c>
      <c r="AU40" s="125">
        <f>AH40*Valores!$C$74</f>
        <v>-11481.968970000002</v>
      </c>
      <c r="AV40" s="125">
        <f>AH40*Valores!$C$75</f>
        <v>-1275.7743300000002</v>
      </c>
      <c r="AW40" s="125">
        <f t="shared" si="4"/>
        <v>365721.9746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3834.94</v>
      </c>
      <c r="G41" s="192">
        <v>2548</v>
      </c>
      <c r="H41" s="125">
        <f>ROUND(G41*Valores!$C$2,2)</f>
        <v>96746.8</v>
      </c>
      <c r="I41" s="192">
        <v>216</v>
      </c>
      <c r="J41" s="125">
        <f>ROUND(I41*Valores!$C$2,2)</f>
        <v>8201.46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21505.02</v>
      </c>
      <c r="N41" s="125">
        <f t="shared" si="1"/>
        <v>0</v>
      </c>
      <c r="O41" s="125">
        <f>Valores!$C$9</f>
        <v>47713.55</v>
      </c>
      <c r="P41" s="125">
        <f>Valores!$D$5</f>
        <v>19410.1</v>
      </c>
      <c r="Q41" s="125">
        <v>0</v>
      </c>
      <c r="R41" s="125">
        <f>IF($F$4="NO",Valores!$C$46,Valores!$C$46/2)</f>
        <v>16522.17</v>
      </c>
      <c r="S41" s="125">
        <f>Valores!$C$19</f>
        <v>18061.41</v>
      </c>
      <c r="T41" s="125">
        <f t="shared" si="7"/>
        <v>18061.41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Valores!$C$94</f>
        <v>27846.26</v>
      </c>
      <c r="AA41" s="125">
        <f>Valores!$C$25</f>
        <v>793.88</v>
      </c>
      <c r="AB41" s="214">
        <v>0</v>
      </c>
      <c r="AC41" s="125">
        <f t="shared" si="2"/>
        <v>0</v>
      </c>
      <c r="AD41" s="125">
        <f>Valores!$C$26</f>
        <v>793.88</v>
      </c>
      <c r="AE41" s="192">
        <v>0</v>
      </c>
      <c r="AF41" s="125">
        <f>ROUND(AE41*Valores!$C$2,2)</f>
        <v>0</v>
      </c>
      <c r="AG41" s="125">
        <f>ROUND(IF($F$4="NO",Valores!$C$63,Valores!$C$63/2),2)</f>
        <v>9076.17</v>
      </c>
      <c r="AH41" s="125">
        <f t="shared" si="5"/>
        <v>270505.6400000001</v>
      </c>
      <c r="AI41" s="125">
        <f>Valores!$C$31</f>
        <v>0</v>
      </c>
      <c r="AJ41" s="125">
        <f>Valores!$C$87</f>
        <v>0</v>
      </c>
      <c r="AK41" s="125">
        <f>Valores!C$38*B41</f>
        <v>0</v>
      </c>
      <c r="AL41" s="125">
        <f>IF($F$3="NO",0,Valores!$C$55)</f>
        <v>0</v>
      </c>
      <c r="AM41" s="125">
        <f t="shared" si="3"/>
        <v>0</v>
      </c>
      <c r="AN41" s="125">
        <f>AH41*Valores!$C$71</f>
        <v>-29755.620400000007</v>
      </c>
      <c r="AO41" s="125">
        <f>AH41*-Valores!$C$72</f>
        <v>0</v>
      </c>
      <c r="AP41" s="125">
        <f>AH41*Valores!$C$73</f>
        <v>-12172.753800000002</v>
      </c>
      <c r="AQ41" s="125">
        <f>Valores!$C$100</f>
        <v>-554.86</v>
      </c>
      <c r="AR41" s="125">
        <f>IF($F$5=0,Valores!$C$101,(Valores!$C$101+$F$5*(Valores!$C$101)))</f>
        <v>-550</v>
      </c>
      <c r="AS41" s="125">
        <f t="shared" si="6"/>
        <v>227472.40580000007</v>
      </c>
      <c r="AT41" s="125">
        <f t="shared" si="0"/>
        <v>-29755.620400000007</v>
      </c>
      <c r="AU41" s="125">
        <f>AH41*Valores!$C$74</f>
        <v>-7303.652280000002</v>
      </c>
      <c r="AV41" s="125">
        <f>AH41*Valores!$C$75</f>
        <v>-811.5169200000003</v>
      </c>
      <c r="AW41" s="125">
        <f t="shared" si="4"/>
        <v>232634.85040000005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3834.94</v>
      </c>
      <c r="G42" s="192">
        <v>2548</v>
      </c>
      <c r="H42" s="125">
        <f>ROUND(G42*Valores!$C$2,2)</f>
        <v>96746.8</v>
      </c>
      <c r="I42" s="192">
        <v>216</v>
      </c>
      <c r="J42" s="125">
        <f>ROUND(I42*Valores!$C$2,2)</f>
        <v>8201.46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21505.02</v>
      </c>
      <c r="N42" s="125">
        <f t="shared" si="1"/>
        <v>0</v>
      </c>
      <c r="O42" s="125">
        <f>Valores!$C$9</f>
        <v>47713.55</v>
      </c>
      <c r="P42" s="125">
        <f>Valores!$D$5</f>
        <v>19410.1</v>
      </c>
      <c r="Q42" s="125">
        <v>0</v>
      </c>
      <c r="R42" s="125">
        <f>IF($F$4="NO",Valores!$C$46,Valores!$C$46/2)</f>
        <v>16522.17</v>
      </c>
      <c r="S42" s="125">
        <f>Valores!$C$19</f>
        <v>18061.41</v>
      </c>
      <c r="T42" s="125">
        <f t="shared" si="7"/>
        <v>18061.41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Valores!$C$94</f>
        <v>27846.26</v>
      </c>
      <c r="AA42" s="125">
        <f>Valores!$C$25</f>
        <v>793.88</v>
      </c>
      <c r="AB42" s="214">
        <v>0</v>
      </c>
      <c r="AC42" s="125">
        <f t="shared" si="2"/>
        <v>0</v>
      </c>
      <c r="AD42" s="125">
        <f>Valores!$C$26</f>
        <v>793.88</v>
      </c>
      <c r="AE42" s="192">
        <v>0</v>
      </c>
      <c r="AF42" s="125">
        <f>ROUND(AE42*Valores!$C$2,2)</f>
        <v>0</v>
      </c>
      <c r="AG42" s="125">
        <f>ROUND(IF($F$4="NO",Valores!$C$63,Valores!$C$63/2),2)</f>
        <v>9076.17</v>
      </c>
      <c r="AH42" s="125">
        <f t="shared" si="5"/>
        <v>270505.6400000001</v>
      </c>
      <c r="AI42" s="125">
        <f>Valores!$C$31</f>
        <v>0</v>
      </c>
      <c r="AJ42" s="125">
        <f>Valores!$C$87</f>
        <v>0</v>
      </c>
      <c r="AK42" s="125">
        <f>Valores!C$38*B42</f>
        <v>0</v>
      </c>
      <c r="AL42" s="125">
        <f>IF($F$3="NO",0,Valores!$C$55)</f>
        <v>0</v>
      </c>
      <c r="AM42" s="125">
        <f t="shared" si="3"/>
        <v>0</v>
      </c>
      <c r="AN42" s="125">
        <f>AH42*Valores!$C$71</f>
        <v>-29755.620400000007</v>
      </c>
      <c r="AO42" s="125">
        <f>AH42*-Valores!$C$72</f>
        <v>0</v>
      </c>
      <c r="AP42" s="125">
        <f>AH42*Valores!$C$73</f>
        <v>-12172.753800000002</v>
      </c>
      <c r="AQ42" s="125">
        <f>Valores!$C$100</f>
        <v>-554.86</v>
      </c>
      <c r="AR42" s="125">
        <f>IF($F$5=0,Valores!$C$101,(Valores!$C$101+$F$5*(Valores!$C$101)))</f>
        <v>-550</v>
      </c>
      <c r="AS42" s="125">
        <f t="shared" si="6"/>
        <v>227472.40580000007</v>
      </c>
      <c r="AT42" s="125">
        <f t="shared" si="0"/>
        <v>-29755.620400000007</v>
      </c>
      <c r="AU42" s="125">
        <f>AH42*Valores!$C$74</f>
        <v>-7303.652280000002</v>
      </c>
      <c r="AV42" s="125">
        <f>AH42*Valores!$C$75</f>
        <v>-811.5169200000003</v>
      </c>
      <c r="AW42" s="125">
        <f t="shared" si="4"/>
        <v>232634.85040000005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3645.09</v>
      </c>
      <c r="G43" s="192">
        <v>2475</v>
      </c>
      <c r="H43" s="125">
        <f>ROUND(G43*Valores!$C$2,2)</f>
        <v>93975.01</v>
      </c>
      <c r="I43" s="192">
        <v>213</v>
      </c>
      <c r="J43" s="125">
        <f>ROUND(I43*Valores!$C$2,2)</f>
        <v>8087.55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20587.96</v>
      </c>
      <c r="N43" s="125">
        <f t="shared" si="1"/>
        <v>0</v>
      </c>
      <c r="O43" s="125">
        <f>Valores!$C$9</f>
        <v>47713.55</v>
      </c>
      <c r="P43" s="125">
        <f>Valores!$D$5</f>
        <v>19410.1</v>
      </c>
      <c r="Q43" s="125">
        <v>0</v>
      </c>
      <c r="R43" s="125">
        <f>IF($F$4="NO",Valores!$C$44,Valores!$C$44/2)</f>
        <v>13484.02</v>
      </c>
      <c r="S43" s="125">
        <f>Valores!$C$19</f>
        <v>18061.41</v>
      </c>
      <c r="T43" s="125">
        <f t="shared" si="7"/>
        <v>18061.41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Valores!$C$94</f>
        <v>27846.26</v>
      </c>
      <c r="AA43" s="125">
        <f>Valores!$C$25</f>
        <v>793.88</v>
      </c>
      <c r="AB43" s="214">
        <v>0</v>
      </c>
      <c r="AC43" s="125">
        <f t="shared" si="2"/>
        <v>0</v>
      </c>
      <c r="AD43" s="125">
        <f>Valores!$C$26</f>
        <v>793.88</v>
      </c>
      <c r="AE43" s="192">
        <v>0</v>
      </c>
      <c r="AF43" s="125">
        <f>ROUND(AE43*Valores!$C$2,2)</f>
        <v>0</v>
      </c>
      <c r="AG43" s="125">
        <f>ROUND(IF($F$4="NO",Valores!$C$63,Valores!$C$63/2),2)</f>
        <v>9076.17</v>
      </c>
      <c r="AH43" s="125">
        <f t="shared" si="5"/>
        <v>263474.88</v>
      </c>
      <c r="AI43" s="125">
        <f>Valores!$C$31</f>
        <v>0</v>
      </c>
      <c r="AJ43" s="125">
        <f>Valores!$C$87</f>
        <v>0</v>
      </c>
      <c r="AK43" s="125">
        <f>Valores!C$38*B43</f>
        <v>0</v>
      </c>
      <c r="AL43" s="125">
        <f>IF($F$3="NO",0,Valores!$C$56)</f>
        <v>0</v>
      </c>
      <c r="AM43" s="125">
        <f t="shared" si="3"/>
        <v>0</v>
      </c>
      <c r="AN43" s="125">
        <f>AH43*Valores!$C$71</f>
        <v>-28982.236800000002</v>
      </c>
      <c r="AO43" s="125">
        <f>AH43*-Valores!$C$72</f>
        <v>0</v>
      </c>
      <c r="AP43" s="125">
        <f>AH43*Valores!$C$73</f>
        <v>-11856.3696</v>
      </c>
      <c r="AQ43" s="125">
        <f>Valores!$C$100</f>
        <v>-554.86</v>
      </c>
      <c r="AR43" s="125">
        <f>IF($F$5=0,Valores!$C$101,(Valores!$C$101+$F$5*(Valores!$C$101)))</f>
        <v>-550</v>
      </c>
      <c r="AS43" s="125">
        <f t="shared" si="6"/>
        <v>221531.4136</v>
      </c>
      <c r="AT43" s="125">
        <f t="shared" si="0"/>
        <v>-28982.236800000002</v>
      </c>
      <c r="AU43" s="125">
        <f>AH43*Valores!$C$74</f>
        <v>-7113.82176</v>
      </c>
      <c r="AV43" s="125">
        <f>AH43*Valores!$C$75</f>
        <v>-790.4246400000001</v>
      </c>
      <c r="AW43" s="125">
        <f t="shared" si="4"/>
        <v>226588.3968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2733.82</v>
      </c>
      <c r="G44" s="192">
        <v>2471</v>
      </c>
      <c r="H44" s="125">
        <f>ROUND(G44*Valores!$C$2,2)</f>
        <v>93823.13</v>
      </c>
      <c r="I44" s="192">
        <v>199</v>
      </c>
      <c r="J44" s="125">
        <f>ROUND(I44*Valores!$C$2,2)</f>
        <v>7555.97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20348.75</v>
      </c>
      <c r="N44" s="125">
        <f t="shared" si="1"/>
        <v>0</v>
      </c>
      <c r="O44" s="125">
        <f>Valores!$C$9</f>
        <v>47713.55</v>
      </c>
      <c r="P44" s="125">
        <f>Valores!$D$5</f>
        <v>19410.1</v>
      </c>
      <c r="Q44" s="125">
        <v>0</v>
      </c>
      <c r="R44" s="125">
        <f>IF($F$4="NO",Valores!$C$44,Valores!$C$44/2)</f>
        <v>13484.02</v>
      </c>
      <c r="S44" s="125">
        <f>Valores!$C$19</f>
        <v>18061.41</v>
      </c>
      <c r="T44" s="125">
        <f t="shared" si="7"/>
        <v>18061.41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Valores!$C$94</f>
        <v>27846.26</v>
      </c>
      <c r="AA44" s="125">
        <f>Valores!$C$25</f>
        <v>793.88</v>
      </c>
      <c r="AB44" s="214">
        <v>0</v>
      </c>
      <c r="AC44" s="125">
        <f t="shared" si="2"/>
        <v>0</v>
      </c>
      <c r="AD44" s="125">
        <f>Valores!$C$26</f>
        <v>793.88</v>
      </c>
      <c r="AE44" s="192">
        <v>0</v>
      </c>
      <c r="AF44" s="125">
        <f>ROUND(AE44*Valores!$C$2,2)</f>
        <v>0</v>
      </c>
      <c r="AG44" s="125">
        <f>ROUND(IF($F$4="NO",Valores!$C$63,Valores!$C$63/2),2)</f>
        <v>9076.17</v>
      </c>
      <c r="AH44" s="125">
        <f t="shared" si="5"/>
        <v>261640.94000000006</v>
      </c>
      <c r="AI44" s="125">
        <f>Valores!$C$31</f>
        <v>0</v>
      </c>
      <c r="AJ44" s="125">
        <f>Valores!$C$87</f>
        <v>0</v>
      </c>
      <c r="AK44" s="125">
        <f>Valores!C$38*B44</f>
        <v>0</v>
      </c>
      <c r="AL44" s="125">
        <f>IF($F$3="NO",0,Valores!$C$56)</f>
        <v>0</v>
      </c>
      <c r="AM44" s="125">
        <f t="shared" si="3"/>
        <v>0</v>
      </c>
      <c r="AN44" s="125">
        <f>AH44*Valores!$C$71</f>
        <v>-28780.503400000005</v>
      </c>
      <c r="AO44" s="125">
        <f>AH44*-Valores!$C$72</f>
        <v>0</v>
      </c>
      <c r="AP44" s="125">
        <f>AH44*Valores!$C$73</f>
        <v>-11773.842300000002</v>
      </c>
      <c r="AQ44" s="125">
        <f>Valores!$C$100</f>
        <v>-554.86</v>
      </c>
      <c r="AR44" s="125">
        <f>IF($F$5=0,Valores!$C$101,(Valores!$C$101+$F$5*(Valores!$C$101)))</f>
        <v>-550</v>
      </c>
      <c r="AS44" s="125">
        <f t="shared" si="6"/>
        <v>219981.73430000007</v>
      </c>
      <c r="AT44" s="125">
        <f t="shared" si="0"/>
        <v>-28780.503400000005</v>
      </c>
      <c r="AU44" s="125">
        <f>AH44*Valores!$C$74</f>
        <v>-7064.305380000002</v>
      </c>
      <c r="AV44" s="125">
        <f>AH44*Valores!$C$75</f>
        <v>-784.9228200000002</v>
      </c>
      <c r="AW44" s="125">
        <f t="shared" si="4"/>
        <v>225011.20840000006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3227.42</v>
      </c>
      <c r="G45" s="192">
        <f>G39</f>
        <v>3498</v>
      </c>
      <c r="H45" s="125">
        <f>ROUND(G45*Valores!$C$2,2)</f>
        <v>132818.01</v>
      </c>
      <c r="I45" s="192">
        <f>I39</f>
        <v>1209</v>
      </c>
      <c r="J45" s="125">
        <f>ROUND(I45*Valores!$C$2,2)</f>
        <v>45905.37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32480.16</v>
      </c>
      <c r="N45" s="125">
        <f t="shared" si="1"/>
        <v>0</v>
      </c>
      <c r="O45" s="125">
        <f>O39</f>
        <v>86142.40000000001</v>
      </c>
      <c r="P45" s="125">
        <f>Valores!$D$5</f>
        <v>19410.1</v>
      </c>
      <c r="Q45" s="125">
        <v>0</v>
      </c>
      <c r="R45" s="125">
        <f>IF($F$4="NO",Valores!$C$46,Valores!$C$46/2)</f>
        <v>16522.17</v>
      </c>
      <c r="S45" s="125">
        <f>S39</f>
        <v>18061.41</v>
      </c>
      <c r="T45" s="125">
        <f t="shared" si="7"/>
        <v>18061.41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55692.53</v>
      </c>
      <c r="AA45" s="125">
        <f>Valores!$C$25</f>
        <v>793.88</v>
      </c>
      <c r="AB45" s="214">
        <v>0</v>
      </c>
      <c r="AC45" s="125">
        <f t="shared" si="2"/>
        <v>0</v>
      </c>
      <c r="AD45" s="125">
        <f>Valores!$C$26</f>
        <v>793.88</v>
      </c>
      <c r="AE45" s="192">
        <v>0</v>
      </c>
      <c r="AF45" s="125">
        <f>ROUND(AE45*Valores!$C$2,2)</f>
        <v>0</v>
      </c>
      <c r="AG45" s="125">
        <f>ROUND(IF($F$4="NO",Valores!$C$63,Valores!$C$63/2),2)</f>
        <v>9076.17</v>
      </c>
      <c r="AH45" s="125">
        <f t="shared" si="5"/>
        <v>420923.49999999994</v>
      </c>
      <c r="AI45" s="125">
        <f>Valores!$C$31</f>
        <v>0</v>
      </c>
      <c r="AJ45" s="125">
        <f>AJ39</f>
        <v>0</v>
      </c>
      <c r="AK45" s="125">
        <f>Valores!C$38*B45</f>
        <v>0</v>
      </c>
      <c r="AL45" s="125">
        <f>IF($F$3="NO",0,Valores!$C$55)</f>
        <v>0</v>
      </c>
      <c r="AM45" s="125">
        <f t="shared" si="3"/>
        <v>0</v>
      </c>
      <c r="AN45" s="125">
        <f>AH45*Valores!$C$71</f>
        <v>-46301.58499999999</v>
      </c>
      <c r="AO45" s="125">
        <f>AH45*-Valores!$C$72</f>
        <v>0</v>
      </c>
      <c r="AP45" s="125">
        <f>AH45*Valores!$C$73</f>
        <v>-18941.557499999995</v>
      </c>
      <c r="AQ45" s="125">
        <f>Valores!$C$100</f>
        <v>-554.86</v>
      </c>
      <c r="AR45" s="125">
        <f>IF($F$5=0,Valores!$C$101,(Valores!$C$101+$F$5*(Valores!$C$101)))</f>
        <v>-550</v>
      </c>
      <c r="AS45" s="125">
        <f t="shared" si="6"/>
        <v>354575.49749999994</v>
      </c>
      <c r="AT45" s="125">
        <f t="shared" si="0"/>
        <v>-46301.58499999999</v>
      </c>
      <c r="AU45" s="125">
        <f>AH45*Valores!$C$74</f>
        <v>-11364.934499999998</v>
      </c>
      <c r="AV45" s="125">
        <f>AH45*Valores!$C$75</f>
        <v>-1262.7704999999999</v>
      </c>
      <c r="AW45" s="125">
        <f t="shared" si="4"/>
        <v>361994.20999999996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19668.3</v>
      </c>
      <c r="G46" s="192">
        <f>G88+G304</f>
        <v>1997</v>
      </c>
      <c r="H46" s="125">
        <f>ROUND(G46*Valores!$C$2,2)</f>
        <v>75825.49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19564.59</v>
      </c>
      <c r="N46" s="125">
        <f t="shared" si="1"/>
        <v>0</v>
      </c>
      <c r="O46" s="125">
        <f>O88+O304</f>
        <v>54863.42</v>
      </c>
      <c r="P46" s="125">
        <f>Valores!$D$5</f>
        <v>19410.1</v>
      </c>
      <c r="Q46" s="125">
        <f>Q88+Q304</f>
        <v>17316.91</v>
      </c>
      <c r="R46" s="125">
        <f>R88+R304</f>
        <v>16875.37</v>
      </c>
      <c r="S46" s="125">
        <f>S88+S304</f>
        <v>18061.41</v>
      </c>
      <c r="T46" s="125">
        <f t="shared" si="7"/>
        <v>18061.41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27846.26</v>
      </c>
      <c r="AA46" s="125">
        <f>Valores!$C$25</f>
        <v>793.88</v>
      </c>
      <c r="AB46" s="214">
        <v>0</v>
      </c>
      <c r="AC46" s="125">
        <f t="shared" si="2"/>
        <v>0</v>
      </c>
      <c r="AD46" s="125">
        <f>Valores!$C$26</f>
        <v>793.88</v>
      </c>
      <c r="AE46" s="192">
        <v>0</v>
      </c>
      <c r="AF46" s="125">
        <f>ROUND(AE46*Valores!$C$2,2)</f>
        <v>0</v>
      </c>
      <c r="AG46" s="125">
        <f>ROUND(IF($F$4="NO",Valores!$C$63,Valores!$C$63/2),2)</f>
        <v>9076.17</v>
      </c>
      <c r="AH46" s="125">
        <f t="shared" si="5"/>
        <v>280095.77999999997</v>
      </c>
      <c r="AI46" s="125">
        <f>Valores!$C$31</f>
        <v>0</v>
      </c>
      <c r="AJ46" s="125">
        <f>AJ88+AJ304</f>
        <v>0</v>
      </c>
      <c r="AK46" s="125">
        <f>Valores!C$38*B46</f>
        <v>0</v>
      </c>
      <c r="AL46" s="125">
        <f>IF($F$3="NO",0,Valores!$C$56)</f>
        <v>0</v>
      </c>
      <c r="AM46" s="125">
        <f t="shared" si="3"/>
        <v>0</v>
      </c>
      <c r="AN46" s="125">
        <f>AH46*Valores!$C$71</f>
        <v>-30810.535799999998</v>
      </c>
      <c r="AO46" s="125">
        <f>AH46*-Valores!$C$72</f>
        <v>0</v>
      </c>
      <c r="AP46" s="125">
        <f>AH46*Valores!$C$73</f>
        <v>-12604.310099999999</v>
      </c>
      <c r="AQ46" s="125">
        <f>Valores!$C$100</f>
        <v>-554.86</v>
      </c>
      <c r="AR46" s="125">
        <f>IF($F$5=0,Valores!$C$101,(Valores!$C$101+$F$5*(Valores!$C$101)))</f>
        <v>-550</v>
      </c>
      <c r="AS46" s="125">
        <f t="shared" si="6"/>
        <v>235576.07409999997</v>
      </c>
      <c r="AT46" s="125">
        <f t="shared" si="0"/>
        <v>-30810.535799999998</v>
      </c>
      <c r="AU46" s="125">
        <f>AH46*Valores!$C$74</f>
        <v>-7562.586059999999</v>
      </c>
      <c r="AV46" s="125">
        <f>AH46*Valores!$C$75</f>
        <v>-840.28734</v>
      </c>
      <c r="AW46" s="125">
        <f t="shared" si="4"/>
        <v>240882.37079999998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21718.67</v>
      </c>
      <c r="G47" s="192">
        <f>G55+G237</f>
        <v>2686</v>
      </c>
      <c r="H47" s="125">
        <f>ROUND(G47*Valores!$C$2,2)</f>
        <v>101986.61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24375.62</v>
      </c>
      <c r="N47" s="125">
        <f t="shared" si="1"/>
        <v>0</v>
      </c>
      <c r="O47" s="125">
        <f>O55+O237</f>
        <v>55439.51</v>
      </c>
      <c r="P47" s="125">
        <f>Valores!$D$5</f>
        <v>19410.1</v>
      </c>
      <c r="Q47" s="125">
        <f>Q55+Q237</f>
        <v>17316.91</v>
      </c>
      <c r="R47" s="125">
        <f>R55+R237</f>
        <v>18307.48</v>
      </c>
      <c r="S47" s="125">
        <f>S55+S237</f>
        <v>20491.35</v>
      </c>
      <c r="T47" s="125">
        <f t="shared" si="7"/>
        <v>20491.35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41195.6</v>
      </c>
      <c r="AA47" s="125">
        <f>AA55+AA237</f>
        <v>984.74</v>
      </c>
      <c r="AB47" s="214">
        <v>0</v>
      </c>
      <c r="AC47" s="125">
        <f t="shared" si="2"/>
        <v>0</v>
      </c>
      <c r="AD47" s="125">
        <f>Valores!$C$26</f>
        <v>793.88</v>
      </c>
      <c r="AE47" s="192">
        <v>0</v>
      </c>
      <c r="AF47" s="125">
        <f>ROUND(AE47*Valores!$C$2,2)</f>
        <v>0</v>
      </c>
      <c r="AG47" s="125">
        <f>AG55+AG237</f>
        <v>12706.650000000001</v>
      </c>
      <c r="AH47" s="125">
        <f t="shared" si="5"/>
        <v>334727.12</v>
      </c>
      <c r="AI47" s="125">
        <f>AI55+AI237</f>
        <v>0</v>
      </c>
      <c r="AJ47" s="125">
        <f>AJ55+AJ237</f>
        <v>0</v>
      </c>
      <c r="AK47" s="125">
        <f>Valores!C$38*B47</f>
        <v>0</v>
      </c>
      <c r="AL47" s="125">
        <f>IF($F$3="NO",0,Valores!$C$56)</f>
        <v>0</v>
      </c>
      <c r="AM47" s="125">
        <f t="shared" si="3"/>
        <v>0</v>
      </c>
      <c r="AN47" s="125">
        <f>AH47*Valores!$C$71</f>
        <v>-36819.9832</v>
      </c>
      <c r="AO47" s="125">
        <f>AH47*-Valores!$C$72</f>
        <v>0</v>
      </c>
      <c r="AP47" s="125">
        <f>AH47*Valores!$C$73</f>
        <v>-15062.720399999998</v>
      </c>
      <c r="AQ47" s="125">
        <f>Valores!$C$100</f>
        <v>-554.86</v>
      </c>
      <c r="AR47" s="125">
        <f>IF($F$5=0,Valores!$C$101,(Valores!$C$101+$F$5*(Valores!$C$101)))</f>
        <v>-550</v>
      </c>
      <c r="AS47" s="125">
        <f t="shared" si="6"/>
        <v>281739.5564</v>
      </c>
      <c r="AT47" s="125">
        <f t="shared" si="0"/>
        <v>-36819.9832</v>
      </c>
      <c r="AU47" s="125">
        <f>AH47*Valores!$C$74</f>
        <v>-9037.632239999999</v>
      </c>
      <c r="AV47" s="125">
        <f>AH47*Valores!$C$75</f>
        <v>-1004.18136</v>
      </c>
      <c r="AW47" s="125">
        <f t="shared" si="4"/>
        <v>287865.3232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4100.73</v>
      </c>
      <c r="G48" s="192">
        <v>2907</v>
      </c>
      <c r="H48" s="125">
        <f>ROUND(G48*Valores!$C$2,2)</f>
        <v>110377.92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22016.69</v>
      </c>
      <c r="N48" s="125">
        <f t="shared" si="1"/>
        <v>0</v>
      </c>
      <c r="O48" s="125">
        <f>Valores!$C$9</f>
        <v>47713.55</v>
      </c>
      <c r="P48" s="125">
        <f>Valores!$D$5</f>
        <v>19410.1</v>
      </c>
      <c r="Q48" s="125">
        <f>Valores!$C$22</f>
        <v>17316.91</v>
      </c>
      <c r="R48" s="125">
        <f>IF($F$4="NO",Valores!$C$45,Valores!$C$45/2)</f>
        <v>14237.86</v>
      </c>
      <c r="S48" s="125">
        <f>Valores!$C$19</f>
        <v>18061.41</v>
      </c>
      <c r="T48" s="125">
        <f t="shared" si="7"/>
        <v>18061.41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Valores!$C$95</f>
        <v>33415.52</v>
      </c>
      <c r="AA48" s="125">
        <f>Valores!$C$25</f>
        <v>793.88</v>
      </c>
      <c r="AB48" s="214">
        <v>0</v>
      </c>
      <c r="AC48" s="125">
        <f t="shared" si="2"/>
        <v>0</v>
      </c>
      <c r="AD48" s="125">
        <f>Valores!$C$26</f>
        <v>793.88</v>
      </c>
      <c r="AE48" s="192">
        <v>0</v>
      </c>
      <c r="AF48" s="125">
        <f>ROUND(AE48*Valores!$C$2,2)</f>
        <v>0</v>
      </c>
      <c r="AG48" s="125">
        <f>ROUND(IF($F$4="NO",Valores!$C$63,Valores!$C$63/2),2)</f>
        <v>9076.17</v>
      </c>
      <c r="AH48" s="125">
        <f t="shared" si="5"/>
        <v>297314.62</v>
      </c>
      <c r="AI48" s="125">
        <f>Valores!$C$31</f>
        <v>0</v>
      </c>
      <c r="AJ48" s="125">
        <f>Valores!$C$88</f>
        <v>0</v>
      </c>
      <c r="AK48" s="125">
        <f>Valores!C$38*B48</f>
        <v>0</v>
      </c>
      <c r="AL48" s="125">
        <f>IF($F$3="NO",0,Valores!$C$56)</f>
        <v>0</v>
      </c>
      <c r="AM48" s="125">
        <f t="shared" si="3"/>
        <v>0</v>
      </c>
      <c r="AN48" s="125">
        <f>AH48*Valores!$C$71</f>
        <v>-32704.6082</v>
      </c>
      <c r="AO48" s="125">
        <f>AH48*-Valores!$C$72</f>
        <v>0</v>
      </c>
      <c r="AP48" s="125">
        <f>AH48*Valores!$C$73</f>
        <v>-13379.1579</v>
      </c>
      <c r="AQ48" s="125">
        <f>Valores!$C$100</f>
        <v>-554.86</v>
      </c>
      <c r="AR48" s="125">
        <f>IF($F$5=0,Valores!$C$101,(Valores!$C$101+$F$5*(Valores!$C$101)))</f>
        <v>-550</v>
      </c>
      <c r="AS48" s="125">
        <f t="shared" si="6"/>
        <v>250125.9939</v>
      </c>
      <c r="AT48" s="125">
        <f t="shared" si="0"/>
        <v>-32704.6082</v>
      </c>
      <c r="AU48" s="125">
        <f>AH48*Valores!$C$74</f>
        <v>-8027.49474</v>
      </c>
      <c r="AV48" s="125">
        <f>AH48*Valores!$C$75</f>
        <v>-891.94386</v>
      </c>
      <c r="AW48" s="125">
        <f t="shared" si="4"/>
        <v>255690.57319999998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3341.33</v>
      </c>
      <c r="G49" s="192">
        <v>2622</v>
      </c>
      <c r="H49" s="125">
        <f>ROUND(G49*Valores!$C$2,2)</f>
        <v>99556.55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20279.57</v>
      </c>
      <c r="N49" s="125">
        <f t="shared" si="1"/>
        <v>0</v>
      </c>
      <c r="O49" s="125">
        <f>Valores!$C$9</f>
        <v>47713.55</v>
      </c>
      <c r="P49" s="125">
        <f>Valores!$D$5</f>
        <v>19410.1</v>
      </c>
      <c r="Q49" s="125">
        <f>Valores!$C$22</f>
        <v>17316.91</v>
      </c>
      <c r="R49" s="125">
        <f>IF($F$4="NO",Valores!$C$45,Valores!$C$45/2)</f>
        <v>14237.86</v>
      </c>
      <c r="S49" s="125">
        <f>Valores!$C$19</f>
        <v>18061.41</v>
      </c>
      <c r="T49" s="125">
        <f t="shared" si="7"/>
        <v>18061.41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Valores!$C$95</f>
        <v>33415.52</v>
      </c>
      <c r="AA49" s="125">
        <f>Valores!$C$25</f>
        <v>793.88</v>
      </c>
      <c r="AB49" s="214">
        <v>0</v>
      </c>
      <c r="AC49" s="125">
        <f t="shared" si="2"/>
        <v>0</v>
      </c>
      <c r="AD49" s="125">
        <f>Valores!$C$26</f>
        <v>793.88</v>
      </c>
      <c r="AE49" s="192">
        <v>0</v>
      </c>
      <c r="AF49" s="125">
        <f>ROUND(AE49*Valores!$C$2,2)</f>
        <v>0</v>
      </c>
      <c r="AG49" s="125">
        <f>ROUND(IF($F$4="NO",Valores!$C$63,Valores!$C$63/2),2)</f>
        <v>9076.17</v>
      </c>
      <c r="AH49" s="125">
        <f t="shared" si="5"/>
        <v>283996.73</v>
      </c>
      <c r="AI49" s="125">
        <f>Valores!$C$31</f>
        <v>0</v>
      </c>
      <c r="AJ49" s="125">
        <f>Valores!$C$88</f>
        <v>0</v>
      </c>
      <c r="AK49" s="125">
        <f>Valores!C$38*B49</f>
        <v>0</v>
      </c>
      <c r="AL49" s="125">
        <f>IF($F$3="NO",0,Valores!$C$56)</f>
        <v>0</v>
      </c>
      <c r="AM49" s="125">
        <f t="shared" si="3"/>
        <v>0</v>
      </c>
      <c r="AN49" s="125">
        <f>AH49*Valores!$C$71</f>
        <v>-31239.6403</v>
      </c>
      <c r="AO49" s="125">
        <f>AH49*-Valores!$C$72</f>
        <v>0</v>
      </c>
      <c r="AP49" s="125">
        <f>AH49*Valores!$C$73</f>
        <v>-12779.85285</v>
      </c>
      <c r="AQ49" s="125">
        <f>Valores!$C$100</f>
        <v>-554.86</v>
      </c>
      <c r="AR49" s="125">
        <f>IF($F$5=0,Valores!$C$101,(Valores!$C$101+$F$5*(Valores!$C$101)))</f>
        <v>-550</v>
      </c>
      <c r="AS49" s="125">
        <f t="shared" si="6"/>
        <v>238872.37685</v>
      </c>
      <c r="AT49" s="125">
        <f t="shared" si="0"/>
        <v>-31239.6403</v>
      </c>
      <c r="AU49" s="125">
        <f>AH49*Valores!$C$74</f>
        <v>-7667.911709999999</v>
      </c>
      <c r="AV49" s="125">
        <f>AH49*Valores!$C$75</f>
        <v>-851.99019</v>
      </c>
      <c r="AW49" s="125">
        <f t="shared" si="4"/>
        <v>244237.18779999999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3341.33</v>
      </c>
      <c r="G50" s="192">
        <v>2622</v>
      </c>
      <c r="H50" s="125">
        <f>ROUND(G50*Valores!$C$2,2)</f>
        <v>99556.55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20279.57</v>
      </c>
      <c r="N50" s="125">
        <f t="shared" si="1"/>
        <v>0</v>
      </c>
      <c r="O50" s="125">
        <f>Valores!$C$9</f>
        <v>47713.55</v>
      </c>
      <c r="P50" s="125">
        <f>Valores!$D$5</f>
        <v>19410.1</v>
      </c>
      <c r="Q50" s="125">
        <f>Valores!$C$22</f>
        <v>17316.91</v>
      </c>
      <c r="R50" s="125">
        <f>IF($F$4="NO",Valores!$C$45,Valores!$C$45/2)</f>
        <v>14237.86</v>
      </c>
      <c r="S50" s="125">
        <f>Valores!$C$19</f>
        <v>18061.41</v>
      </c>
      <c r="T50" s="125">
        <f t="shared" si="7"/>
        <v>18061.41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Valores!$C$95</f>
        <v>33415.52</v>
      </c>
      <c r="AA50" s="125">
        <f>Valores!$C$25</f>
        <v>793.88</v>
      </c>
      <c r="AB50" s="214">
        <v>0</v>
      </c>
      <c r="AC50" s="125">
        <f t="shared" si="2"/>
        <v>0</v>
      </c>
      <c r="AD50" s="125">
        <f>Valores!$C$26</f>
        <v>793.88</v>
      </c>
      <c r="AE50" s="192">
        <v>0</v>
      </c>
      <c r="AF50" s="125">
        <f>ROUND(AE50*Valores!$C$2,2)</f>
        <v>0</v>
      </c>
      <c r="AG50" s="125">
        <f>ROUND(IF($F$4="NO",Valores!$C$63,Valores!$C$63/2),2)</f>
        <v>9076.17</v>
      </c>
      <c r="AH50" s="125">
        <f t="shared" si="5"/>
        <v>283996.73</v>
      </c>
      <c r="AI50" s="125">
        <f>Valores!$C$31</f>
        <v>0</v>
      </c>
      <c r="AJ50" s="125">
        <f>Valores!$C$88</f>
        <v>0</v>
      </c>
      <c r="AK50" s="125">
        <f>Valores!C$38*B50</f>
        <v>0</v>
      </c>
      <c r="AL50" s="125">
        <f>IF($F$3="NO",0,Valores!$C$56)</f>
        <v>0</v>
      </c>
      <c r="AM50" s="125">
        <f t="shared" si="3"/>
        <v>0</v>
      </c>
      <c r="AN50" s="125">
        <f>AH50*Valores!$C$71</f>
        <v>-31239.6403</v>
      </c>
      <c r="AO50" s="125">
        <f>AH50*-Valores!$C$72</f>
        <v>0</v>
      </c>
      <c r="AP50" s="125">
        <f>AH50*Valores!$C$73</f>
        <v>-12779.85285</v>
      </c>
      <c r="AQ50" s="125">
        <f>Valores!$C$100</f>
        <v>-554.86</v>
      </c>
      <c r="AR50" s="125">
        <f>IF($F$5=0,Valores!$C$101,(Valores!$C$101+$F$5*(Valores!$C$101)))</f>
        <v>-550</v>
      </c>
      <c r="AS50" s="125">
        <f t="shared" si="6"/>
        <v>238872.37685</v>
      </c>
      <c r="AT50" s="125">
        <f t="shared" si="0"/>
        <v>-31239.6403</v>
      </c>
      <c r="AU50" s="125">
        <f>AH50*Valores!$C$74</f>
        <v>-7667.911709999999</v>
      </c>
      <c r="AV50" s="125">
        <f>AH50*Valores!$C$75</f>
        <v>-851.99019</v>
      </c>
      <c r="AW50" s="125">
        <f t="shared" si="4"/>
        <v>244237.18779999999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3037.58</v>
      </c>
      <c r="G51" s="192">
        <v>2278</v>
      </c>
      <c r="H51" s="125">
        <f>ROUND(G51*Valores!$C$2,2)</f>
        <v>86494.98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18274.77</v>
      </c>
      <c r="N51" s="125">
        <f t="shared" si="1"/>
        <v>0</v>
      </c>
      <c r="O51" s="125">
        <f>Valores!$C$9</f>
        <v>47713.55</v>
      </c>
      <c r="P51" s="125">
        <f>Valores!$D$5</f>
        <v>19410.1</v>
      </c>
      <c r="Q51" s="125">
        <f>Valores!$C$22</f>
        <v>17316.91</v>
      </c>
      <c r="R51" s="125">
        <f>IF($F$4="NO",Valores!$C$45,Valores!$C$45/2)</f>
        <v>14237.86</v>
      </c>
      <c r="S51" s="125">
        <f>Valores!$C$19</f>
        <v>18061.41</v>
      </c>
      <c r="T51" s="125">
        <f t="shared" si="7"/>
        <v>18061.41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Valores!$C$95</f>
        <v>33415.52</v>
      </c>
      <c r="AA51" s="125">
        <f>Valores!$C$25</f>
        <v>793.88</v>
      </c>
      <c r="AB51" s="214">
        <v>0</v>
      </c>
      <c r="AC51" s="125">
        <f t="shared" si="2"/>
        <v>0</v>
      </c>
      <c r="AD51" s="125">
        <f>Valores!$C$26</f>
        <v>793.88</v>
      </c>
      <c r="AE51" s="192">
        <v>0</v>
      </c>
      <c r="AF51" s="125">
        <f>ROUND(AE51*Valores!$C$2,2)</f>
        <v>0</v>
      </c>
      <c r="AG51" s="125">
        <f>ROUND(IF($F$4="NO",Valores!$C$63,Valores!$C$63/2),2)</f>
        <v>9076.17</v>
      </c>
      <c r="AH51" s="125">
        <f t="shared" si="5"/>
        <v>268626.61</v>
      </c>
      <c r="AI51" s="125">
        <f>Valores!$C$31</f>
        <v>0</v>
      </c>
      <c r="AJ51" s="125">
        <f>Valores!$C$88</f>
        <v>0</v>
      </c>
      <c r="AK51" s="125">
        <f>Valores!C$38*B51</f>
        <v>0</v>
      </c>
      <c r="AL51" s="125">
        <f>IF($F$3="NO",0,Valores!$C$56)</f>
        <v>0</v>
      </c>
      <c r="AM51" s="125">
        <f t="shared" si="3"/>
        <v>0</v>
      </c>
      <c r="AN51" s="125">
        <f>AH51*Valores!$C$71</f>
        <v>-29548.927099999997</v>
      </c>
      <c r="AO51" s="125">
        <f>AH51*-Valores!$C$72</f>
        <v>0</v>
      </c>
      <c r="AP51" s="125">
        <f>AH51*Valores!$C$73</f>
        <v>-12088.19745</v>
      </c>
      <c r="AQ51" s="125">
        <f>Valores!$C$100</f>
        <v>-554.86</v>
      </c>
      <c r="AR51" s="125">
        <f>IF($F$5=0,Valores!$C$101,(Valores!$C$101+$F$5*(Valores!$C$101)))</f>
        <v>-550</v>
      </c>
      <c r="AS51" s="125">
        <f t="shared" si="6"/>
        <v>225884.62545</v>
      </c>
      <c r="AT51" s="125">
        <f t="shared" si="0"/>
        <v>-29548.927099999997</v>
      </c>
      <c r="AU51" s="125">
        <f>AH51*Valores!$C$74</f>
        <v>-7252.91847</v>
      </c>
      <c r="AV51" s="125">
        <f>AH51*Valores!$C$75</f>
        <v>-805.87983</v>
      </c>
      <c r="AW51" s="125">
        <f t="shared" si="4"/>
        <v>231018.8846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3796.97</v>
      </c>
      <c r="G52" s="192">
        <v>3620</v>
      </c>
      <c r="H52" s="125">
        <f>ROUND(G52*Valores!$C$2,2)</f>
        <v>137450.31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26940.01</v>
      </c>
      <c r="N52" s="125">
        <f t="shared" si="1"/>
        <v>0</v>
      </c>
      <c r="O52" s="125">
        <f>Valores!$C$9</f>
        <v>47713.55</v>
      </c>
      <c r="P52" s="125">
        <f>Valores!$D$5</f>
        <v>19410.1</v>
      </c>
      <c r="Q52" s="125">
        <f>Valores!$C$22</f>
        <v>17316.91</v>
      </c>
      <c r="R52" s="125">
        <f>IF($F$4="NO",Valores!$C$47,Valores!$C$47/2)</f>
        <v>20291.4</v>
      </c>
      <c r="S52" s="125">
        <f>Valores!$C$19</f>
        <v>18061.41</v>
      </c>
      <c r="T52" s="125">
        <f t="shared" si="7"/>
        <v>18061.41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Valores!$C$96</f>
        <v>55692.53</v>
      </c>
      <c r="AA52" s="125">
        <f>Valores!$C$25</f>
        <v>793.88</v>
      </c>
      <c r="AB52" s="214">
        <v>0</v>
      </c>
      <c r="AC52" s="125">
        <f t="shared" si="2"/>
        <v>0</v>
      </c>
      <c r="AD52" s="125">
        <f>Valores!$C$26</f>
        <v>793.88</v>
      </c>
      <c r="AE52" s="192">
        <v>0</v>
      </c>
      <c r="AF52" s="125">
        <f>ROUND(AE52*Valores!$C$2,2)</f>
        <v>0</v>
      </c>
      <c r="AG52" s="125">
        <f>ROUND(IF($F$4="NO",Valores!$C$63,Valores!$C$63/2),2)</f>
        <v>9076.17</v>
      </c>
      <c r="AH52" s="125">
        <f t="shared" si="5"/>
        <v>357337.12000000005</v>
      </c>
      <c r="AI52" s="125">
        <f>Valores!$C$31</f>
        <v>0</v>
      </c>
      <c r="AJ52" s="125">
        <f>Valores!$C$89</f>
        <v>0</v>
      </c>
      <c r="AK52" s="125">
        <f>Valores!C$38*B52</f>
        <v>0</v>
      </c>
      <c r="AL52" s="125">
        <f>IF($F$3="NO",0,Valores!$C$56)</f>
        <v>0</v>
      </c>
      <c r="AM52" s="125">
        <f t="shared" si="3"/>
        <v>0</v>
      </c>
      <c r="AN52" s="125">
        <f>AH52*Valores!$C$71</f>
        <v>-39307.08320000001</v>
      </c>
      <c r="AO52" s="125">
        <f>AH52*-Valores!$C$72</f>
        <v>0</v>
      </c>
      <c r="AP52" s="125">
        <f>AH52*Valores!$C$73</f>
        <v>-16080.170400000003</v>
      </c>
      <c r="AQ52" s="125">
        <f>Valores!$C$100</f>
        <v>-554.86</v>
      </c>
      <c r="AR52" s="125">
        <f>IF($F$5=0,Valores!$C$101,(Valores!$C$101+$F$5*(Valores!$C$101)))</f>
        <v>-550</v>
      </c>
      <c r="AS52" s="125">
        <f t="shared" si="6"/>
        <v>300845.0064000001</v>
      </c>
      <c r="AT52" s="125">
        <f t="shared" si="0"/>
        <v>-39307.08320000001</v>
      </c>
      <c r="AU52" s="125">
        <f>AH52*Valores!$C$74</f>
        <v>-9648.102240000002</v>
      </c>
      <c r="AV52" s="125">
        <f>AH52*Valores!$C$75</f>
        <v>-1072.0113600000002</v>
      </c>
      <c r="AW52" s="125">
        <f t="shared" si="4"/>
        <v>307309.9232000001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3796.97</v>
      </c>
      <c r="G53" s="192">
        <v>3560</v>
      </c>
      <c r="H53" s="125">
        <f>ROUND(G53*Valores!$C$2,2)</f>
        <v>135172.13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26598.29</v>
      </c>
      <c r="N53" s="125">
        <f t="shared" si="1"/>
        <v>0</v>
      </c>
      <c r="O53" s="125">
        <f>Valores!$C$9</f>
        <v>47713.55</v>
      </c>
      <c r="P53" s="125">
        <f>Valores!$D$5</f>
        <v>19410.1</v>
      </c>
      <c r="Q53" s="125">
        <v>0</v>
      </c>
      <c r="R53" s="125">
        <f>IF($F$4="NO",Valores!$C$47,Valores!$C$47/2)</f>
        <v>20291.4</v>
      </c>
      <c r="S53" s="125">
        <f>Valores!$C$19</f>
        <v>18061.41</v>
      </c>
      <c r="T53" s="125">
        <f t="shared" si="7"/>
        <v>18061.41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Valores!$C$96</f>
        <v>55692.53</v>
      </c>
      <c r="AA53" s="125">
        <f>Valores!$C$25</f>
        <v>793.88</v>
      </c>
      <c r="AB53" s="214">
        <v>0</v>
      </c>
      <c r="AC53" s="125">
        <f t="shared" si="2"/>
        <v>0</v>
      </c>
      <c r="AD53" s="125">
        <f>Valores!$C$26</f>
        <v>793.88</v>
      </c>
      <c r="AE53" s="192">
        <v>0</v>
      </c>
      <c r="AF53" s="125">
        <f>ROUND(AE53*Valores!$C$2,2)</f>
        <v>0</v>
      </c>
      <c r="AG53" s="125">
        <f>ROUND(IF($F$4="NO",Valores!$C$63,Valores!$C$63/2),2)</f>
        <v>9076.17</v>
      </c>
      <c r="AH53" s="125">
        <f t="shared" si="5"/>
        <v>337400.31</v>
      </c>
      <c r="AI53" s="125">
        <f>Valores!$C$31</f>
        <v>0</v>
      </c>
      <c r="AJ53" s="125">
        <f>Valores!$C$89</f>
        <v>0</v>
      </c>
      <c r="AK53" s="125">
        <f>Valores!C$38*B53</f>
        <v>0</v>
      </c>
      <c r="AL53" s="125">
        <f>IF($F$3="NO",0,Valores!$C$56)</f>
        <v>0</v>
      </c>
      <c r="AM53" s="125">
        <f t="shared" si="3"/>
        <v>0</v>
      </c>
      <c r="AN53" s="125">
        <f>AH53*Valores!$C$71</f>
        <v>-37114.0341</v>
      </c>
      <c r="AO53" s="125">
        <f>AH53*-Valores!$C$72</f>
        <v>0</v>
      </c>
      <c r="AP53" s="125">
        <f>AH53*Valores!$C$73</f>
        <v>-15183.013949999999</v>
      </c>
      <c r="AQ53" s="125">
        <f>Valores!$C$100</f>
        <v>-554.86</v>
      </c>
      <c r="AR53" s="125">
        <f>IF($F$5=0,Valores!$C$101,(Valores!$C$101+$F$5*(Valores!$C$101)))</f>
        <v>-550</v>
      </c>
      <c r="AS53" s="125">
        <f t="shared" si="6"/>
        <v>283998.40194999997</v>
      </c>
      <c r="AT53" s="125">
        <f t="shared" si="0"/>
        <v>-37114.0341</v>
      </c>
      <c r="AU53" s="125">
        <f>AH53*Valores!$C$74</f>
        <v>-9109.80837</v>
      </c>
      <c r="AV53" s="125">
        <f>AH53*Valores!$C$75</f>
        <v>-1012.20093</v>
      </c>
      <c r="AW53" s="125">
        <f t="shared" si="4"/>
        <v>290164.2666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3796.97</v>
      </c>
      <c r="G54" s="192">
        <v>3360</v>
      </c>
      <c r="H54" s="125">
        <f>ROUND(G54*Valores!$C$2,2)</f>
        <v>127578.19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25459.2</v>
      </c>
      <c r="N54" s="125">
        <f t="shared" si="1"/>
        <v>0</v>
      </c>
      <c r="O54" s="125">
        <f>Valores!$C$9</f>
        <v>47713.55</v>
      </c>
      <c r="P54" s="125">
        <f>Valores!$D$5</f>
        <v>19410.1</v>
      </c>
      <c r="Q54" s="125">
        <f>Valores!$C$22</f>
        <v>17316.91</v>
      </c>
      <c r="R54" s="125">
        <f>IF($F$4="NO",Valores!$C$47,Valores!$C$47/2)</f>
        <v>20291.4</v>
      </c>
      <c r="S54" s="125">
        <f>Valores!$C$19</f>
        <v>18061.41</v>
      </c>
      <c r="T54" s="125">
        <f t="shared" si="7"/>
        <v>18061.41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Valores!$C$96</f>
        <v>55692.53</v>
      </c>
      <c r="AA54" s="125">
        <f>Valores!$C$25</f>
        <v>793.88</v>
      </c>
      <c r="AB54" s="214">
        <v>0</v>
      </c>
      <c r="AC54" s="125">
        <f t="shared" si="2"/>
        <v>0</v>
      </c>
      <c r="AD54" s="125">
        <f>Valores!$C$26</f>
        <v>793.88</v>
      </c>
      <c r="AE54" s="192">
        <v>0</v>
      </c>
      <c r="AF54" s="125">
        <f>ROUND(AE54*Valores!$C$2,2)</f>
        <v>0</v>
      </c>
      <c r="AG54" s="125">
        <f>ROUND(IF($F$4="NO",Valores!$C$63,Valores!$C$63/2),2)</f>
        <v>9076.17</v>
      </c>
      <c r="AH54" s="125">
        <f t="shared" si="5"/>
        <v>345984.19</v>
      </c>
      <c r="AI54" s="125">
        <f>Valores!$C$31</f>
        <v>0</v>
      </c>
      <c r="AJ54" s="125">
        <f>Valores!$C$89</f>
        <v>0</v>
      </c>
      <c r="AK54" s="125">
        <f>Valores!C$38*B54</f>
        <v>0</v>
      </c>
      <c r="AL54" s="125">
        <f>IF($F$3="NO",0,Valores!$C$56)</f>
        <v>0</v>
      </c>
      <c r="AM54" s="125">
        <f t="shared" si="3"/>
        <v>0</v>
      </c>
      <c r="AN54" s="125">
        <f>AH54*Valores!$C$71</f>
        <v>-38058.2609</v>
      </c>
      <c r="AO54" s="125">
        <f>AH54*-Valores!$C$72</f>
        <v>0</v>
      </c>
      <c r="AP54" s="125">
        <f>AH54*Valores!$C$73</f>
        <v>-15569.28855</v>
      </c>
      <c r="AQ54" s="125">
        <f>Valores!$C$100</f>
        <v>-554.86</v>
      </c>
      <c r="AR54" s="125">
        <f>IF($F$5=0,Valores!$C$101,(Valores!$C$101+$F$5*(Valores!$C$101)))</f>
        <v>-550</v>
      </c>
      <c r="AS54" s="125">
        <f t="shared" si="6"/>
        <v>291251.78055</v>
      </c>
      <c r="AT54" s="125">
        <f t="shared" si="0"/>
        <v>-38058.2609</v>
      </c>
      <c r="AU54" s="125">
        <f>AH54*Valores!$C$74</f>
        <v>-9341.57313</v>
      </c>
      <c r="AV54" s="125">
        <f>AH54*Valores!$C$75</f>
        <v>-1037.95257</v>
      </c>
      <c r="AW54" s="125">
        <f t="shared" si="4"/>
        <v>297546.4034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3721.03</v>
      </c>
      <c r="G55" s="192">
        <v>2686</v>
      </c>
      <c r="H55" s="125">
        <f>ROUND(G55*Valores!$C$2,2)</f>
        <v>101986.61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20701.04</v>
      </c>
      <c r="N55" s="125">
        <f t="shared" si="1"/>
        <v>0</v>
      </c>
      <c r="O55" s="125">
        <f>Valores!$C$9</f>
        <v>47713.55</v>
      </c>
      <c r="P55" s="125">
        <f>Valores!$D$5</f>
        <v>19410.1</v>
      </c>
      <c r="Q55" s="125">
        <f>Valores!$C$22</f>
        <v>17316.91</v>
      </c>
      <c r="R55" s="125">
        <f>IF($F$4="NO",Valores!$C$45,Valores!$C$45/2)</f>
        <v>14237.86</v>
      </c>
      <c r="S55" s="125">
        <f>Valores!$C$19</f>
        <v>18061.41</v>
      </c>
      <c r="T55" s="125">
        <f t="shared" si="7"/>
        <v>18061.41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Valores!$C$95</f>
        <v>33415.52</v>
      </c>
      <c r="AA55" s="125">
        <f>Valores!$C$25</f>
        <v>793.88</v>
      </c>
      <c r="AB55" s="214">
        <v>0</v>
      </c>
      <c r="AC55" s="125">
        <f t="shared" si="2"/>
        <v>0</v>
      </c>
      <c r="AD55" s="125">
        <f>Valores!$C$26</f>
        <v>793.88</v>
      </c>
      <c r="AE55" s="192">
        <v>0</v>
      </c>
      <c r="AF55" s="125">
        <f>ROUND(AE55*Valores!$C$2,2)</f>
        <v>0</v>
      </c>
      <c r="AG55" s="125">
        <f>ROUND(IF($F$4="NO",Valores!$C$63,Valores!$C$63/2),2)</f>
        <v>9076.17</v>
      </c>
      <c r="AH55" s="125">
        <f t="shared" si="5"/>
        <v>287227.95999999996</v>
      </c>
      <c r="AI55" s="125">
        <f>Valores!$C$31</f>
        <v>0</v>
      </c>
      <c r="AJ55" s="125">
        <f>Valores!$C$88</f>
        <v>0</v>
      </c>
      <c r="AK55" s="125">
        <f>Valores!C$38*B55</f>
        <v>0</v>
      </c>
      <c r="AL55" s="125">
        <f>IF($F$3="NO",0,Valores!$C$56)</f>
        <v>0</v>
      </c>
      <c r="AM55" s="125">
        <f t="shared" si="3"/>
        <v>0</v>
      </c>
      <c r="AN55" s="125">
        <f>AH55*Valores!$C$71</f>
        <v>-31595.075599999996</v>
      </c>
      <c r="AO55" s="125">
        <f>AH55*-Valores!$C$72</f>
        <v>0</v>
      </c>
      <c r="AP55" s="125">
        <f>AH55*Valores!$C$73</f>
        <v>-12925.258199999998</v>
      </c>
      <c r="AQ55" s="125">
        <f>Valores!$C$100</f>
        <v>-554.86</v>
      </c>
      <c r="AR55" s="125">
        <f>IF($F$5=0,Valores!$C$101,(Valores!$C$101+$F$5*(Valores!$C$101)))</f>
        <v>-550</v>
      </c>
      <c r="AS55" s="125">
        <f t="shared" si="6"/>
        <v>241602.76619999995</v>
      </c>
      <c r="AT55" s="125">
        <f t="shared" si="0"/>
        <v>-31595.075599999996</v>
      </c>
      <c r="AU55" s="125">
        <f>AH55*Valores!$C$74</f>
        <v>-7755.154919999999</v>
      </c>
      <c r="AV55" s="125">
        <f>AH55*Valores!$C$75</f>
        <v>-861.6838799999999</v>
      </c>
      <c r="AW55" s="125">
        <f t="shared" si="4"/>
        <v>247016.04559999995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3569.15</v>
      </c>
      <c r="G56" s="192">
        <v>2690</v>
      </c>
      <c r="H56" s="125">
        <f>ROUND(G56*Valores!$C$2,2)</f>
        <v>102138.49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20701.04</v>
      </c>
      <c r="N56" s="125">
        <f t="shared" si="1"/>
        <v>0</v>
      </c>
      <c r="O56" s="125">
        <f>Valores!$C$9</f>
        <v>47713.55</v>
      </c>
      <c r="P56" s="125">
        <f>Valores!$D$5</f>
        <v>19410.1</v>
      </c>
      <c r="Q56" s="125">
        <f>Valores!$C$22</f>
        <v>17316.91</v>
      </c>
      <c r="R56" s="125">
        <f>IF($F$4="NO",Valores!$C$45,Valores!$C$45/2)</f>
        <v>14237.86</v>
      </c>
      <c r="S56" s="125">
        <f>Valores!$C$19</f>
        <v>18061.41</v>
      </c>
      <c r="T56" s="125">
        <f t="shared" si="7"/>
        <v>18061.41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Valores!$C$95</f>
        <v>33415.52</v>
      </c>
      <c r="AA56" s="125">
        <f>Valores!$C$25</f>
        <v>793.88</v>
      </c>
      <c r="AB56" s="214">
        <v>0</v>
      </c>
      <c r="AC56" s="125">
        <f t="shared" si="2"/>
        <v>0</v>
      </c>
      <c r="AD56" s="125">
        <f>Valores!$C$26</f>
        <v>793.88</v>
      </c>
      <c r="AE56" s="192">
        <v>94</v>
      </c>
      <c r="AF56" s="125">
        <f>ROUND(AE56*Valores!$C$2,2)</f>
        <v>3569.15</v>
      </c>
      <c r="AG56" s="125">
        <f>ROUND(IF($F$4="NO",Valores!$C$63,Valores!$C$63/2),2)</f>
        <v>9076.17</v>
      </c>
      <c r="AH56" s="125">
        <f t="shared" si="5"/>
        <v>290797.11</v>
      </c>
      <c r="AI56" s="125">
        <f>Valores!$C$31</f>
        <v>0</v>
      </c>
      <c r="AJ56" s="125">
        <f>Valores!$C$88</f>
        <v>0</v>
      </c>
      <c r="AK56" s="125">
        <f>Valores!C$38*B56</f>
        <v>0</v>
      </c>
      <c r="AL56" s="125">
        <f>IF($F$3="NO",0,Valores!$C$56)</f>
        <v>0</v>
      </c>
      <c r="AM56" s="125">
        <f t="shared" si="3"/>
        <v>0</v>
      </c>
      <c r="AN56" s="125">
        <f>AH56*Valores!$C$71</f>
        <v>-31987.682099999998</v>
      </c>
      <c r="AO56" s="125">
        <f>AH56*-Valores!$C$72</f>
        <v>0</v>
      </c>
      <c r="AP56" s="125">
        <f>AH56*Valores!$C$73</f>
        <v>-13085.869949999998</v>
      </c>
      <c r="AQ56" s="125">
        <f>Valores!$C$100</f>
        <v>-554.86</v>
      </c>
      <c r="AR56" s="125">
        <f>IF($F$5=0,Valores!$C$101,(Valores!$C$101+$F$5*(Valores!$C$101)))</f>
        <v>-550</v>
      </c>
      <c r="AS56" s="125">
        <f t="shared" si="6"/>
        <v>244618.69795</v>
      </c>
      <c r="AT56" s="125">
        <f t="shared" si="0"/>
        <v>-31987.682099999998</v>
      </c>
      <c r="AU56" s="125">
        <f>AH56*Valores!$C$74</f>
        <v>-7851.52197</v>
      </c>
      <c r="AV56" s="125">
        <f>AH56*Valores!$C$75</f>
        <v>-872.3913299999999</v>
      </c>
      <c r="AW56" s="125">
        <f t="shared" si="4"/>
        <v>250085.5146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3531.18</v>
      </c>
      <c r="G57" s="192">
        <v>2547</v>
      </c>
      <c r="H57" s="125">
        <f>ROUND(G57*Valores!$C$2,2)</f>
        <v>96708.83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19880.89</v>
      </c>
      <c r="N57" s="125">
        <f t="shared" si="1"/>
        <v>0</v>
      </c>
      <c r="O57" s="125">
        <f>Valores!$C$9</f>
        <v>47713.55</v>
      </c>
      <c r="P57" s="125">
        <f>Valores!$D$5</f>
        <v>19410.1</v>
      </c>
      <c r="Q57" s="125">
        <f>Valores!$C$22</f>
        <v>17316.91</v>
      </c>
      <c r="R57" s="125">
        <f>IF($F$4="NO",Valores!$C$45,Valores!$C$45/2)</f>
        <v>14237.86</v>
      </c>
      <c r="S57" s="125">
        <f>Valores!$C$19</f>
        <v>18061.41</v>
      </c>
      <c r="T57" s="125">
        <f t="shared" si="7"/>
        <v>18061.41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Valores!$C$95</f>
        <v>33415.52</v>
      </c>
      <c r="AA57" s="125">
        <f>Valores!$C$25</f>
        <v>793.88</v>
      </c>
      <c r="AB57" s="214">
        <v>0</v>
      </c>
      <c r="AC57" s="125">
        <f t="shared" si="2"/>
        <v>0</v>
      </c>
      <c r="AD57" s="125">
        <f>Valores!$C$26</f>
        <v>793.88</v>
      </c>
      <c r="AE57" s="192">
        <v>0</v>
      </c>
      <c r="AF57" s="125">
        <f>ROUND(AE57*Valores!$C$2,2)</f>
        <v>0</v>
      </c>
      <c r="AG57" s="125">
        <f>ROUND(IF($F$4="NO",Valores!$C$63,Valores!$C$63/2),2)</f>
        <v>9076.17</v>
      </c>
      <c r="AH57" s="125">
        <f t="shared" si="5"/>
        <v>280940.18</v>
      </c>
      <c r="AI57" s="125">
        <f>Valores!$C$31</f>
        <v>0</v>
      </c>
      <c r="AJ57" s="125">
        <f>Valores!$C$88</f>
        <v>0</v>
      </c>
      <c r="AK57" s="125">
        <f>Valores!C$38*B57</f>
        <v>0</v>
      </c>
      <c r="AL57" s="125">
        <f>IF($F$3="NO",0,Valores!$C$56)</f>
        <v>0</v>
      </c>
      <c r="AM57" s="125">
        <f t="shared" si="3"/>
        <v>0</v>
      </c>
      <c r="AN57" s="125">
        <f>AH57*Valores!$C$71</f>
        <v>-30903.4198</v>
      </c>
      <c r="AO57" s="125">
        <f>AH57*-Valores!$C$72</f>
        <v>0</v>
      </c>
      <c r="AP57" s="125">
        <f>AH57*Valores!$C$73</f>
        <v>-12642.308099999998</v>
      </c>
      <c r="AQ57" s="125">
        <f>Valores!$C$100</f>
        <v>-554.86</v>
      </c>
      <c r="AR57" s="125">
        <f>IF($F$5=0,Valores!$C$101,(Valores!$C$101+$F$5*(Valores!$C$101)))</f>
        <v>-550</v>
      </c>
      <c r="AS57" s="125">
        <f t="shared" si="6"/>
        <v>236289.5921</v>
      </c>
      <c r="AT57" s="125">
        <f t="shared" si="0"/>
        <v>-30903.4198</v>
      </c>
      <c r="AU57" s="125">
        <f>AH57*Valores!$C$74</f>
        <v>-7585.38486</v>
      </c>
      <c r="AV57" s="125">
        <f>AH57*Valores!$C$75</f>
        <v>-842.82054</v>
      </c>
      <c r="AW57" s="125">
        <f t="shared" si="4"/>
        <v>241608.55479999998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3379.3</v>
      </c>
      <c r="G58" s="192">
        <v>2551</v>
      </c>
      <c r="H58" s="125">
        <f>ROUND(G58*Valores!$C$2,2)</f>
        <v>96860.7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19880.89</v>
      </c>
      <c r="N58" s="125">
        <f t="shared" si="1"/>
        <v>0</v>
      </c>
      <c r="O58" s="125">
        <f>Valores!$C$9</f>
        <v>47713.55</v>
      </c>
      <c r="P58" s="125">
        <f>Valores!$D$5</f>
        <v>19410.1</v>
      </c>
      <c r="Q58" s="125">
        <f>Valores!$C$22</f>
        <v>17316.91</v>
      </c>
      <c r="R58" s="125">
        <f>IF($F$4="NO",Valores!$C$45,Valores!$C$45/2)</f>
        <v>14237.86</v>
      </c>
      <c r="S58" s="125">
        <f>Valores!$C$19</f>
        <v>18061.41</v>
      </c>
      <c r="T58" s="125">
        <f t="shared" si="7"/>
        <v>18061.41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Valores!$C$95</f>
        <v>33415.52</v>
      </c>
      <c r="AA58" s="125">
        <f>Valores!$C$25</f>
        <v>793.88</v>
      </c>
      <c r="AB58" s="214">
        <v>0</v>
      </c>
      <c r="AC58" s="125">
        <f t="shared" si="2"/>
        <v>0</v>
      </c>
      <c r="AD58" s="125">
        <f>Valores!$C$26</f>
        <v>793.88</v>
      </c>
      <c r="AE58" s="192">
        <v>94</v>
      </c>
      <c r="AF58" s="125">
        <f>ROUND(AE58*Valores!$C$2,2)</f>
        <v>3569.15</v>
      </c>
      <c r="AG58" s="125">
        <f>ROUND(IF($F$4="NO",Valores!$C$63,Valores!$C$63/2),2)</f>
        <v>9076.17</v>
      </c>
      <c r="AH58" s="125">
        <f t="shared" si="5"/>
        <v>284509.32</v>
      </c>
      <c r="AI58" s="125">
        <f>Valores!$C$31</f>
        <v>0</v>
      </c>
      <c r="AJ58" s="125">
        <f>Valores!$C$88</f>
        <v>0</v>
      </c>
      <c r="AK58" s="125">
        <f>Valores!C$38*B58</f>
        <v>0</v>
      </c>
      <c r="AL58" s="125">
        <f>IF($F$3="NO",0,Valores!$C$56)</f>
        <v>0</v>
      </c>
      <c r="AM58" s="125">
        <f t="shared" si="3"/>
        <v>0</v>
      </c>
      <c r="AN58" s="125">
        <f>AH58*Valores!$C$71</f>
        <v>-31296.0252</v>
      </c>
      <c r="AO58" s="125">
        <f>AH58*-Valores!$C$72</f>
        <v>0</v>
      </c>
      <c r="AP58" s="125">
        <f>AH58*Valores!$C$73</f>
        <v>-12802.9194</v>
      </c>
      <c r="AQ58" s="125">
        <f>Valores!$C$100</f>
        <v>-554.86</v>
      </c>
      <c r="AR58" s="125">
        <f>IF($F$5=0,Valores!$C$101,(Valores!$C$101+$F$5*(Valores!$C$101)))</f>
        <v>-550</v>
      </c>
      <c r="AS58" s="125">
        <f t="shared" si="6"/>
        <v>239305.5154</v>
      </c>
      <c r="AT58" s="125">
        <f t="shared" si="0"/>
        <v>-31296.0252</v>
      </c>
      <c r="AU58" s="125">
        <f>AH58*Valores!$C$74</f>
        <v>-7681.75164</v>
      </c>
      <c r="AV58" s="125">
        <f>AH58*Valores!$C$75</f>
        <v>-853.52796</v>
      </c>
      <c r="AW58" s="125">
        <f t="shared" si="4"/>
        <v>244678.01520000002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3379.3</v>
      </c>
      <c r="G59" s="192">
        <v>2251</v>
      </c>
      <c r="H59" s="125">
        <f>ROUND(G59*Valores!$C$2,2)</f>
        <v>85469.79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18172.25</v>
      </c>
      <c r="N59" s="125">
        <f t="shared" si="1"/>
        <v>0</v>
      </c>
      <c r="O59" s="125">
        <f>Valores!$C$9</f>
        <v>47713.55</v>
      </c>
      <c r="P59" s="125">
        <f>Valores!$D$5</f>
        <v>19410.1</v>
      </c>
      <c r="Q59" s="125">
        <f>Valores!$C$22</f>
        <v>17316.91</v>
      </c>
      <c r="R59" s="125">
        <f>IF($F$4="NO",Valores!$C$45,Valores!$C$45/2)</f>
        <v>14237.86</v>
      </c>
      <c r="S59" s="125">
        <f>Valores!$C$19</f>
        <v>18061.41</v>
      </c>
      <c r="T59" s="125">
        <f t="shared" si="7"/>
        <v>18061.41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Valores!$C$95</f>
        <v>33415.52</v>
      </c>
      <c r="AA59" s="125">
        <f>Valores!$C$25</f>
        <v>793.88</v>
      </c>
      <c r="AB59" s="214">
        <v>0</v>
      </c>
      <c r="AC59" s="125">
        <f t="shared" si="2"/>
        <v>0</v>
      </c>
      <c r="AD59" s="125">
        <f>Valores!$C$26</f>
        <v>793.88</v>
      </c>
      <c r="AE59" s="192">
        <v>0</v>
      </c>
      <c r="AF59" s="125">
        <f>ROUND(AE59*Valores!$C$2,2)</f>
        <v>0</v>
      </c>
      <c r="AG59" s="125">
        <f>ROUND(IF($F$4="NO",Valores!$C$63,Valores!$C$63/2),2)</f>
        <v>9076.17</v>
      </c>
      <c r="AH59" s="125">
        <f t="shared" si="5"/>
        <v>267840.62</v>
      </c>
      <c r="AI59" s="125">
        <f>Valores!$C$31</f>
        <v>0</v>
      </c>
      <c r="AJ59" s="125">
        <f>Valores!$C$88</f>
        <v>0</v>
      </c>
      <c r="AK59" s="125">
        <f>Valores!C$38*B59</f>
        <v>0</v>
      </c>
      <c r="AL59" s="125">
        <f>IF($F$3="NO",0,Valores!$C$56)</f>
        <v>0</v>
      </c>
      <c r="AM59" s="125">
        <f t="shared" si="3"/>
        <v>0</v>
      </c>
      <c r="AN59" s="125">
        <f>AH59*Valores!$C$71</f>
        <v>-29462.4682</v>
      </c>
      <c r="AO59" s="125">
        <f>AH59*-Valores!$C$72</f>
        <v>0</v>
      </c>
      <c r="AP59" s="125">
        <f>AH59*Valores!$C$73</f>
        <v>-12052.8279</v>
      </c>
      <c r="AQ59" s="125">
        <f>Valores!$C$100</f>
        <v>-554.86</v>
      </c>
      <c r="AR59" s="125">
        <f>IF($F$5=0,Valores!$C$101,(Valores!$C$101+$F$5*(Valores!$C$101)))</f>
        <v>-550</v>
      </c>
      <c r="AS59" s="125">
        <f t="shared" si="6"/>
        <v>225220.4639</v>
      </c>
      <c r="AT59" s="125">
        <f t="shared" si="0"/>
        <v>-29462.4682</v>
      </c>
      <c r="AU59" s="125">
        <f>AH59*Valores!$C$74</f>
        <v>-7231.696739999999</v>
      </c>
      <c r="AV59" s="125">
        <f>AH59*Valores!$C$75</f>
        <v>-803.52186</v>
      </c>
      <c r="AW59" s="125">
        <f t="shared" si="4"/>
        <v>230342.9332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3227.42</v>
      </c>
      <c r="G60" s="192">
        <v>2255</v>
      </c>
      <c r="H60" s="125">
        <f>ROUND(G60*Valores!$C$2,2)</f>
        <v>85621.67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18172.25</v>
      </c>
      <c r="N60" s="125">
        <f t="shared" si="1"/>
        <v>0</v>
      </c>
      <c r="O60" s="125">
        <f>Valores!$C$9</f>
        <v>47713.55</v>
      </c>
      <c r="P60" s="125">
        <f>Valores!$D$5</f>
        <v>19410.1</v>
      </c>
      <c r="Q60" s="125">
        <f>Valores!$C$22</f>
        <v>17316.91</v>
      </c>
      <c r="R60" s="125">
        <f>IF($F$4="NO",Valores!$C$45,Valores!$C$45/2)</f>
        <v>14237.86</v>
      </c>
      <c r="S60" s="125">
        <f>Valores!$C$19</f>
        <v>18061.41</v>
      </c>
      <c r="T60" s="125">
        <f t="shared" si="7"/>
        <v>18061.41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Valores!$C$95</f>
        <v>33415.52</v>
      </c>
      <c r="AA60" s="125">
        <f>Valores!$C$25</f>
        <v>793.88</v>
      </c>
      <c r="AB60" s="214">
        <v>0</v>
      </c>
      <c r="AC60" s="125">
        <f t="shared" si="2"/>
        <v>0</v>
      </c>
      <c r="AD60" s="125">
        <f>Valores!$C$26</f>
        <v>793.88</v>
      </c>
      <c r="AE60" s="192">
        <v>94</v>
      </c>
      <c r="AF60" s="125">
        <f>ROUND(AE60*Valores!$C$2,2)</f>
        <v>3569.15</v>
      </c>
      <c r="AG60" s="125">
        <f>ROUND(IF($F$4="NO",Valores!$C$63,Valores!$C$63/2),2)</f>
        <v>9076.17</v>
      </c>
      <c r="AH60" s="125">
        <f t="shared" si="5"/>
        <v>271409.77</v>
      </c>
      <c r="AI60" s="125">
        <f>Valores!$C$31</f>
        <v>0</v>
      </c>
      <c r="AJ60" s="125">
        <f>Valores!$C$88</f>
        <v>0</v>
      </c>
      <c r="AK60" s="125">
        <f>Valores!C$38*B60</f>
        <v>0</v>
      </c>
      <c r="AL60" s="125">
        <f>IF($F$3="NO",0,Valores!$C$56)</f>
        <v>0</v>
      </c>
      <c r="AM60" s="125">
        <f t="shared" si="3"/>
        <v>0</v>
      </c>
      <c r="AN60" s="125">
        <f>AH60*Valores!$C$71</f>
        <v>-29855.0747</v>
      </c>
      <c r="AO60" s="125">
        <f>AH60*-Valores!$C$72</f>
        <v>0</v>
      </c>
      <c r="AP60" s="125">
        <f>AH60*Valores!$C$73</f>
        <v>-12213.43965</v>
      </c>
      <c r="AQ60" s="125">
        <f>Valores!$C$100</f>
        <v>-554.86</v>
      </c>
      <c r="AR60" s="125">
        <f>IF($F$5=0,Valores!$C$101,(Valores!$C$101+$F$5*(Valores!$C$101)))</f>
        <v>-550</v>
      </c>
      <c r="AS60" s="125">
        <f t="shared" si="6"/>
        <v>228236.39565000002</v>
      </c>
      <c r="AT60" s="125">
        <f t="shared" si="0"/>
        <v>-29855.0747</v>
      </c>
      <c r="AU60" s="125">
        <f>AH60*Valores!$C$74</f>
        <v>-7328.06379</v>
      </c>
      <c r="AV60" s="125">
        <f>AH60*Valores!$C$75</f>
        <v>-814.22931</v>
      </c>
      <c r="AW60" s="125">
        <f t="shared" si="4"/>
        <v>233412.4022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3796.97</v>
      </c>
      <c r="G61" s="192">
        <v>3180</v>
      </c>
      <c r="H61" s="125">
        <f>ROUND(G61*Valores!$C$2,2)</f>
        <v>120743.65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23981.71</v>
      </c>
      <c r="N61" s="125">
        <f t="shared" si="1"/>
        <v>0</v>
      </c>
      <c r="O61" s="125">
        <f>Valores!$C$9</f>
        <v>47713.55</v>
      </c>
      <c r="P61" s="125">
        <f>Valores!$D$5</f>
        <v>19410.1</v>
      </c>
      <c r="Q61" s="125">
        <f>Valores!$C$22</f>
        <v>17316.91</v>
      </c>
      <c r="R61" s="125">
        <f>IF($F$4="NO",Valores!$C$48,Valores!$C$48/2)</f>
        <v>17276.01</v>
      </c>
      <c r="S61" s="125">
        <f>Valores!$C$19</f>
        <v>18061.41</v>
      </c>
      <c r="T61" s="125">
        <f t="shared" si="7"/>
        <v>18061.41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Valores!$C$95</f>
        <v>33415.52</v>
      </c>
      <c r="AA61" s="125">
        <f>Valores!$C$25</f>
        <v>793.88</v>
      </c>
      <c r="AB61" s="214">
        <v>0</v>
      </c>
      <c r="AC61" s="125">
        <f t="shared" si="2"/>
        <v>0</v>
      </c>
      <c r="AD61" s="125">
        <f>Valores!$C$26</f>
        <v>793.88</v>
      </c>
      <c r="AE61" s="192">
        <v>0</v>
      </c>
      <c r="AF61" s="125">
        <f>ROUND(AE61*Valores!$C$2,2)</f>
        <v>0</v>
      </c>
      <c r="AG61" s="125">
        <f>ROUND(IF($F$4="NO",Valores!$C$63,Valores!$C$63/2),2)</f>
        <v>9076.17</v>
      </c>
      <c r="AH61" s="125">
        <f t="shared" si="5"/>
        <v>312379.76</v>
      </c>
      <c r="AI61" s="125">
        <f>Valores!$C$31</f>
        <v>0</v>
      </c>
      <c r="AJ61" s="125">
        <f>Valores!$C$88</f>
        <v>0</v>
      </c>
      <c r="AK61" s="125">
        <f>Valores!C$38*B61</f>
        <v>0</v>
      </c>
      <c r="AL61" s="125">
        <f>IF($F$3="NO",0,Valores!$C$56)</f>
        <v>0</v>
      </c>
      <c r="AM61" s="125">
        <f t="shared" si="3"/>
        <v>0</v>
      </c>
      <c r="AN61" s="125">
        <f>AH61*Valores!$C$71</f>
        <v>-34361.7736</v>
      </c>
      <c r="AO61" s="125">
        <f>AH61*-Valores!$C$72</f>
        <v>0</v>
      </c>
      <c r="AP61" s="125">
        <f>AH61*Valores!$C$73</f>
        <v>-14057.0892</v>
      </c>
      <c r="AQ61" s="125">
        <f>Valores!$C$100</f>
        <v>-554.86</v>
      </c>
      <c r="AR61" s="125">
        <f>IF($F$5=0,Valores!$C$101,(Valores!$C$101+$F$5*(Valores!$C$101)))</f>
        <v>-550</v>
      </c>
      <c r="AS61" s="125">
        <f t="shared" si="6"/>
        <v>262856.0372</v>
      </c>
      <c r="AT61" s="125">
        <f t="shared" si="0"/>
        <v>-34361.7736</v>
      </c>
      <c r="AU61" s="125">
        <f>AH61*Valores!$C$74</f>
        <v>-8434.25352</v>
      </c>
      <c r="AV61" s="125">
        <f>AH61*Valores!$C$75</f>
        <v>-937.1392800000001</v>
      </c>
      <c r="AW61" s="125">
        <f t="shared" si="4"/>
        <v>268646.5936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3151.49</v>
      </c>
      <c r="G62" s="192">
        <v>2352</v>
      </c>
      <c r="H62" s="125">
        <f>ROUND(G62*Valores!$C$2,2)</f>
        <v>89304.73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18713.32</v>
      </c>
      <c r="N62" s="125">
        <f t="shared" si="1"/>
        <v>0</v>
      </c>
      <c r="O62" s="125">
        <f>Valores!$C$9</f>
        <v>47713.55</v>
      </c>
      <c r="P62" s="125">
        <f>Valores!$D$5</f>
        <v>19410.1</v>
      </c>
      <c r="Q62" s="125">
        <f>Valores!$C$22</f>
        <v>17316.91</v>
      </c>
      <c r="R62" s="125">
        <f>IF($F$4="NO",Valores!$C$45,Valores!$C$45/2)</f>
        <v>14237.86</v>
      </c>
      <c r="S62" s="125">
        <f>Valores!$C$19</f>
        <v>18061.41</v>
      </c>
      <c r="T62" s="125">
        <f t="shared" si="7"/>
        <v>18061.41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Valores!$C$95</f>
        <v>33415.52</v>
      </c>
      <c r="AA62" s="125">
        <f>Valores!$C$25</f>
        <v>793.88</v>
      </c>
      <c r="AB62" s="214">
        <v>0</v>
      </c>
      <c r="AC62" s="125">
        <f t="shared" si="2"/>
        <v>0</v>
      </c>
      <c r="AD62" s="125">
        <f>Valores!$C$26</f>
        <v>793.88</v>
      </c>
      <c r="AE62" s="192">
        <v>0</v>
      </c>
      <c r="AF62" s="125">
        <f>ROUND(AE62*Valores!$C$2,2)</f>
        <v>0</v>
      </c>
      <c r="AG62" s="125">
        <f>ROUND(IF($F$4="NO",Valores!$C$63,Valores!$C$63/2),2)</f>
        <v>9076.17</v>
      </c>
      <c r="AH62" s="125">
        <f t="shared" si="5"/>
        <v>271988.82</v>
      </c>
      <c r="AI62" s="125">
        <f>Valores!$C$31</f>
        <v>0</v>
      </c>
      <c r="AJ62" s="125">
        <f>Valores!$C$88</f>
        <v>0</v>
      </c>
      <c r="AK62" s="125">
        <f>Valores!C$38*B62</f>
        <v>0</v>
      </c>
      <c r="AL62" s="125">
        <f>IF($F$3="NO",0,Valores!$C$56)</f>
        <v>0</v>
      </c>
      <c r="AM62" s="125">
        <f t="shared" si="3"/>
        <v>0</v>
      </c>
      <c r="AN62" s="125">
        <f>AH62*Valores!$C$71</f>
        <v>-29918.770200000003</v>
      </c>
      <c r="AO62" s="125">
        <f>AH62*-Valores!$C$72</f>
        <v>0</v>
      </c>
      <c r="AP62" s="125">
        <f>AH62*Valores!$C$73</f>
        <v>-12239.4969</v>
      </c>
      <c r="AQ62" s="125">
        <f>Valores!$C$100</f>
        <v>-554.86</v>
      </c>
      <c r="AR62" s="125">
        <f>IF($F$5=0,Valores!$C$101,(Valores!$C$101+$F$5*(Valores!$C$101)))</f>
        <v>-550</v>
      </c>
      <c r="AS62" s="125">
        <f t="shared" si="6"/>
        <v>228725.6929</v>
      </c>
      <c r="AT62" s="125">
        <f t="shared" si="0"/>
        <v>-29918.770200000003</v>
      </c>
      <c r="AU62" s="125">
        <f>AH62*Valores!$C$74</f>
        <v>-7343.69814</v>
      </c>
      <c r="AV62" s="125">
        <f>AH62*Valores!$C$75</f>
        <v>-815.96646</v>
      </c>
      <c r="AW62" s="125">
        <f t="shared" si="4"/>
        <v>233910.3852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3075.55</v>
      </c>
      <c r="G63" s="192">
        <v>2354</v>
      </c>
      <c r="H63" s="125">
        <f>ROUND(G63*Valores!$C$2,2)</f>
        <v>89380.67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18713.32</v>
      </c>
      <c r="N63" s="125">
        <f t="shared" si="1"/>
        <v>0</v>
      </c>
      <c r="O63" s="125">
        <f>Valores!$C$9</f>
        <v>47713.55</v>
      </c>
      <c r="P63" s="125">
        <f>Valores!$D$5</f>
        <v>19410.1</v>
      </c>
      <c r="Q63" s="125">
        <f>Valores!$C$22</f>
        <v>17316.91</v>
      </c>
      <c r="R63" s="125">
        <f>IF($F$4="NO",Valores!$C$45,Valores!$C$45/2)</f>
        <v>14237.86</v>
      </c>
      <c r="S63" s="125">
        <f>Valores!$C$19</f>
        <v>18061.41</v>
      </c>
      <c r="T63" s="125">
        <f t="shared" si="7"/>
        <v>18061.41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Valores!$C$95</f>
        <v>33415.52</v>
      </c>
      <c r="AA63" s="125">
        <f>Valores!$C$25</f>
        <v>793.88</v>
      </c>
      <c r="AB63" s="214">
        <v>0</v>
      </c>
      <c r="AC63" s="125">
        <f t="shared" si="2"/>
        <v>0</v>
      </c>
      <c r="AD63" s="125">
        <f>Valores!$C$26</f>
        <v>793.88</v>
      </c>
      <c r="AE63" s="192">
        <v>94</v>
      </c>
      <c r="AF63" s="125">
        <f>ROUND(AE63*Valores!$C$2,2)</f>
        <v>3569.15</v>
      </c>
      <c r="AG63" s="125">
        <f>ROUND(IF($F$4="NO",Valores!$C$63,Valores!$C$63/2),2)</f>
        <v>9076.17</v>
      </c>
      <c r="AH63" s="125">
        <f t="shared" si="5"/>
        <v>275557.97000000003</v>
      </c>
      <c r="AI63" s="125">
        <f>Valores!$C$31</f>
        <v>0</v>
      </c>
      <c r="AJ63" s="125">
        <f>Valores!$C$88</f>
        <v>0</v>
      </c>
      <c r="AK63" s="125">
        <f>Valores!C$38*B63</f>
        <v>0</v>
      </c>
      <c r="AL63" s="125">
        <f>IF($F$3="NO",0,Valores!$C$56)</f>
        <v>0</v>
      </c>
      <c r="AM63" s="125">
        <f t="shared" si="3"/>
        <v>0</v>
      </c>
      <c r="AN63" s="125">
        <f>AH63*Valores!$C$71</f>
        <v>-30311.376700000004</v>
      </c>
      <c r="AO63" s="125">
        <f>AH63*-Valores!$C$72</f>
        <v>0</v>
      </c>
      <c r="AP63" s="125">
        <f>AH63*Valores!$C$73</f>
        <v>-12400.10865</v>
      </c>
      <c r="AQ63" s="125">
        <f>Valores!$C$100</f>
        <v>-554.86</v>
      </c>
      <c r="AR63" s="125">
        <f>IF($F$5=0,Valores!$C$101,(Valores!$C$101+$F$5*(Valores!$C$101)))</f>
        <v>-550</v>
      </c>
      <c r="AS63" s="125">
        <f t="shared" si="6"/>
        <v>231741.62465</v>
      </c>
      <c r="AT63" s="125">
        <f t="shared" si="0"/>
        <v>-30311.376700000004</v>
      </c>
      <c r="AU63" s="125">
        <f>AH63*Valores!$C$74</f>
        <v>-7440.065190000001</v>
      </c>
      <c r="AV63" s="125">
        <f>AH63*Valores!$C$75</f>
        <v>-826.6739100000001</v>
      </c>
      <c r="AW63" s="125">
        <f t="shared" si="4"/>
        <v>236979.85420000003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3075.55</v>
      </c>
      <c r="G64" s="192">
        <v>2094</v>
      </c>
      <c r="H64" s="125">
        <f>ROUND(G64*Valores!$C$2,2)</f>
        <v>79508.55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17232.51</v>
      </c>
      <c r="N64" s="125">
        <f t="shared" si="1"/>
        <v>0</v>
      </c>
      <c r="O64" s="125">
        <f>Valores!$C$9</f>
        <v>47713.55</v>
      </c>
      <c r="P64" s="125">
        <f>Valores!$D$5</f>
        <v>19410.1</v>
      </c>
      <c r="Q64" s="125">
        <f>Valores!$C$22</f>
        <v>17316.91</v>
      </c>
      <c r="R64" s="125">
        <f>IF($F$4="NO",Valores!$C$45,Valores!$C$45/2)</f>
        <v>14237.86</v>
      </c>
      <c r="S64" s="125">
        <f>Valores!$C$19</f>
        <v>18061.41</v>
      </c>
      <c r="T64" s="125">
        <f t="shared" si="7"/>
        <v>18061.41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Valores!$C$95</f>
        <v>33415.52</v>
      </c>
      <c r="AA64" s="125">
        <f>Valores!$C$25</f>
        <v>793.88</v>
      </c>
      <c r="AB64" s="214">
        <v>0</v>
      </c>
      <c r="AC64" s="125">
        <f t="shared" si="2"/>
        <v>0</v>
      </c>
      <c r="AD64" s="125">
        <f>Valores!$C$26</f>
        <v>793.88</v>
      </c>
      <c r="AE64" s="192">
        <v>0</v>
      </c>
      <c r="AF64" s="125">
        <f>ROUND(AE64*Valores!$C$2,2)</f>
        <v>0</v>
      </c>
      <c r="AG64" s="125">
        <f>ROUND(IF($F$4="NO",Valores!$C$63,Valores!$C$63/2),2)</f>
        <v>9076.17</v>
      </c>
      <c r="AH64" s="125">
        <f t="shared" si="5"/>
        <v>260635.89000000004</v>
      </c>
      <c r="AI64" s="125">
        <f>Valores!$C$31</f>
        <v>0</v>
      </c>
      <c r="AJ64" s="125">
        <f>Valores!$C$88</f>
        <v>0</v>
      </c>
      <c r="AK64" s="125">
        <f>Valores!C$38*B64</f>
        <v>0</v>
      </c>
      <c r="AL64" s="125">
        <f>IF($F$3="NO",0,Valores!$C$56)</f>
        <v>0</v>
      </c>
      <c r="AM64" s="125">
        <f t="shared" si="3"/>
        <v>0</v>
      </c>
      <c r="AN64" s="125">
        <f>AH64*Valores!$C$71</f>
        <v>-28669.947900000006</v>
      </c>
      <c r="AO64" s="125">
        <f>AH64*-Valores!$C$72</f>
        <v>0</v>
      </c>
      <c r="AP64" s="125">
        <f>AH64*Valores!$C$73</f>
        <v>-11728.615050000002</v>
      </c>
      <c r="AQ64" s="125">
        <f>Valores!$C$100</f>
        <v>-554.86</v>
      </c>
      <c r="AR64" s="125">
        <f>IF($F$5=0,Valores!$C$101,(Valores!$C$101+$F$5*(Valores!$C$101)))</f>
        <v>-550</v>
      </c>
      <c r="AS64" s="125">
        <f t="shared" si="6"/>
        <v>219132.46705000004</v>
      </c>
      <c r="AT64" s="125">
        <f t="shared" si="0"/>
        <v>-28669.947900000006</v>
      </c>
      <c r="AU64" s="125">
        <f>AH64*Valores!$C$74</f>
        <v>-7037.169030000001</v>
      </c>
      <c r="AV64" s="125">
        <f>AH64*Valores!$C$75</f>
        <v>-781.9076700000002</v>
      </c>
      <c r="AW64" s="125">
        <f t="shared" si="4"/>
        <v>224146.86540000004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3037.58</v>
      </c>
      <c r="G65" s="192">
        <v>2095</v>
      </c>
      <c r="H65" s="125">
        <f>ROUND(G65*Valores!$C$2,2)</f>
        <v>79546.52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17232.51</v>
      </c>
      <c r="N65" s="125">
        <f t="shared" si="1"/>
        <v>0</v>
      </c>
      <c r="O65" s="125">
        <f>Valores!$C$9</f>
        <v>47713.55</v>
      </c>
      <c r="P65" s="125">
        <f>Valores!$D$5</f>
        <v>19410.1</v>
      </c>
      <c r="Q65" s="125">
        <f>Valores!$C$22</f>
        <v>17316.91</v>
      </c>
      <c r="R65" s="125">
        <f>IF($F$4="NO",Valores!$C$45,Valores!$C$45/2)</f>
        <v>14237.86</v>
      </c>
      <c r="S65" s="125">
        <f>Valores!$C$19</f>
        <v>18061.41</v>
      </c>
      <c r="T65" s="125">
        <f t="shared" si="7"/>
        <v>18061.41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Valores!$C$95</f>
        <v>33415.52</v>
      </c>
      <c r="AA65" s="125">
        <f>Valores!$C$25</f>
        <v>793.88</v>
      </c>
      <c r="AB65" s="214">
        <v>0</v>
      </c>
      <c r="AC65" s="125">
        <f t="shared" si="2"/>
        <v>0</v>
      </c>
      <c r="AD65" s="125">
        <f>Valores!$C$26</f>
        <v>793.88</v>
      </c>
      <c r="AE65" s="192">
        <v>94</v>
      </c>
      <c r="AF65" s="125">
        <f>ROUND(AE65*Valores!$C$2,2)</f>
        <v>3569.15</v>
      </c>
      <c r="AG65" s="125">
        <f>ROUND(IF($F$4="NO",Valores!$C$63,Valores!$C$63/2),2)</f>
        <v>9076.17</v>
      </c>
      <c r="AH65" s="125">
        <f t="shared" si="5"/>
        <v>264205.04000000004</v>
      </c>
      <c r="AI65" s="125">
        <f>Valores!$C$31</f>
        <v>0</v>
      </c>
      <c r="AJ65" s="125">
        <f>Valores!$C$88</f>
        <v>0</v>
      </c>
      <c r="AK65" s="125">
        <f>Valores!C$38*B65</f>
        <v>0</v>
      </c>
      <c r="AL65" s="125">
        <f>IF($F$3="NO",0,Valores!$C$56)</f>
        <v>0</v>
      </c>
      <c r="AM65" s="125">
        <f t="shared" si="3"/>
        <v>0</v>
      </c>
      <c r="AN65" s="125">
        <f>AH65*Valores!$C$71</f>
        <v>-29062.554400000005</v>
      </c>
      <c r="AO65" s="125">
        <f>AH65*-Valores!$C$72</f>
        <v>0</v>
      </c>
      <c r="AP65" s="125">
        <f>AH65*Valores!$C$73</f>
        <v>-11889.2268</v>
      </c>
      <c r="AQ65" s="125">
        <f>Valores!$C$100</f>
        <v>-554.86</v>
      </c>
      <c r="AR65" s="125">
        <f>IF($F$5=0,Valores!$C$101,(Valores!$C$101+$F$5*(Valores!$C$101)))</f>
        <v>-550</v>
      </c>
      <c r="AS65" s="125">
        <f t="shared" si="6"/>
        <v>222148.39880000002</v>
      </c>
      <c r="AT65" s="125">
        <f t="shared" si="0"/>
        <v>-29062.554400000005</v>
      </c>
      <c r="AU65" s="125">
        <f>AH65*Valores!$C$74</f>
        <v>-7133.536080000001</v>
      </c>
      <c r="AV65" s="125">
        <f>AH65*Valores!$C$75</f>
        <v>-792.6151200000002</v>
      </c>
      <c r="AW65" s="125">
        <f t="shared" si="4"/>
        <v>227216.33440000002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2999.61</v>
      </c>
      <c r="G66" s="192">
        <v>1944</v>
      </c>
      <c r="H66" s="125">
        <f>ROUND(G66*Valores!$C$2,2)</f>
        <v>73813.1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16366.8</v>
      </c>
      <c r="N66" s="125">
        <f t="shared" si="1"/>
        <v>0</v>
      </c>
      <c r="O66" s="125">
        <f>Valores!$C$9</f>
        <v>47713.55</v>
      </c>
      <c r="P66" s="125">
        <f>Valores!$D$5</f>
        <v>19410.1</v>
      </c>
      <c r="Q66" s="125">
        <f>Valores!$C$22</f>
        <v>17316.91</v>
      </c>
      <c r="R66" s="125">
        <f>IF($F$4="NO",Valores!$C$45,Valores!$C$45/2)</f>
        <v>14237.86</v>
      </c>
      <c r="S66" s="125">
        <f>Valores!$C$19</f>
        <v>18061.41</v>
      </c>
      <c r="T66" s="125">
        <f t="shared" si="7"/>
        <v>18061.41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Valores!$C$95</f>
        <v>33415.52</v>
      </c>
      <c r="AA66" s="125">
        <f>Valores!$C$25</f>
        <v>793.88</v>
      </c>
      <c r="AB66" s="214">
        <v>0</v>
      </c>
      <c r="AC66" s="125">
        <f t="shared" si="2"/>
        <v>0</v>
      </c>
      <c r="AD66" s="125">
        <f>Valores!$C$26</f>
        <v>793.88</v>
      </c>
      <c r="AE66" s="192">
        <v>0</v>
      </c>
      <c r="AF66" s="125">
        <f>ROUND(AE66*Valores!$C$2,2)</f>
        <v>0</v>
      </c>
      <c r="AG66" s="125">
        <f>ROUND(IF($F$4="NO",Valores!$C$63,Valores!$C$63/2),2)</f>
        <v>9076.17</v>
      </c>
      <c r="AH66" s="125">
        <f t="shared" si="5"/>
        <v>253998.79</v>
      </c>
      <c r="AI66" s="125">
        <f>Valores!$C$31</f>
        <v>0</v>
      </c>
      <c r="AJ66" s="125">
        <f>Valores!$C$88</f>
        <v>0</v>
      </c>
      <c r="AK66" s="125">
        <f>Valores!C$38*B66</f>
        <v>0</v>
      </c>
      <c r="AL66" s="125">
        <f>IF($F$3="NO",0,Valores!$C$56)</f>
        <v>0</v>
      </c>
      <c r="AM66" s="125">
        <f t="shared" si="3"/>
        <v>0</v>
      </c>
      <c r="AN66" s="125">
        <f>AH66*Valores!$C$71</f>
        <v>-27939.8669</v>
      </c>
      <c r="AO66" s="125">
        <f>AH66*-Valores!$C$72</f>
        <v>0</v>
      </c>
      <c r="AP66" s="125">
        <f>AH66*Valores!$C$73</f>
        <v>-11429.94555</v>
      </c>
      <c r="AQ66" s="125">
        <f>Valores!$C$100</f>
        <v>-554.86</v>
      </c>
      <c r="AR66" s="125">
        <f>IF($F$5=0,Valores!$C$101,(Valores!$C$101+$F$5*(Valores!$C$101)))</f>
        <v>-550</v>
      </c>
      <c r="AS66" s="125">
        <f t="shared" si="6"/>
        <v>213524.11755000002</v>
      </c>
      <c r="AT66" s="125">
        <f t="shared" si="0"/>
        <v>-27939.8669</v>
      </c>
      <c r="AU66" s="125">
        <f>AH66*Valores!$C$74</f>
        <v>-6857.96733</v>
      </c>
      <c r="AV66" s="125">
        <f>AH66*Valores!$C$75</f>
        <v>-761.9963700000001</v>
      </c>
      <c r="AW66" s="125">
        <f t="shared" si="4"/>
        <v>218438.9594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2999.61</v>
      </c>
      <c r="G67" s="192">
        <v>1944</v>
      </c>
      <c r="H67" s="125">
        <f>ROUND(G67*Valores!$C$2,2)</f>
        <v>73813.1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16366.8</v>
      </c>
      <c r="N67" s="125">
        <f t="shared" si="1"/>
        <v>0</v>
      </c>
      <c r="O67" s="125">
        <f>Valores!$C$9</f>
        <v>47713.55</v>
      </c>
      <c r="P67" s="125">
        <f>Valores!$D$5</f>
        <v>19410.1</v>
      </c>
      <c r="Q67" s="125">
        <f>Valores!$C$22</f>
        <v>17316.91</v>
      </c>
      <c r="R67" s="125">
        <f>IF($F$4="NO",Valores!$C$45,Valores!$C$45/2)</f>
        <v>14237.86</v>
      </c>
      <c r="S67" s="125">
        <f>Valores!$C$19</f>
        <v>18061.41</v>
      </c>
      <c r="T67" s="125">
        <f t="shared" si="7"/>
        <v>18061.41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Valores!$C$95</f>
        <v>33415.52</v>
      </c>
      <c r="AA67" s="125">
        <f>Valores!$C$25</f>
        <v>793.88</v>
      </c>
      <c r="AB67" s="214">
        <v>0</v>
      </c>
      <c r="AC67" s="125">
        <f t="shared" si="2"/>
        <v>0</v>
      </c>
      <c r="AD67" s="125">
        <f>Valores!$C$26</f>
        <v>793.88</v>
      </c>
      <c r="AE67" s="192">
        <v>94</v>
      </c>
      <c r="AF67" s="125">
        <f>ROUND(AE67*Valores!$C$2,2)</f>
        <v>3569.15</v>
      </c>
      <c r="AG67" s="125">
        <f>ROUND(IF($F$4="NO",Valores!$C$63,Valores!$C$63/2),2)</f>
        <v>9076.17</v>
      </c>
      <c r="AH67" s="125">
        <f t="shared" si="5"/>
        <v>257567.94</v>
      </c>
      <c r="AI67" s="125">
        <f>Valores!$C$31</f>
        <v>0</v>
      </c>
      <c r="AJ67" s="125">
        <f>Valores!$C$88</f>
        <v>0</v>
      </c>
      <c r="AK67" s="125">
        <f>Valores!C$38*B67</f>
        <v>0</v>
      </c>
      <c r="AL67" s="125">
        <f>IF($F$3="NO",0,Valores!$C$56)</f>
        <v>0</v>
      </c>
      <c r="AM67" s="125">
        <f t="shared" si="3"/>
        <v>0</v>
      </c>
      <c r="AN67" s="125">
        <f>AH67*Valores!$C$71</f>
        <v>-28332.4734</v>
      </c>
      <c r="AO67" s="125">
        <f>AH67*-Valores!$C$72</f>
        <v>0</v>
      </c>
      <c r="AP67" s="125">
        <f>AH67*Valores!$C$73</f>
        <v>-11590.5573</v>
      </c>
      <c r="AQ67" s="125">
        <f>Valores!$C$100</f>
        <v>-554.86</v>
      </c>
      <c r="AR67" s="125">
        <f>IF($F$5=0,Valores!$C$101,(Valores!$C$101+$F$5*(Valores!$C$101)))</f>
        <v>-550</v>
      </c>
      <c r="AS67" s="125">
        <f t="shared" si="6"/>
        <v>216540.0493</v>
      </c>
      <c r="AT67" s="125">
        <f t="shared" si="0"/>
        <v>-28332.4734</v>
      </c>
      <c r="AU67" s="125">
        <f>AH67*Valores!$C$74</f>
        <v>-6954.33438</v>
      </c>
      <c r="AV67" s="125">
        <f>AH67*Valores!$C$75</f>
        <v>-772.7038200000001</v>
      </c>
      <c r="AW67" s="125">
        <f t="shared" si="4"/>
        <v>221508.4284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3796.97</v>
      </c>
      <c r="G68" s="192">
        <v>2864</v>
      </c>
      <c r="H68" s="125">
        <f>ROUND(G68*Valores!$C$2,2)</f>
        <v>108745.22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21613.14</v>
      </c>
      <c r="N68" s="125">
        <f t="shared" si="1"/>
        <v>0</v>
      </c>
      <c r="O68" s="125">
        <f>Valores!$C$9</f>
        <v>47713.55</v>
      </c>
      <c r="P68" s="125">
        <f>Valores!$D$5</f>
        <v>19410.1</v>
      </c>
      <c r="Q68" s="125">
        <v>0</v>
      </c>
      <c r="R68" s="125">
        <f>IF($F$4="NO",Valores!$C$44,Valores!$C$44/2)</f>
        <v>13484.02</v>
      </c>
      <c r="S68" s="125">
        <f>Valores!$C$19</f>
        <v>18061.41</v>
      </c>
      <c r="T68" s="125">
        <f t="shared" si="7"/>
        <v>18061.41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Valores!$C$94</f>
        <v>27846.26</v>
      </c>
      <c r="AA68" s="125">
        <f>Valores!$C$25</f>
        <v>793.88</v>
      </c>
      <c r="AB68" s="214">
        <v>0</v>
      </c>
      <c r="AC68" s="125">
        <f t="shared" si="2"/>
        <v>0</v>
      </c>
      <c r="AD68" s="125">
        <f>Valores!$C$26</f>
        <v>793.88</v>
      </c>
      <c r="AE68" s="192">
        <v>0</v>
      </c>
      <c r="AF68" s="125">
        <f>ROUND(AE68*Valores!$C$2,2)</f>
        <v>0</v>
      </c>
      <c r="AG68" s="125">
        <f>ROUND(IF($F$4="NO",Valores!$C$63,Valores!$C$63/2),2)</f>
        <v>9076.17</v>
      </c>
      <c r="AH68" s="125">
        <f t="shared" si="5"/>
        <v>271334.6</v>
      </c>
      <c r="AI68" s="125">
        <f>Valores!$C$31</f>
        <v>0</v>
      </c>
      <c r="AJ68" s="125">
        <f>Valores!$C$87</f>
        <v>0</v>
      </c>
      <c r="AK68" s="125">
        <f>Valores!C$38*B68</f>
        <v>0</v>
      </c>
      <c r="AL68" s="125">
        <f>IF($F$3="NO",0,Valores!$C$55)</f>
        <v>0</v>
      </c>
      <c r="AM68" s="125">
        <f t="shared" si="3"/>
        <v>0</v>
      </c>
      <c r="AN68" s="125">
        <f>AH68*Valores!$C$71</f>
        <v>-29846.805999999997</v>
      </c>
      <c r="AO68" s="125">
        <f>AH68*-Valores!$C$72</f>
        <v>0</v>
      </c>
      <c r="AP68" s="125">
        <f>AH68*Valores!$C$73</f>
        <v>-12210.056999999999</v>
      </c>
      <c r="AQ68" s="125">
        <f>Valores!$C$100</f>
        <v>-554.86</v>
      </c>
      <c r="AR68" s="125">
        <f>IF($F$5=0,Valores!$C$101,(Valores!$C$101+$F$5*(Valores!$C$101)))</f>
        <v>-550</v>
      </c>
      <c r="AS68" s="125">
        <f t="shared" si="6"/>
        <v>228172.87699999998</v>
      </c>
      <c r="AT68" s="125">
        <f t="shared" si="0"/>
        <v>-29846.805999999997</v>
      </c>
      <c r="AU68" s="125">
        <f>AH68*Valores!$C$74</f>
        <v>-7326.034199999999</v>
      </c>
      <c r="AV68" s="125">
        <f>AH68*Valores!$C$75</f>
        <v>-814.0038</v>
      </c>
      <c r="AW68" s="125">
        <f t="shared" si="4"/>
        <v>233347.756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2999.61</v>
      </c>
      <c r="G69" s="192">
        <v>2161</v>
      </c>
      <c r="H69" s="125">
        <f>ROUND(G69*Valores!$C$2,2)</f>
        <v>82052.52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17602.71</v>
      </c>
      <c r="N69" s="125">
        <f t="shared" si="1"/>
        <v>0</v>
      </c>
      <c r="O69" s="125">
        <f>Valores!$C$9</f>
        <v>47713.55</v>
      </c>
      <c r="P69" s="125">
        <f>Valores!$D$5</f>
        <v>19410.1</v>
      </c>
      <c r="Q69" s="125">
        <f>Valores!$C$22</f>
        <v>17316.91</v>
      </c>
      <c r="R69" s="125">
        <f>IF($F$4="NO",Valores!$C$45,Valores!$C$45/2)</f>
        <v>14237.86</v>
      </c>
      <c r="S69" s="125">
        <f>Valores!$C$19</f>
        <v>18061.41</v>
      </c>
      <c r="T69" s="125">
        <f t="shared" si="7"/>
        <v>18061.41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Valores!$C$95</f>
        <v>33415.52</v>
      </c>
      <c r="AA69" s="125">
        <f>Valores!$C$25</f>
        <v>793.88</v>
      </c>
      <c r="AB69" s="214">
        <v>0</v>
      </c>
      <c r="AC69" s="125">
        <f t="shared" si="2"/>
        <v>0</v>
      </c>
      <c r="AD69" s="125">
        <f>Valores!$C$26</f>
        <v>793.88</v>
      </c>
      <c r="AE69" s="192">
        <v>0</v>
      </c>
      <c r="AF69" s="125">
        <f>ROUND(AE69*Valores!$C$2,2)</f>
        <v>0</v>
      </c>
      <c r="AG69" s="125">
        <f>ROUND(IF($F$4="NO",Valores!$C$63,Valores!$C$63/2),2)</f>
        <v>9076.17</v>
      </c>
      <c r="AH69" s="125">
        <f t="shared" si="5"/>
        <v>263474.12</v>
      </c>
      <c r="AI69" s="125">
        <f>Valores!$C$31</f>
        <v>0</v>
      </c>
      <c r="AJ69" s="125">
        <f>Valores!$C$88</f>
        <v>0</v>
      </c>
      <c r="AK69" s="125">
        <f>Valores!C$38*B69</f>
        <v>0</v>
      </c>
      <c r="AL69" s="125">
        <f>IF($F$3="NO",0,Valores!$C$56)</f>
        <v>0</v>
      </c>
      <c r="AM69" s="125">
        <f t="shared" si="3"/>
        <v>0</v>
      </c>
      <c r="AN69" s="125">
        <f>AH69*Valores!$C$71</f>
        <v>-28982.1532</v>
      </c>
      <c r="AO69" s="125">
        <f>AH69*-Valores!$C$72</f>
        <v>0</v>
      </c>
      <c r="AP69" s="125">
        <f>AH69*Valores!$C$73</f>
        <v>-11856.3354</v>
      </c>
      <c r="AQ69" s="125">
        <f>Valores!$C$100</f>
        <v>-554.86</v>
      </c>
      <c r="AR69" s="125">
        <f>IF($F$5=0,Valores!$C$101,(Valores!$C$101+$F$5*(Valores!$C$101)))</f>
        <v>-550</v>
      </c>
      <c r="AS69" s="125">
        <f t="shared" si="6"/>
        <v>221530.7714</v>
      </c>
      <c r="AT69" s="125">
        <f t="shared" si="0"/>
        <v>-28982.1532</v>
      </c>
      <c r="AU69" s="125">
        <f>AH69*Valores!$C$74</f>
        <v>-7113.80124</v>
      </c>
      <c r="AV69" s="125">
        <f>AH69*Valores!$C$75</f>
        <v>-790.42236</v>
      </c>
      <c r="AW69" s="125">
        <f t="shared" si="4"/>
        <v>226587.7432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3417.27</v>
      </c>
      <c r="G70" s="192">
        <v>3010</v>
      </c>
      <c r="H70" s="125">
        <f>ROUND(G70*Valores!$C$2,2)</f>
        <v>114288.8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22956.52</v>
      </c>
      <c r="N70" s="125">
        <f t="shared" si="1"/>
        <v>0</v>
      </c>
      <c r="O70" s="125">
        <f>Valores!$C$9</f>
        <v>47713.55</v>
      </c>
      <c r="P70" s="125">
        <f>Valores!$D$5</f>
        <v>19410.1</v>
      </c>
      <c r="Q70" s="125">
        <f>Valores!$C$22</f>
        <v>17316.91</v>
      </c>
      <c r="R70" s="125">
        <f>IF($F$4="NO",Valores!$C$48,Valores!$C$48/2)</f>
        <v>17276.01</v>
      </c>
      <c r="S70" s="125">
        <f>Valores!$C$19</f>
        <v>18061.41</v>
      </c>
      <c r="T70" s="125">
        <f t="shared" si="7"/>
        <v>18061.41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Valores!$C$95</f>
        <v>33415.52</v>
      </c>
      <c r="AA70" s="125">
        <f>Valores!$C$25</f>
        <v>793.88</v>
      </c>
      <c r="AB70" s="214">
        <v>0</v>
      </c>
      <c r="AC70" s="125">
        <f t="shared" si="2"/>
        <v>0</v>
      </c>
      <c r="AD70" s="125">
        <f>Valores!$C$26</f>
        <v>793.88</v>
      </c>
      <c r="AE70" s="192">
        <v>0</v>
      </c>
      <c r="AF70" s="125">
        <f>ROUND(AE70*Valores!$C$2,2)</f>
        <v>0</v>
      </c>
      <c r="AG70" s="125">
        <f>ROUND(IF($F$4="NO",Valores!$C$63,Valores!$C$63/2),2)</f>
        <v>9076.17</v>
      </c>
      <c r="AH70" s="125">
        <f t="shared" si="5"/>
        <v>304520.02</v>
      </c>
      <c r="AI70" s="125">
        <f>Valores!$C$31</f>
        <v>0</v>
      </c>
      <c r="AJ70" s="125">
        <f>Valores!$C$88</f>
        <v>0</v>
      </c>
      <c r="AK70" s="125">
        <f>Valores!C$38*B70</f>
        <v>0</v>
      </c>
      <c r="AL70" s="125">
        <f>IF($F$3="NO",0,Valores!$C$56)</f>
        <v>0</v>
      </c>
      <c r="AM70" s="125">
        <f t="shared" si="3"/>
        <v>0</v>
      </c>
      <c r="AN70" s="125">
        <f>AH70*Valores!$C$71</f>
        <v>-33497.2022</v>
      </c>
      <c r="AO70" s="125">
        <f>AH70*-Valores!$C$72</f>
        <v>0</v>
      </c>
      <c r="AP70" s="125">
        <f>AH70*Valores!$C$73</f>
        <v>-13703.4009</v>
      </c>
      <c r="AQ70" s="125">
        <f>Valores!$C$100</f>
        <v>-554.86</v>
      </c>
      <c r="AR70" s="125">
        <f>IF($F$5=0,Valores!$C$101,(Valores!$C$101+$F$5*(Valores!$C$101)))</f>
        <v>-550</v>
      </c>
      <c r="AS70" s="125">
        <f t="shared" si="6"/>
        <v>256214.55690000003</v>
      </c>
      <c r="AT70" s="125">
        <f t="shared" si="0"/>
        <v>-33497.2022</v>
      </c>
      <c r="AU70" s="125">
        <f>AH70*Valores!$C$74</f>
        <v>-8222.04054</v>
      </c>
      <c r="AV70" s="125">
        <f>AH70*Valores!$C$75</f>
        <v>-913.56006</v>
      </c>
      <c r="AW70" s="125">
        <f t="shared" si="4"/>
        <v>261887.2172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2961.64</v>
      </c>
      <c r="G71" s="192">
        <v>2162</v>
      </c>
      <c r="H71" s="125">
        <f>ROUND(G71*Valores!$C$2,2)</f>
        <v>82090.49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17602.71</v>
      </c>
      <c r="N71" s="125">
        <f t="shared" si="1"/>
        <v>0</v>
      </c>
      <c r="O71" s="125">
        <f>Valores!$C$9</f>
        <v>47713.55</v>
      </c>
      <c r="P71" s="125">
        <f>Valores!$D$5</f>
        <v>19410.1</v>
      </c>
      <c r="Q71" s="125">
        <f>Valores!$C$22</f>
        <v>17316.91</v>
      </c>
      <c r="R71" s="125">
        <f>IF($F$4="NO",Valores!$C$45,Valores!$C$45/2)</f>
        <v>14237.86</v>
      </c>
      <c r="S71" s="125">
        <f>Valores!$C$19</f>
        <v>18061.41</v>
      </c>
      <c r="T71" s="125">
        <f t="shared" si="7"/>
        <v>18061.41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Valores!$C$95</f>
        <v>33415.52</v>
      </c>
      <c r="AA71" s="125">
        <f>Valores!$C$25</f>
        <v>793.88</v>
      </c>
      <c r="AB71" s="214">
        <v>0</v>
      </c>
      <c r="AC71" s="125">
        <f t="shared" si="2"/>
        <v>0</v>
      </c>
      <c r="AD71" s="125">
        <f>Valores!$C$26</f>
        <v>793.88</v>
      </c>
      <c r="AE71" s="192">
        <v>0</v>
      </c>
      <c r="AF71" s="125">
        <f>ROUND(AE71*Valores!$C$2,2)</f>
        <v>0</v>
      </c>
      <c r="AG71" s="125">
        <f>ROUND(IF($F$4="NO",Valores!$C$63,Valores!$C$63/2),2)</f>
        <v>9076.17</v>
      </c>
      <c r="AH71" s="125">
        <f t="shared" si="5"/>
        <v>263474.12</v>
      </c>
      <c r="AI71" s="125">
        <f>Valores!$C$31</f>
        <v>0</v>
      </c>
      <c r="AJ71" s="125">
        <f>Valores!$C$88</f>
        <v>0</v>
      </c>
      <c r="AK71" s="125">
        <f>Valores!C$38*B71</f>
        <v>0</v>
      </c>
      <c r="AL71" s="125">
        <f>IF($F$3="NO",0,Valores!$C$56)</f>
        <v>0</v>
      </c>
      <c r="AM71" s="125">
        <f t="shared" si="3"/>
        <v>0</v>
      </c>
      <c r="AN71" s="125">
        <f>AH71*Valores!$C$71</f>
        <v>-28982.1532</v>
      </c>
      <c r="AO71" s="125">
        <f>AH71*-Valores!$C$72</f>
        <v>0</v>
      </c>
      <c r="AP71" s="125">
        <f>AH71*Valores!$C$73</f>
        <v>-11856.3354</v>
      </c>
      <c r="AQ71" s="125">
        <f>Valores!$C$100</f>
        <v>-554.86</v>
      </c>
      <c r="AR71" s="125">
        <f>IF($F$5=0,Valores!$C$101,(Valores!$C$101+$F$5*(Valores!$C$101)))</f>
        <v>-550</v>
      </c>
      <c r="AS71" s="125">
        <f t="shared" si="6"/>
        <v>221530.7714</v>
      </c>
      <c r="AT71" s="125">
        <f aca="true" t="shared" si="10" ref="AT71:AT133">AN71</f>
        <v>-28982.1532</v>
      </c>
      <c r="AU71" s="125">
        <f>AH71*Valores!$C$74</f>
        <v>-7113.80124</v>
      </c>
      <c r="AV71" s="125">
        <f>AH71*Valores!$C$75</f>
        <v>-790.42236</v>
      </c>
      <c r="AW71" s="125">
        <f t="shared" si="4"/>
        <v>226587.7432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3417.27</v>
      </c>
      <c r="G72" s="192">
        <v>2800</v>
      </c>
      <c r="H72" s="125">
        <f>ROUND(G72*Valores!$C$2,2)</f>
        <v>106315.16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21760.48</v>
      </c>
      <c r="N72" s="125">
        <f aca="true" t="shared" si="11" ref="N72:N135">ROUND(SUM(F72,H72,J72,L72,X72,R72)*$H$2,2)</f>
        <v>0</v>
      </c>
      <c r="O72" s="125">
        <f>Valores!$C$9</f>
        <v>47713.55</v>
      </c>
      <c r="P72" s="125">
        <f>Valores!$D$5</f>
        <v>19410.1</v>
      </c>
      <c r="Q72" s="125">
        <v>0</v>
      </c>
      <c r="R72" s="125">
        <f>IF($F$4="NO",Valores!$C$48,Valores!$C$48/2)</f>
        <v>17276.01</v>
      </c>
      <c r="S72" s="125">
        <f>Valores!$C$19</f>
        <v>18061.41</v>
      </c>
      <c r="T72" s="125">
        <f t="shared" si="7"/>
        <v>18061.41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Valores!$C$95</f>
        <v>33415.52</v>
      </c>
      <c r="AA72" s="125">
        <f>Valores!$C$25</f>
        <v>793.88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793.88</v>
      </c>
      <c r="AE72" s="192">
        <v>0</v>
      </c>
      <c r="AF72" s="125">
        <f>ROUND(AE72*Valores!$C$2,2)</f>
        <v>0</v>
      </c>
      <c r="AG72" s="125">
        <f>ROUND(IF($F$4="NO",Valores!$C$63,Valores!$C$63/2),2)</f>
        <v>9076.17</v>
      </c>
      <c r="AH72" s="125">
        <f t="shared" si="5"/>
        <v>278033.43000000005</v>
      </c>
      <c r="AI72" s="125">
        <f>Valores!$C$31</f>
        <v>0</v>
      </c>
      <c r="AJ72" s="125">
        <f>Valores!$C$88</f>
        <v>0</v>
      </c>
      <c r="AK72" s="125">
        <f>Valores!C$38*B72</f>
        <v>0</v>
      </c>
      <c r="AL72" s="125">
        <f>IF($F$3="NO",0,Valores!$C$56)</f>
        <v>0</v>
      </c>
      <c r="AM72" s="125">
        <f aca="true" t="shared" si="13" ref="AM72:AM135">SUM(AI72:AL72)</f>
        <v>0</v>
      </c>
      <c r="AN72" s="125">
        <f>AH72*Valores!$C$71</f>
        <v>-30583.677300000007</v>
      </c>
      <c r="AO72" s="125">
        <f>AH72*-Valores!$C$72</f>
        <v>0</v>
      </c>
      <c r="AP72" s="125">
        <f>AH72*Valores!$C$73</f>
        <v>-12511.504350000001</v>
      </c>
      <c r="AQ72" s="125">
        <f>Valores!$C$100</f>
        <v>-554.86</v>
      </c>
      <c r="AR72" s="125">
        <f>IF($F$5=0,Valores!$C$101,(Valores!$C$101+$F$5*(Valores!$C$101)))</f>
        <v>-550</v>
      </c>
      <c r="AS72" s="125">
        <f t="shared" si="6"/>
        <v>233833.38835000005</v>
      </c>
      <c r="AT72" s="125">
        <f t="shared" si="10"/>
        <v>-30583.677300000007</v>
      </c>
      <c r="AU72" s="125">
        <f>AH72*Valores!$C$74</f>
        <v>-7506.902610000001</v>
      </c>
      <c r="AV72" s="125">
        <f>AH72*Valores!$C$75</f>
        <v>-834.1002900000002</v>
      </c>
      <c r="AW72" s="125">
        <f aca="true" t="shared" si="14" ref="AW72:AW135">AH72+AM72+SUM(AT72:AV72)</f>
        <v>239108.74980000005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2999.61</v>
      </c>
      <c r="G73" s="192">
        <v>2161</v>
      </c>
      <c r="H73" s="125">
        <f>ROUND(G73*Valores!$C$2,2)</f>
        <v>82052.52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17602.71</v>
      </c>
      <c r="N73" s="125">
        <f t="shared" si="11"/>
        <v>0</v>
      </c>
      <c r="O73" s="125">
        <f>Valores!$C$9</f>
        <v>47713.55</v>
      </c>
      <c r="P73" s="125">
        <f>Valores!$D$5</f>
        <v>19410.1</v>
      </c>
      <c r="Q73" s="125">
        <f>Valores!$C$22</f>
        <v>17316.91</v>
      </c>
      <c r="R73" s="125">
        <f>IF($F$4="NO",Valores!$C$45,Valores!$C$45/2)</f>
        <v>14237.86</v>
      </c>
      <c r="S73" s="125">
        <f>Valores!$C$19</f>
        <v>18061.41</v>
      </c>
      <c r="T73" s="125">
        <f t="shared" si="7"/>
        <v>18061.41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Valores!$C$95</f>
        <v>33415.52</v>
      </c>
      <c r="AA73" s="125">
        <f>Valores!$C$25</f>
        <v>793.88</v>
      </c>
      <c r="AB73" s="214">
        <v>0</v>
      </c>
      <c r="AC73" s="125">
        <f t="shared" si="12"/>
        <v>0</v>
      </c>
      <c r="AD73" s="125">
        <f>Valores!$C$26</f>
        <v>793.88</v>
      </c>
      <c r="AE73" s="192">
        <v>0</v>
      </c>
      <c r="AF73" s="125">
        <f>ROUND(AE73*Valores!$C$2,2)</f>
        <v>0</v>
      </c>
      <c r="AG73" s="125">
        <f>ROUND(IF($F$4="NO",Valores!$C$63,Valores!$C$63/2),2)</f>
        <v>9076.17</v>
      </c>
      <c r="AH73" s="125">
        <f aca="true" t="shared" si="15" ref="AH73:AH136">SUM(F73,H73,J73,L73,M73,N73,O73,P73,Q73,R73,T73,U73,V73,X73,Y73,Z73,AA73,AC73,AD73,AF73,AG73)</f>
        <v>263474.12</v>
      </c>
      <c r="AI73" s="125">
        <f>Valores!$C$31</f>
        <v>0</v>
      </c>
      <c r="AJ73" s="125">
        <f>Valores!$C$88</f>
        <v>0</v>
      </c>
      <c r="AK73" s="125">
        <f>Valores!C$38*B73</f>
        <v>0</v>
      </c>
      <c r="AL73" s="125">
        <f>IF($F$3="NO",0,Valores!$C$56)</f>
        <v>0</v>
      </c>
      <c r="AM73" s="125">
        <f t="shared" si="13"/>
        <v>0</v>
      </c>
      <c r="AN73" s="125">
        <f>AH73*Valores!$C$71</f>
        <v>-28982.1532</v>
      </c>
      <c r="AO73" s="125">
        <f>AH73*-Valores!$C$72</f>
        <v>0</v>
      </c>
      <c r="AP73" s="125">
        <f>AH73*Valores!$C$73</f>
        <v>-11856.3354</v>
      </c>
      <c r="AQ73" s="125">
        <f>Valores!$C$100</f>
        <v>-554.86</v>
      </c>
      <c r="AR73" s="125">
        <f>IF($F$5=0,Valores!$C$101,(Valores!$C$101+$F$5*(Valores!$C$101)))</f>
        <v>-550</v>
      </c>
      <c r="AS73" s="125">
        <f aca="true" t="shared" si="16" ref="AS73:AS136">AH73+SUM(AM73:AR73)</f>
        <v>221530.7714</v>
      </c>
      <c r="AT73" s="125">
        <f t="shared" si="10"/>
        <v>-28982.1532</v>
      </c>
      <c r="AU73" s="125">
        <f>AH73*Valores!$C$74</f>
        <v>-7113.80124</v>
      </c>
      <c r="AV73" s="125">
        <f>AH73*Valores!$C$75</f>
        <v>-790.42236</v>
      </c>
      <c r="AW73" s="125">
        <f t="shared" si="14"/>
        <v>226587.7432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3417.27</v>
      </c>
      <c r="G74" s="192">
        <v>2720</v>
      </c>
      <c r="H74" s="125">
        <f>ROUND(G74*Valores!$C$2,2)</f>
        <v>103277.58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21304.84</v>
      </c>
      <c r="N74" s="125">
        <f t="shared" si="11"/>
        <v>0</v>
      </c>
      <c r="O74" s="125">
        <f>Valores!$C$9</f>
        <v>47713.55</v>
      </c>
      <c r="P74" s="125">
        <f>Valores!$D$5</f>
        <v>19410.1</v>
      </c>
      <c r="Q74" s="125">
        <v>0</v>
      </c>
      <c r="R74" s="125">
        <f>IF($F$4="NO",Valores!$C$48,Valores!$C$476/2)</f>
        <v>17276.01</v>
      </c>
      <c r="S74" s="125">
        <f>Valores!$C$19</f>
        <v>18061.41</v>
      </c>
      <c r="T74" s="125">
        <f t="shared" si="7"/>
        <v>18061.41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Valores!$C$95</f>
        <v>33415.52</v>
      </c>
      <c r="AA74" s="125">
        <f>Valores!$C$25</f>
        <v>793.88</v>
      </c>
      <c r="AB74" s="214">
        <v>0</v>
      </c>
      <c r="AC74" s="125">
        <f t="shared" si="12"/>
        <v>0</v>
      </c>
      <c r="AD74" s="125">
        <f>Valores!$C$26</f>
        <v>793.88</v>
      </c>
      <c r="AE74" s="192">
        <v>0</v>
      </c>
      <c r="AF74" s="125">
        <f>ROUND(AE74*Valores!$C$2,2)</f>
        <v>0</v>
      </c>
      <c r="AG74" s="125">
        <f>ROUND(IF($F$4="NO",Valores!$C$63,Valores!$C$63/2),2)</f>
        <v>9076.17</v>
      </c>
      <c r="AH74" s="125">
        <f t="shared" si="15"/>
        <v>274540.21</v>
      </c>
      <c r="AI74" s="125">
        <f>Valores!$C$31</f>
        <v>0</v>
      </c>
      <c r="AJ74" s="125">
        <f>Valores!$C$88</f>
        <v>0</v>
      </c>
      <c r="AK74" s="125">
        <f>Valores!C$38*B74</f>
        <v>0</v>
      </c>
      <c r="AL74" s="125">
        <f>IF($F$3="NO",0,Valores!$C$56)</f>
        <v>0</v>
      </c>
      <c r="AM74" s="125">
        <f t="shared" si="13"/>
        <v>0</v>
      </c>
      <c r="AN74" s="125">
        <f>AH74*Valores!$C$71</f>
        <v>-30199.423100000004</v>
      </c>
      <c r="AO74" s="125">
        <f>AH74*-Valores!$C$72</f>
        <v>0</v>
      </c>
      <c r="AP74" s="125">
        <f>AH74*Valores!$C$73</f>
        <v>-12354.30945</v>
      </c>
      <c r="AQ74" s="125">
        <f>Valores!$C$100</f>
        <v>-554.86</v>
      </c>
      <c r="AR74" s="125">
        <f>IF($F$5=0,Valores!$C$101,(Valores!$C$101+$F$5*(Valores!$C$101)))</f>
        <v>-550</v>
      </c>
      <c r="AS74" s="125">
        <f t="shared" si="16"/>
        <v>230881.61745000002</v>
      </c>
      <c r="AT74" s="125">
        <f t="shared" si="10"/>
        <v>-30199.423100000004</v>
      </c>
      <c r="AU74" s="125">
        <f>AH74*Valores!$C$74</f>
        <v>-7412.58567</v>
      </c>
      <c r="AV74" s="125">
        <f>AH74*Valores!$C$75</f>
        <v>-823.6206300000001</v>
      </c>
      <c r="AW74" s="125">
        <f t="shared" si="14"/>
        <v>236104.58060000002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2961.64</v>
      </c>
      <c r="G75" s="192">
        <v>1284</v>
      </c>
      <c r="H75" s="125">
        <f>ROUND(G75*Valores!$C$2,2)</f>
        <v>48753.09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12461.33</v>
      </c>
      <c r="N75" s="125">
        <f t="shared" si="11"/>
        <v>0</v>
      </c>
      <c r="O75" s="125">
        <f>Valores!$C$8</f>
        <v>47590.57</v>
      </c>
      <c r="P75" s="125">
        <f>Valores!$D$5</f>
        <v>19410.1</v>
      </c>
      <c r="Q75" s="125">
        <f>Valores!$C$22</f>
        <v>17316.91</v>
      </c>
      <c r="R75" s="125">
        <f>IF($F$4="NO",Valores!$C$44,Valores!$C$44/2)</f>
        <v>13484.02</v>
      </c>
      <c r="S75" s="125">
        <f>Valores!$C$20</f>
        <v>17876.75</v>
      </c>
      <c r="T75" s="125">
        <f aca="true" t="shared" si="17" ref="T75:T138">ROUND(S75*(1+$H$2),2)</f>
        <v>17876.75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Valores!$C$94</f>
        <v>27846.26</v>
      </c>
      <c r="AA75" s="125">
        <f>Valores!$C$25</f>
        <v>793.88</v>
      </c>
      <c r="AB75" s="214">
        <v>0</v>
      </c>
      <c r="AC75" s="125">
        <f t="shared" si="12"/>
        <v>0</v>
      </c>
      <c r="AD75" s="125">
        <f>Valores!$C$26</f>
        <v>793.88</v>
      </c>
      <c r="AE75" s="192">
        <v>0</v>
      </c>
      <c r="AF75" s="125">
        <f>ROUND(AE75*Valores!$C$2,2)</f>
        <v>0</v>
      </c>
      <c r="AG75" s="125">
        <f>ROUND(IF($F$4="NO",Valores!$C$63,Valores!$C$63/2),2)</f>
        <v>9076.17</v>
      </c>
      <c r="AH75" s="125">
        <f t="shared" si="15"/>
        <v>218364.60000000003</v>
      </c>
      <c r="AI75" s="125">
        <f>Valores!$C$31</f>
        <v>0</v>
      </c>
      <c r="AJ75" s="125">
        <f>Valores!$C$87</f>
        <v>0</v>
      </c>
      <c r="AK75" s="125">
        <f>Valores!C$38*B75</f>
        <v>0</v>
      </c>
      <c r="AL75" s="125">
        <f>IF($F$3="NO",0,Valores!$C$56)</f>
        <v>0</v>
      </c>
      <c r="AM75" s="125">
        <f t="shared" si="13"/>
        <v>0</v>
      </c>
      <c r="AN75" s="125">
        <f>AH75*Valores!$C$71</f>
        <v>-24020.106000000003</v>
      </c>
      <c r="AO75" s="125">
        <f>AH75*-Valores!$C$72</f>
        <v>0</v>
      </c>
      <c r="AP75" s="125">
        <f>AH75*Valores!$C$73</f>
        <v>-9826.407000000001</v>
      </c>
      <c r="AQ75" s="125">
        <f>Valores!$C$100</f>
        <v>-554.86</v>
      </c>
      <c r="AR75" s="125">
        <f>IF($F$5=0,Valores!$C$101,(Valores!$C$101+$F$5*(Valores!$C$101)))</f>
        <v>-550</v>
      </c>
      <c r="AS75" s="125">
        <f t="shared" si="16"/>
        <v>183413.227</v>
      </c>
      <c r="AT75" s="125">
        <f t="shared" si="10"/>
        <v>-24020.106000000003</v>
      </c>
      <c r="AU75" s="125">
        <f>AH75*Valores!$C$74</f>
        <v>-5895.8442000000005</v>
      </c>
      <c r="AV75" s="125">
        <f>AH75*Valores!$C$75</f>
        <v>-655.0938000000001</v>
      </c>
      <c r="AW75" s="125">
        <f t="shared" si="14"/>
        <v>187793.55600000004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2961.64</v>
      </c>
      <c r="G76" s="192">
        <v>1284</v>
      </c>
      <c r="H76" s="125">
        <f>ROUND(G76*Valores!$C$2,2)</f>
        <v>48753.09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12461.33</v>
      </c>
      <c r="N76" s="125">
        <f t="shared" si="11"/>
        <v>0</v>
      </c>
      <c r="O76" s="125">
        <f>Valores!$C$8</f>
        <v>47590.57</v>
      </c>
      <c r="P76" s="125">
        <f>Valores!$D$5</f>
        <v>19410.1</v>
      </c>
      <c r="Q76" s="125">
        <f>Valores!$C$22</f>
        <v>17316.91</v>
      </c>
      <c r="R76" s="125">
        <f>IF($F$4="NO",Valores!$C$44,Valores!$C$44/2)</f>
        <v>13484.02</v>
      </c>
      <c r="S76" s="125">
        <f>Valores!$C$20</f>
        <v>17876.75</v>
      </c>
      <c r="T76" s="125">
        <f t="shared" si="17"/>
        <v>17876.75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Valores!$C$94</f>
        <v>27846.26</v>
      </c>
      <c r="AA76" s="125">
        <f>Valores!$C$25</f>
        <v>793.88</v>
      </c>
      <c r="AB76" s="214">
        <v>0</v>
      </c>
      <c r="AC76" s="125">
        <f t="shared" si="12"/>
        <v>0</v>
      </c>
      <c r="AD76" s="125">
        <f>Valores!$C$26</f>
        <v>793.88</v>
      </c>
      <c r="AE76" s="192">
        <v>0</v>
      </c>
      <c r="AF76" s="125">
        <f>ROUND(AE76*Valores!$C$2,2)</f>
        <v>0</v>
      </c>
      <c r="AG76" s="125">
        <f>ROUND(IF($F$4="NO",Valores!$C$63,Valores!$C$63/2),2)</f>
        <v>9076.17</v>
      </c>
      <c r="AH76" s="125">
        <f t="shared" si="15"/>
        <v>218364.60000000003</v>
      </c>
      <c r="AI76" s="125">
        <f>Valores!$C$31</f>
        <v>0</v>
      </c>
      <c r="AJ76" s="125">
        <f>Valores!$C$87</f>
        <v>0</v>
      </c>
      <c r="AK76" s="125">
        <f>Valores!C$38*B76</f>
        <v>0</v>
      </c>
      <c r="AL76" s="125">
        <v>0</v>
      </c>
      <c r="AM76" s="125">
        <f t="shared" si="13"/>
        <v>0</v>
      </c>
      <c r="AN76" s="125">
        <f>AH76*Valores!$C$71</f>
        <v>-24020.106000000003</v>
      </c>
      <c r="AO76" s="125">
        <f>AH76*-Valores!$C$72</f>
        <v>0</v>
      </c>
      <c r="AP76" s="125">
        <f>AH76*Valores!$C$73</f>
        <v>-9826.407000000001</v>
      </c>
      <c r="AQ76" s="125">
        <f>Valores!$C$100</f>
        <v>-554.86</v>
      </c>
      <c r="AR76" s="125">
        <f>IF($F$5=0,Valores!$C$101,(Valores!$C$101+$F$5*(Valores!$C$101)))</f>
        <v>-550</v>
      </c>
      <c r="AS76" s="125">
        <f t="shared" si="16"/>
        <v>183413.227</v>
      </c>
      <c r="AT76" s="125">
        <f t="shared" si="10"/>
        <v>-24020.106000000003</v>
      </c>
      <c r="AU76" s="125">
        <f>AH76*Valores!$C$74</f>
        <v>-5895.8442000000005</v>
      </c>
      <c r="AV76" s="125">
        <f>AH76*Valores!$C$75</f>
        <v>-655.0938000000001</v>
      </c>
      <c r="AW76" s="125">
        <f t="shared" si="14"/>
        <v>187793.55600000004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2961.64</v>
      </c>
      <c r="G77" s="192">
        <v>1284</v>
      </c>
      <c r="H77" s="125">
        <f>ROUND(G77*Valores!$C$2,2)</f>
        <v>48753.09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9779.81</v>
      </c>
      <c r="N77" s="125">
        <f t="shared" si="11"/>
        <v>0</v>
      </c>
      <c r="O77" s="125">
        <f>Valores!$C$14</f>
        <v>37810.16</v>
      </c>
      <c r="P77" s="125">
        <f>Valores!$D$5</f>
        <v>19410.1</v>
      </c>
      <c r="Q77" s="125">
        <f>Valores!$C$22</f>
        <v>17316.91</v>
      </c>
      <c r="R77" s="125">
        <f>IF($F$4="NO",Valores!$C$44,Valores!$C$44/2)</f>
        <v>13484.02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Valores!$C$94</f>
        <v>27846.26</v>
      </c>
      <c r="AA77" s="125">
        <f>Valores!$C$25</f>
        <v>793.88</v>
      </c>
      <c r="AB77" s="214">
        <v>0</v>
      </c>
      <c r="AC77" s="125">
        <f t="shared" si="12"/>
        <v>0</v>
      </c>
      <c r="AD77" s="125">
        <f>Valores!$C$26</f>
        <v>793.88</v>
      </c>
      <c r="AE77" s="192">
        <v>0</v>
      </c>
      <c r="AF77" s="125">
        <f>ROUND(AE77*Valores!$C$2,2)</f>
        <v>0</v>
      </c>
      <c r="AG77" s="125">
        <f>ROUND(IF($F$4="NO",Valores!$C$63,Valores!$C$63/2),2)</f>
        <v>9076.17</v>
      </c>
      <c r="AH77" s="125">
        <f t="shared" si="15"/>
        <v>188025.92</v>
      </c>
      <c r="AI77" s="125">
        <f>Valores!$C$31</f>
        <v>0</v>
      </c>
      <c r="AJ77" s="125">
        <f>Valores!$C$87</f>
        <v>0</v>
      </c>
      <c r="AK77" s="125">
        <f>Valores!C$38*B77</f>
        <v>0</v>
      </c>
      <c r="AL77" s="125">
        <v>0</v>
      </c>
      <c r="AM77" s="125">
        <f t="shared" si="13"/>
        <v>0</v>
      </c>
      <c r="AN77" s="125">
        <f>AH77*Valores!$C$71</f>
        <v>-20682.8512</v>
      </c>
      <c r="AO77" s="125">
        <f>AH77*-Valores!$C$72</f>
        <v>0</v>
      </c>
      <c r="AP77" s="125">
        <f>AH77*Valores!$C$73</f>
        <v>-8461.1664</v>
      </c>
      <c r="AQ77" s="125">
        <f>Valores!$C$100</f>
        <v>-554.86</v>
      </c>
      <c r="AR77" s="125">
        <f>IF($F$5=0,Valores!$C$101,(Valores!$C$101+$F$5*(Valores!$C$101)))</f>
        <v>-550</v>
      </c>
      <c r="AS77" s="125">
        <f t="shared" si="16"/>
        <v>157777.0424</v>
      </c>
      <c r="AT77" s="125">
        <f t="shared" si="10"/>
        <v>-20682.8512</v>
      </c>
      <c r="AU77" s="125">
        <f>AH77*Valores!$C$74</f>
        <v>-5076.69984</v>
      </c>
      <c r="AV77" s="125">
        <f>AH77*Valores!$C$75</f>
        <v>-564.07776</v>
      </c>
      <c r="AW77" s="125">
        <f t="shared" si="14"/>
        <v>161702.2912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3113.52</v>
      </c>
      <c r="G78" s="192">
        <v>2038</v>
      </c>
      <c r="H78" s="125">
        <f>ROUND(G78*Valores!$C$2,2)</f>
        <v>77382.25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16806.18</v>
      </c>
      <c r="N78" s="125">
        <f t="shared" si="11"/>
        <v>0</v>
      </c>
      <c r="O78" s="125">
        <f>Valores!$C$9</f>
        <v>47713.55</v>
      </c>
      <c r="P78" s="125">
        <f>Valores!$D$5</f>
        <v>19410.1</v>
      </c>
      <c r="Q78" s="125">
        <f>Valores!$C$22</f>
        <v>17316.91</v>
      </c>
      <c r="R78" s="125">
        <f>IF($F$4="NO",Valores!$C$44,Valores!$C$44/2)</f>
        <v>13484.02</v>
      </c>
      <c r="S78" s="125">
        <f>Valores!$C$19</f>
        <v>18061.41</v>
      </c>
      <c r="T78" s="125">
        <f t="shared" si="17"/>
        <v>18061.41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Valores!$C$94</f>
        <v>27846.26</v>
      </c>
      <c r="AA78" s="125">
        <f>Valores!$C$25</f>
        <v>793.88</v>
      </c>
      <c r="AB78" s="214">
        <v>0</v>
      </c>
      <c r="AC78" s="125">
        <f t="shared" si="12"/>
        <v>0</v>
      </c>
      <c r="AD78" s="125">
        <f>Valores!$C$26</f>
        <v>793.88</v>
      </c>
      <c r="AE78" s="192">
        <v>0</v>
      </c>
      <c r="AF78" s="125">
        <f>ROUND(AE78*Valores!$C$2,2)</f>
        <v>0</v>
      </c>
      <c r="AG78" s="125">
        <f>ROUND(IF($F$4="NO",Valores!$C$63,Valores!$C$63/2),2)</f>
        <v>9076.17</v>
      </c>
      <c r="AH78" s="125">
        <f t="shared" si="15"/>
        <v>251798.13000000003</v>
      </c>
      <c r="AI78" s="125">
        <f>Valores!$C$31</f>
        <v>0</v>
      </c>
      <c r="AJ78" s="125">
        <f>Valores!$C$87</f>
        <v>0</v>
      </c>
      <c r="AK78" s="125">
        <f>Valores!C$38*B78</f>
        <v>0</v>
      </c>
      <c r="AL78" s="125">
        <f>IF($F$3="NO",0,Valores!$C$56)</f>
        <v>0</v>
      </c>
      <c r="AM78" s="125">
        <f t="shared" si="13"/>
        <v>0</v>
      </c>
      <c r="AN78" s="125">
        <f>AH78*Valores!$C$71</f>
        <v>-27697.794300000005</v>
      </c>
      <c r="AO78" s="125">
        <f>AH78*-Valores!$C$72</f>
        <v>0</v>
      </c>
      <c r="AP78" s="125">
        <f>AH78*Valores!$C$73</f>
        <v>-11330.915850000001</v>
      </c>
      <c r="AQ78" s="125">
        <f>Valores!$C$100</f>
        <v>-554.86</v>
      </c>
      <c r="AR78" s="125">
        <f>IF($F$5=0,Valores!$C$101,(Valores!$C$101+$F$5*(Valores!$C$101)))</f>
        <v>-550</v>
      </c>
      <c r="AS78" s="125">
        <f t="shared" si="16"/>
        <v>211664.55985000002</v>
      </c>
      <c r="AT78" s="125">
        <f t="shared" si="10"/>
        <v>-27697.794300000005</v>
      </c>
      <c r="AU78" s="125">
        <f>AH78*Valores!$C$74</f>
        <v>-6798.549510000001</v>
      </c>
      <c r="AV78" s="125">
        <f>AH78*Valores!$C$75</f>
        <v>-755.3943900000002</v>
      </c>
      <c r="AW78" s="125">
        <f t="shared" si="14"/>
        <v>216546.39180000004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2961.64</v>
      </c>
      <c r="G79" s="192">
        <v>2072</v>
      </c>
      <c r="H79" s="125">
        <f>ROUND(G79*Valores!$C$2,2)</f>
        <v>78673.22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17090.12</v>
      </c>
      <c r="N79" s="125">
        <f t="shared" si="11"/>
        <v>0</v>
      </c>
      <c r="O79" s="125">
        <f>Valores!$C$9</f>
        <v>47713.55</v>
      </c>
      <c r="P79" s="125">
        <f>Valores!$D$5</f>
        <v>19410.1</v>
      </c>
      <c r="Q79" s="125">
        <f>Valores!$C$22</f>
        <v>17316.91</v>
      </c>
      <c r="R79" s="125">
        <f>IF($F$4="NO",Valores!$C$45,Valores!$C$45/2)</f>
        <v>14237.86</v>
      </c>
      <c r="S79" s="125">
        <f>Valores!$C$19</f>
        <v>18061.41</v>
      </c>
      <c r="T79" s="125">
        <f t="shared" si="17"/>
        <v>18061.41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Valores!$C$95</f>
        <v>33415.52</v>
      </c>
      <c r="AA79" s="125">
        <f>Valores!$C$25</f>
        <v>793.88</v>
      </c>
      <c r="AB79" s="214">
        <v>0</v>
      </c>
      <c r="AC79" s="125">
        <f t="shared" si="12"/>
        <v>0</v>
      </c>
      <c r="AD79" s="125">
        <f>Valores!$C$26</f>
        <v>793.88</v>
      </c>
      <c r="AE79" s="192">
        <v>0</v>
      </c>
      <c r="AF79" s="125">
        <f>ROUND(AE79*Valores!$C$2,2)</f>
        <v>0</v>
      </c>
      <c r="AG79" s="125">
        <f>ROUND(IF($F$4="NO",Valores!$C$63,Valores!$C$63/2),2)</f>
        <v>9076.17</v>
      </c>
      <c r="AH79" s="125">
        <f t="shared" si="15"/>
        <v>259544.26000000004</v>
      </c>
      <c r="AI79" s="125">
        <f>Valores!$C$31</f>
        <v>0</v>
      </c>
      <c r="AJ79" s="125">
        <f>Valores!$C$88</f>
        <v>0</v>
      </c>
      <c r="AK79" s="125">
        <f>Valores!C$38*B79</f>
        <v>0</v>
      </c>
      <c r="AL79" s="125">
        <f>IF($F$3="NO",0,Valores!$C$56)</f>
        <v>0</v>
      </c>
      <c r="AM79" s="125">
        <f t="shared" si="13"/>
        <v>0</v>
      </c>
      <c r="AN79" s="125">
        <f>AH79*Valores!$C$71</f>
        <v>-28549.868600000005</v>
      </c>
      <c r="AO79" s="125">
        <f>AH79*-Valores!$C$72</f>
        <v>0</v>
      </c>
      <c r="AP79" s="125">
        <f>AH79*Valores!$C$73</f>
        <v>-11679.4917</v>
      </c>
      <c r="AQ79" s="125">
        <f>Valores!$C$100</f>
        <v>-554.86</v>
      </c>
      <c r="AR79" s="125">
        <f>IF($F$5=0,Valores!$C$101,(Valores!$C$101+$F$5*(Valores!$C$101)))</f>
        <v>-550</v>
      </c>
      <c r="AS79" s="125">
        <f t="shared" si="16"/>
        <v>218210.03970000002</v>
      </c>
      <c r="AT79" s="125">
        <f t="shared" si="10"/>
        <v>-28549.868600000005</v>
      </c>
      <c r="AU79" s="125">
        <f>AH79*Valores!$C$74</f>
        <v>-7007.695020000001</v>
      </c>
      <c r="AV79" s="125">
        <f>AH79*Valores!$C$75</f>
        <v>-778.6327800000001</v>
      </c>
      <c r="AW79" s="125">
        <f t="shared" si="14"/>
        <v>223208.06360000002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2961.64</v>
      </c>
      <c r="G80" s="192">
        <v>1770</v>
      </c>
      <c r="H80" s="125">
        <f>ROUND(G80*Valores!$C$2,2)</f>
        <v>67206.37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15370.09</v>
      </c>
      <c r="N80" s="125">
        <f t="shared" si="11"/>
        <v>0</v>
      </c>
      <c r="O80" s="125">
        <f>Valores!$C$9</f>
        <v>47713.55</v>
      </c>
      <c r="P80" s="125">
        <f>Valores!$D$5</f>
        <v>19410.1</v>
      </c>
      <c r="Q80" s="125">
        <f>Valores!$C$22</f>
        <v>17316.91</v>
      </c>
      <c r="R80" s="125">
        <f>IF($F$4="NO",Valores!$C$45,Valores!$C$45/2)</f>
        <v>14237.86</v>
      </c>
      <c r="S80" s="125">
        <f>Valores!$C$19</f>
        <v>18061.41</v>
      </c>
      <c r="T80" s="125">
        <f t="shared" si="17"/>
        <v>18061.41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Valores!$C$95</f>
        <v>33415.52</v>
      </c>
      <c r="AA80" s="125">
        <f>Valores!$C$25</f>
        <v>793.88</v>
      </c>
      <c r="AB80" s="214">
        <v>0</v>
      </c>
      <c r="AC80" s="125">
        <f t="shared" si="12"/>
        <v>0</v>
      </c>
      <c r="AD80" s="125">
        <f>Valores!$C$26</f>
        <v>793.88</v>
      </c>
      <c r="AE80" s="192">
        <v>0</v>
      </c>
      <c r="AF80" s="125">
        <f>ROUND(AE80*Valores!$C$2,2)</f>
        <v>0</v>
      </c>
      <c r="AG80" s="125">
        <f>ROUND(IF($F$4="NO",Valores!$C$63,Valores!$C$63/2),2)</f>
        <v>9076.17</v>
      </c>
      <c r="AH80" s="125">
        <f t="shared" si="15"/>
        <v>246357.38000000003</v>
      </c>
      <c r="AI80" s="125">
        <f>Valores!$C$31</f>
        <v>0</v>
      </c>
      <c r="AJ80" s="125">
        <f>Valores!$C$88</f>
        <v>0</v>
      </c>
      <c r="AK80" s="125">
        <f>Valores!C$38*B80</f>
        <v>0</v>
      </c>
      <c r="AL80" s="125">
        <f>IF($F$3="NO",0,Valores!$C$56)</f>
        <v>0</v>
      </c>
      <c r="AM80" s="125">
        <f t="shared" si="13"/>
        <v>0</v>
      </c>
      <c r="AN80" s="125">
        <f>AH80*Valores!$C$71</f>
        <v>-27099.311800000003</v>
      </c>
      <c r="AO80" s="125">
        <f>AH80*-Valores!$C$72</f>
        <v>0</v>
      </c>
      <c r="AP80" s="125">
        <f>AH80*Valores!$C$73</f>
        <v>-11086.082100000001</v>
      </c>
      <c r="AQ80" s="125">
        <f>Valores!$C$100</f>
        <v>-554.86</v>
      </c>
      <c r="AR80" s="125">
        <f>IF($F$5=0,Valores!$C$101,(Valores!$C$101+$F$5*(Valores!$C$101)))</f>
        <v>-550</v>
      </c>
      <c r="AS80" s="125">
        <f t="shared" si="16"/>
        <v>207067.12610000002</v>
      </c>
      <c r="AT80" s="125">
        <f t="shared" si="10"/>
        <v>-27099.311800000003</v>
      </c>
      <c r="AU80" s="125">
        <f>AH80*Valores!$C$74</f>
        <v>-6651.649260000001</v>
      </c>
      <c r="AV80" s="125">
        <f>AH80*Valores!$C$75</f>
        <v>-739.0721400000001</v>
      </c>
      <c r="AW80" s="125">
        <f t="shared" si="14"/>
        <v>211867.34680000003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2923.67</v>
      </c>
      <c r="G81" s="192">
        <v>2073</v>
      </c>
      <c r="H81" s="125">
        <f>ROUND(G81*Valores!$C$2,2)</f>
        <v>78711.19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17090.12</v>
      </c>
      <c r="N81" s="125">
        <f t="shared" si="11"/>
        <v>0</v>
      </c>
      <c r="O81" s="125">
        <f>Valores!$C$9</f>
        <v>47713.55</v>
      </c>
      <c r="P81" s="125">
        <f>Valores!$D$5</f>
        <v>19410.1</v>
      </c>
      <c r="Q81" s="125">
        <f>Valores!$C$22</f>
        <v>17316.91</v>
      </c>
      <c r="R81" s="125">
        <f>IF($F$4="NO",Valores!$C$45,Valores!$C$45/2)</f>
        <v>14237.86</v>
      </c>
      <c r="S81" s="125">
        <f>Valores!$C$19</f>
        <v>18061.41</v>
      </c>
      <c r="T81" s="125">
        <f t="shared" si="17"/>
        <v>18061.41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Valores!$C$95</f>
        <v>33415.52</v>
      </c>
      <c r="AA81" s="125">
        <f>Valores!$C$25</f>
        <v>793.88</v>
      </c>
      <c r="AB81" s="214">
        <v>0</v>
      </c>
      <c r="AC81" s="125">
        <f t="shared" si="12"/>
        <v>0</v>
      </c>
      <c r="AD81" s="125">
        <f>Valores!$C$26</f>
        <v>793.88</v>
      </c>
      <c r="AE81" s="192">
        <v>0</v>
      </c>
      <c r="AF81" s="125">
        <f>ROUND(AE81*Valores!$C$2,2)</f>
        <v>0</v>
      </c>
      <c r="AG81" s="125">
        <f>ROUND(IF($F$4="NO",Valores!$C$63,Valores!$C$63/2),2)</f>
        <v>9076.17</v>
      </c>
      <c r="AH81" s="125">
        <f t="shared" si="15"/>
        <v>259544.26000000004</v>
      </c>
      <c r="AI81" s="125">
        <f>Valores!$C$31</f>
        <v>0</v>
      </c>
      <c r="AJ81" s="125">
        <f>Valores!$C$88</f>
        <v>0</v>
      </c>
      <c r="AK81" s="125">
        <f>Valores!C$38*B81</f>
        <v>0</v>
      </c>
      <c r="AL81" s="125">
        <f>IF($F$3="NO",0,Valores!$C$56)</f>
        <v>0</v>
      </c>
      <c r="AM81" s="125">
        <f t="shared" si="13"/>
        <v>0</v>
      </c>
      <c r="AN81" s="125">
        <f>AH81*Valores!$C$71</f>
        <v>-28549.868600000005</v>
      </c>
      <c r="AO81" s="125">
        <f>AH81*-Valores!$C$72</f>
        <v>0</v>
      </c>
      <c r="AP81" s="125">
        <f>AH81*Valores!$C$73</f>
        <v>-11679.4917</v>
      </c>
      <c r="AQ81" s="125">
        <f>Valores!$C$100</f>
        <v>-554.86</v>
      </c>
      <c r="AR81" s="125">
        <f>IF($F$5=0,Valores!$C$101,(Valores!$C$101+$F$5*(Valores!$C$101)))</f>
        <v>-550</v>
      </c>
      <c r="AS81" s="125">
        <f t="shared" si="16"/>
        <v>218210.03970000002</v>
      </c>
      <c r="AT81" s="125">
        <f t="shared" si="10"/>
        <v>-28549.868600000005</v>
      </c>
      <c r="AU81" s="125">
        <f>AH81*Valores!$C$74</f>
        <v>-7007.695020000001</v>
      </c>
      <c r="AV81" s="125">
        <f>AH81*Valores!$C$75</f>
        <v>-778.6327800000001</v>
      </c>
      <c r="AW81" s="125">
        <f t="shared" si="14"/>
        <v>223208.06360000002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2885.7</v>
      </c>
      <c r="G82" s="192">
        <v>1872</v>
      </c>
      <c r="H82" s="125">
        <f>ROUND(G82*Valores!$C$2,2)</f>
        <v>71079.28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15939.64</v>
      </c>
      <c r="N82" s="125">
        <f t="shared" si="11"/>
        <v>0</v>
      </c>
      <c r="O82" s="125">
        <f>Valores!$C$9</f>
        <v>47713.55</v>
      </c>
      <c r="P82" s="125">
        <f>Valores!$D$5</f>
        <v>19410.1</v>
      </c>
      <c r="Q82" s="125">
        <v>0</v>
      </c>
      <c r="R82" s="125">
        <f>IF($F$4="NO",Valores!$C$45,Valores!$C$45/2)</f>
        <v>14237.86</v>
      </c>
      <c r="S82" s="125">
        <f>Valores!$C$19</f>
        <v>18061.41</v>
      </c>
      <c r="T82" s="125">
        <f t="shared" si="17"/>
        <v>18061.41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Valores!$C$95</f>
        <v>33415.52</v>
      </c>
      <c r="AA82" s="125">
        <f>Valores!$C$25</f>
        <v>793.88</v>
      </c>
      <c r="AB82" s="214">
        <v>0</v>
      </c>
      <c r="AC82" s="125">
        <f t="shared" si="12"/>
        <v>0</v>
      </c>
      <c r="AD82" s="125">
        <f>Valores!$C$26</f>
        <v>793.88</v>
      </c>
      <c r="AE82" s="192">
        <v>0</v>
      </c>
      <c r="AF82" s="125">
        <f>ROUND(AE82*Valores!$C$2,2)</f>
        <v>0</v>
      </c>
      <c r="AG82" s="125">
        <f>ROUND(IF($F$4="NO",Valores!$C$63,Valores!$C$63/2),2)</f>
        <v>9076.17</v>
      </c>
      <c r="AH82" s="125">
        <f t="shared" si="15"/>
        <v>233406.99000000002</v>
      </c>
      <c r="AI82" s="125">
        <f>Valores!$C$31</f>
        <v>0</v>
      </c>
      <c r="AJ82" s="125">
        <f>Valores!$C$88</f>
        <v>0</v>
      </c>
      <c r="AK82" s="125">
        <f>Valores!C$38*B82</f>
        <v>0</v>
      </c>
      <c r="AL82" s="125">
        <f>IF($F$3="NO",0,Valores!$C$56)</f>
        <v>0</v>
      </c>
      <c r="AM82" s="125">
        <f t="shared" si="13"/>
        <v>0</v>
      </c>
      <c r="AN82" s="125">
        <f>AH82*Valores!$C$71</f>
        <v>-25674.768900000003</v>
      </c>
      <c r="AO82" s="125">
        <f>AH82*-Valores!$C$72</f>
        <v>0</v>
      </c>
      <c r="AP82" s="125">
        <f>AH82*Valores!$C$73</f>
        <v>-10503.314550000001</v>
      </c>
      <c r="AQ82" s="125">
        <f>Valores!$C$100</f>
        <v>-554.86</v>
      </c>
      <c r="AR82" s="125">
        <f>IF($F$5=0,Valores!$C$101,(Valores!$C$101+$F$5*(Valores!$C$101)))</f>
        <v>-550</v>
      </c>
      <c r="AS82" s="125">
        <f t="shared" si="16"/>
        <v>196124.04655000003</v>
      </c>
      <c r="AT82" s="125">
        <f t="shared" si="10"/>
        <v>-25674.768900000003</v>
      </c>
      <c r="AU82" s="125">
        <f>AH82*Valores!$C$74</f>
        <v>-6301.98873</v>
      </c>
      <c r="AV82" s="125">
        <f>AH82*Valores!$C$75</f>
        <v>-700.2209700000001</v>
      </c>
      <c r="AW82" s="125">
        <f t="shared" si="14"/>
        <v>200730.01140000002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2847.73</v>
      </c>
      <c r="G83" s="192">
        <v>1873</v>
      </c>
      <c r="H83" s="125">
        <f>ROUND(G83*Valores!$C$2,2)</f>
        <v>71117.25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15939.64</v>
      </c>
      <c r="N83" s="125">
        <f t="shared" si="11"/>
        <v>0</v>
      </c>
      <c r="O83" s="125">
        <f>Valores!$C$9</f>
        <v>47713.55</v>
      </c>
      <c r="P83" s="125">
        <f>Valores!$D$5</f>
        <v>19410.1</v>
      </c>
      <c r="Q83" s="125">
        <f>Valores!$C$22</f>
        <v>17316.91</v>
      </c>
      <c r="R83" s="125">
        <f>IF($F$4="NO",Valores!$C$45,Valores!$C$45/2)</f>
        <v>14237.86</v>
      </c>
      <c r="S83" s="125">
        <f>Valores!$C$19</f>
        <v>18061.41</v>
      </c>
      <c r="T83" s="125">
        <f t="shared" si="17"/>
        <v>18061.41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Valores!$C$95</f>
        <v>33415.52</v>
      </c>
      <c r="AA83" s="125">
        <f>Valores!$C$25</f>
        <v>793.88</v>
      </c>
      <c r="AB83" s="214">
        <v>0</v>
      </c>
      <c r="AC83" s="125">
        <f t="shared" si="12"/>
        <v>0</v>
      </c>
      <c r="AD83" s="125">
        <f>Valores!$C$26</f>
        <v>793.88</v>
      </c>
      <c r="AE83" s="192">
        <v>0</v>
      </c>
      <c r="AF83" s="125">
        <f>ROUND(AE83*Valores!$C$2,2)</f>
        <v>0</v>
      </c>
      <c r="AG83" s="125">
        <f>ROUND(IF($F$4="NO",Valores!$C$63,Valores!$C$63/2),2)</f>
        <v>9076.17</v>
      </c>
      <c r="AH83" s="125">
        <f t="shared" si="15"/>
        <v>250723.9</v>
      </c>
      <c r="AI83" s="125">
        <f>Valores!$C$31</f>
        <v>0</v>
      </c>
      <c r="AJ83" s="125">
        <f>Valores!$C$88</f>
        <v>0</v>
      </c>
      <c r="AK83" s="125">
        <f>Valores!C$38*B83</f>
        <v>0</v>
      </c>
      <c r="AL83" s="125">
        <f>IF($F$3="NO",0,Valores!$C$56)</f>
        <v>0</v>
      </c>
      <c r="AM83" s="125">
        <f t="shared" si="13"/>
        <v>0</v>
      </c>
      <c r="AN83" s="125">
        <f>AH83*Valores!$C$71</f>
        <v>-27579.629</v>
      </c>
      <c r="AO83" s="125">
        <f>AH83*-Valores!$C$72</f>
        <v>0</v>
      </c>
      <c r="AP83" s="125">
        <f>AH83*Valores!$C$73</f>
        <v>-11282.575499999999</v>
      </c>
      <c r="AQ83" s="125">
        <f>Valores!$C$100</f>
        <v>-554.86</v>
      </c>
      <c r="AR83" s="125">
        <f>IF($F$5=0,Valores!$C$101,(Valores!$C$101+$F$5*(Valores!$C$101)))</f>
        <v>-550</v>
      </c>
      <c r="AS83" s="125">
        <f t="shared" si="16"/>
        <v>210756.8355</v>
      </c>
      <c r="AT83" s="125">
        <f t="shared" si="10"/>
        <v>-27579.629</v>
      </c>
      <c r="AU83" s="125">
        <f>AH83*Valores!$C$74</f>
        <v>-6769.5453</v>
      </c>
      <c r="AV83" s="125">
        <f>AH83*Valores!$C$75</f>
        <v>-752.1717</v>
      </c>
      <c r="AW83" s="125">
        <f t="shared" si="14"/>
        <v>215622.554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2885.7</v>
      </c>
      <c r="G84" s="192">
        <v>1752</v>
      </c>
      <c r="H84" s="125">
        <f>ROUND(G84*Valores!$C$2,2)</f>
        <v>66522.91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15143.11</v>
      </c>
      <c r="N84" s="125">
        <f t="shared" si="11"/>
        <v>0</v>
      </c>
      <c r="O84" s="125">
        <f>Valores!$C$8</f>
        <v>47590.57</v>
      </c>
      <c r="P84" s="125">
        <f>Valores!$D$5</f>
        <v>19410.1</v>
      </c>
      <c r="Q84" s="125">
        <f>Valores!$C$22</f>
        <v>17316.91</v>
      </c>
      <c r="R84" s="125">
        <f>IF($F$4="NO",Valores!$C$44,Valores!$C$44/2)</f>
        <v>13484.02</v>
      </c>
      <c r="S84" s="125">
        <f>Valores!$C$19</f>
        <v>18061.41</v>
      </c>
      <c r="T84" s="125">
        <f t="shared" si="17"/>
        <v>18061.41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Valores!$C$94</f>
        <v>27846.26</v>
      </c>
      <c r="AA84" s="125">
        <f>Valores!$C$25</f>
        <v>793.88</v>
      </c>
      <c r="AB84" s="214">
        <v>0</v>
      </c>
      <c r="AC84" s="125">
        <f t="shared" si="12"/>
        <v>0</v>
      </c>
      <c r="AD84" s="125">
        <f>Valores!$C$26</f>
        <v>793.88</v>
      </c>
      <c r="AE84" s="192">
        <v>0</v>
      </c>
      <c r="AF84" s="125">
        <f>ROUND(AE84*Valores!$C$2,2)</f>
        <v>0</v>
      </c>
      <c r="AG84" s="125">
        <f>ROUND(IF($F$4="NO",Valores!$C$63,Valores!$C$63/2),2)</f>
        <v>9076.17</v>
      </c>
      <c r="AH84" s="125">
        <f t="shared" si="15"/>
        <v>238924.92000000004</v>
      </c>
      <c r="AI84" s="125">
        <f>Valores!$C$31</f>
        <v>0</v>
      </c>
      <c r="AJ84" s="125">
        <f>Valores!$C$87</f>
        <v>0</v>
      </c>
      <c r="AK84" s="125">
        <f>Valores!C$38*B84</f>
        <v>0</v>
      </c>
      <c r="AL84" s="125">
        <f>IF($F$3="NO",0,Valores!$C$56)</f>
        <v>0</v>
      </c>
      <c r="AM84" s="125">
        <f t="shared" si="13"/>
        <v>0</v>
      </c>
      <c r="AN84" s="125">
        <f>AH84*Valores!$C$71</f>
        <v>-26281.741200000004</v>
      </c>
      <c r="AO84" s="125">
        <f>AH84*-Valores!$C$72</f>
        <v>0</v>
      </c>
      <c r="AP84" s="125">
        <f>AH84*Valores!$C$73</f>
        <v>-10751.621400000002</v>
      </c>
      <c r="AQ84" s="125">
        <f>Valores!$C$100</f>
        <v>-554.86</v>
      </c>
      <c r="AR84" s="125">
        <f>IF($F$5=0,Valores!$C$101,(Valores!$C$101+$F$5*(Valores!$C$101)))</f>
        <v>-550</v>
      </c>
      <c r="AS84" s="125">
        <f t="shared" si="16"/>
        <v>200786.69740000003</v>
      </c>
      <c r="AT84" s="125">
        <f t="shared" si="10"/>
        <v>-26281.741200000004</v>
      </c>
      <c r="AU84" s="125">
        <f>AH84*Valores!$C$74</f>
        <v>-6450.972840000001</v>
      </c>
      <c r="AV84" s="125">
        <f>AH84*Valores!$C$75</f>
        <v>-716.7747600000001</v>
      </c>
      <c r="AW84" s="125">
        <f t="shared" si="14"/>
        <v>205475.43120000005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2961.64</v>
      </c>
      <c r="G85" s="192">
        <v>1770</v>
      </c>
      <c r="H85" s="125">
        <f>ROUND(G85*Valores!$C$2,2)</f>
        <v>67206.37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15143.06</v>
      </c>
      <c r="N85" s="125">
        <f t="shared" si="11"/>
        <v>0</v>
      </c>
      <c r="O85" s="125">
        <f>Valores!$C$10</f>
        <v>38855.92</v>
      </c>
      <c r="P85" s="125">
        <f>Valores!$D$5</f>
        <v>19410.1</v>
      </c>
      <c r="Q85" s="125">
        <f>Valores!$C$22</f>
        <v>17316.91</v>
      </c>
      <c r="R85" s="125">
        <f>IF($F$4="NO",Valores!$C$43,Valores!$C$43/2)</f>
        <v>12724.28</v>
      </c>
      <c r="S85" s="125">
        <f>Valores!$C$19</f>
        <v>18061.41</v>
      </c>
      <c r="T85" s="125">
        <f t="shared" si="17"/>
        <v>18061.41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Valores!$C$94</f>
        <v>27846.26</v>
      </c>
      <c r="AA85" s="125">
        <f>Valores!$C$25</f>
        <v>793.88</v>
      </c>
      <c r="AB85" s="214">
        <v>0</v>
      </c>
      <c r="AC85" s="125">
        <f t="shared" si="12"/>
        <v>0</v>
      </c>
      <c r="AD85" s="125">
        <f>Valores!$C$26</f>
        <v>793.88</v>
      </c>
      <c r="AE85" s="192">
        <v>0</v>
      </c>
      <c r="AF85" s="125">
        <f>ROUND(AE85*Valores!$C$2,2)</f>
        <v>0</v>
      </c>
      <c r="AG85" s="125">
        <f>ROUND(IF($F$4="NO",Valores!$C$63,Valores!$C$63/2),2)</f>
        <v>9076.17</v>
      </c>
      <c r="AH85" s="125">
        <f t="shared" si="15"/>
        <v>230189.88000000003</v>
      </c>
      <c r="AI85" s="125">
        <f>Valores!$C$31</f>
        <v>0</v>
      </c>
      <c r="AJ85" s="125">
        <f>Valores!$C$87</f>
        <v>0</v>
      </c>
      <c r="AK85" s="125">
        <f>Valores!C$38*B85</f>
        <v>0</v>
      </c>
      <c r="AL85" s="125">
        <f>IF($F$3="NO",0,Valores!$C$56)</f>
        <v>0</v>
      </c>
      <c r="AM85" s="125">
        <f t="shared" si="13"/>
        <v>0</v>
      </c>
      <c r="AN85" s="125">
        <f>AH85*Valores!$C$71</f>
        <v>-25320.886800000004</v>
      </c>
      <c r="AO85" s="125">
        <f>AH85*-Valores!$C$72</f>
        <v>0</v>
      </c>
      <c r="AP85" s="125">
        <f>AH85*Valores!$C$73</f>
        <v>-10358.544600000001</v>
      </c>
      <c r="AQ85" s="125">
        <f>Valores!$C$100</f>
        <v>-554.86</v>
      </c>
      <c r="AR85" s="125">
        <f>IF($F$5=0,Valores!$C$101,(Valores!$C$101+$F$5*(Valores!$C$101)))</f>
        <v>-550</v>
      </c>
      <c r="AS85" s="125">
        <f t="shared" si="16"/>
        <v>193405.58860000002</v>
      </c>
      <c r="AT85" s="125">
        <f t="shared" si="10"/>
        <v>-25320.886800000004</v>
      </c>
      <c r="AU85" s="125">
        <f>AH85*Valores!$C$74</f>
        <v>-6215.126760000001</v>
      </c>
      <c r="AV85" s="125">
        <f>AH85*Valores!$C$75</f>
        <v>-690.5696400000002</v>
      </c>
      <c r="AW85" s="125">
        <f t="shared" si="14"/>
        <v>197963.2968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2885.7</v>
      </c>
      <c r="G86" s="192">
        <v>1872</v>
      </c>
      <c r="H86" s="125">
        <f>ROUND(G86*Valores!$C$2,2)</f>
        <v>71079.28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15712.6</v>
      </c>
      <c r="N86" s="125">
        <f t="shared" si="11"/>
        <v>0</v>
      </c>
      <c r="O86" s="125">
        <f>Valores!$C$10</f>
        <v>38855.92</v>
      </c>
      <c r="P86" s="125">
        <f>Valores!$D$5</f>
        <v>19410.1</v>
      </c>
      <c r="Q86" s="125">
        <v>0</v>
      </c>
      <c r="R86" s="125">
        <f>IF($F$4="NO",Valores!$C$43,Valores!$C$43/2)</f>
        <v>12724.28</v>
      </c>
      <c r="S86" s="125">
        <f>Valores!$C$19</f>
        <v>18061.41</v>
      </c>
      <c r="T86" s="125">
        <f t="shared" si="17"/>
        <v>18061.41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Valores!$C$94</f>
        <v>27846.26</v>
      </c>
      <c r="AA86" s="125">
        <f>Valores!$C$25</f>
        <v>793.88</v>
      </c>
      <c r="AB86" s="214">
        <v>0</v>
      </c>
      <c r="AC86" s="125">
        <f t="shared" si="12"/>
        <v>0</v>
      </c>
      <c r="AD86" s="125">
        <f>Valores!$C$26</f>
        <v>793.88</v>
      </c>
      <c r="AE86" s="192">
        <v>0</v>
      </c>
      <c r="AF86" s="125">
        <f>ROUND(AE86*Valores!$C$2,2)</f>
        <v>0</v>
      </c>
      <c r="AG86" s="125">
        <f>ROUND(IF($F$4="NO",Valores!$C$63,Valores!$C$63/2),2)</f>
        <v>9076.17</v>
      </c>
      <c r="AH86" s="125">
        <f t="shared" si="15"/>
        <v>217239.48000000004</v>
      </c>
      <c r="AI86" s="125">
        <f>Valores!$C$31</f>
        <v>0</v>
      </c>
      <c r="AJ86" s="125">
        <f>Valores!$C$87</f>
        <v>0</v>
      </c>
      <c r="AK86" s="125">
        <f>Valores!C$38*B86</f>
        <v>0</v>
      </c>
      <c r="AL86" s="125">
        <f>IF($F$3="NO",0,Valores!$C$56)</f>
        <v>0</v>
      </c>
      <c r="AM86" s="125">
        <f t="shared" si="13"/>
        <v>0</v>
      </c>
      <c r="AN86" s="125">
        <f>AH86*Valores!$C$71</f>
        <v>-23896.342800000006</v>
      </c>
      <c r="AO86" s="125">
        <f>AH86*-Valores!$C$72</f>
        <v>0</v>
      </c>
      <c r="AP86" s="125">
        <f>AH86*Valores!$C$73</f>
        <v>-9775.776600000001</v>
      </c>
      <c r="AQ86" s="125">
        <f>Valores!$C$100</f>
        <v>-554.86</v>
      </c>
      <c r="AR86" s="125">
        <f>IF($F$5=0,Valores!$C$101,(Valores!$C$101+$F$5*(Valores!$C$101)))</f>
        <v>-550</v>
      </c>
      <c r="AS86" s="125">
        <f t="shared" si="16"/>
        <v>182462.50060000003</v>
      </c>
      <c r="AT86" s="125">
        <f t="shared" si="10"/>
        <v>-23896.342800000006</v>
      </c>
      <c r="AU86" s="125">
        <f>AH86*Valores!$C$74</f>
        <v>-5865.465960000001</v>
      </c>
      <c r="AV86" s="125">
        <f>AH86*Valores!$C$75</f>
        <v>-651.7184400000001</v>
      </c>
      <c r="AW86" s="125">
        <f t="shared" si="14"/>
        <v>186825.95280000003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6416.88</v>
      </c>
      <c r="G87" s="192">
        <f>1997</f>
        <v>1997</v>
      </c>
      <c r="H87" s="125">
        <f>ROUND(G87*Valores!$C$2,2)</f>
        <v>75825.49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17068.17</v>
      </c>
      <c r="N87" s="125">
        <f t="shared" si="11"/>
        <v>0</v>
      </c>
      <c r="O87" s="125">
        <f>Valores!$C$9</f>
        <v>47713.55</v>
      </c>
      <c r="P87" s="125">
        <f>Valores!$D$5</f>
        <v>19410.1</v>
      </c>
      <c r="Q87" s="125">
        <f>Valores!$C$22</f>
        <v>17316.91</v>
      </c>
      <c r="R87" s="125">
        <f>IF($F$4="NO",Valores!$C$44,Valores!$C$44/2)</f>
        <v>13484.02</v>
      </c>
      <c r="S87" s="125">
        <f>Valores!$C$19</f>
        <v>18061.41</v>
      </c>
      <c r="T87" s="125">
        <f t="shared" si="17"/>
        <v>18061.41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Valores!$C$94</f>
        <v>27846.26</v>
      </c>
      <c r="AA87" s="125">
        <f>Valores!$C$25</f>
        <v>793.88</v>
      </c>
      <c r="AB87" s="214">
        <v>0</v>
      </c>
      <c r="AC87" s="125">
        <f t="shared" si="12"/>
        <v>0</v>
      </c>
      <c r="AD87" s="125">
        <f>Valores!$C$26</f>
        <v>793.88</v>
      </c>
      <c r="AE87" s="192">
        <v>0</v>
      </c>
      <c r="AF87" s="125">
        <f>ROUND(AE87*Valores!$C$2,2)</f>
        <v>0</v>
      </c>
      <c r="AG87" s="125">
        <f>ROUND(IF($F$4="NO",Valores!$C$63,Valores!$C$63/2),2)</f>
        <v>9076.17</v>
      </c>
      <c r="AH87" s="125">
        <f t="shared" si="15"/>
        <v>253806.72000000006</v>
      </c>
      <c r="AI87" s="125">
        <f>Valores!$C$31</f>
        <v>0</v>
      </c>
      <c r="AJ87" s="125">
        <f>Valores!$C$87</f>
        <v>0</v>
      </c>
      <c r="AK87" s="125">
        <f>Valores!C$38*B87</f>
        <v>0</v>
      </c>
      <c r="AL87" s="125">
        <f>IF($F$3="NO",0,Valores!$C$56)</f>
        <v>0</v>
      </c>
      <c r="AM87" s="125">
        <f t="shared" si="13"/>
        <v>0</v>
      </c>
      <c r="AN87" s="125">
        <f>AH87*Valores!$C$71</f>
        <v>-27918.739200000007</v>
      </c>
      <c r="AO87" s="125">
        <f>AH87*-Valores!$C$72</f>
        <v>0</v>
      </c>
      <c r="AP87" s="125">
        <f>AH87*Valores!$C$73</f>
        <v>-11421.302400000002</v>
      </c>
      <c r="AQ87" s="125">
        <f>Valores!$C$100</f>
        <v>-554.86</v>
      </c>
      <c r="AR87" s="125">
        <f>IF($F$5=0,Valores!$C$101,(Valores!$C$101+$F$5*(Valores!$C$101)))</f>
        <v>-550</v>
      </c>
      <c r="AS87" s="125">
        <f t="shared" si="16"/>
        <v>213361.81840000005</v>
      </c>
      <c r="AT87" s="125">
        <f t="shared" si="10"/>
        <v>-27918.739200000007</v>
      </c>
      <c r="AU87" s="125">
        <f>AH87*Valores!$C$74</f>
        <v>-6852.781440000002</v>
      </c>
      <c r="AV87" s="125">
        <f>AH87*Valores!$C$75</f>
        <v>-761.4201600000002</v>
      </c>
      <c r="AW87" s="125">
        <f t="shared" si="14"/>
        <v>218273.77920000005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8277.39</v>
      </c>
      <c r="G88" s="192">
        <f>1997</f>
        <v>1997</v>
      </c>
      <c r="H88" s="125">
        <f>ROUND(G88*Valores!$C$2,2)</f>
        <v>75825.49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17347.25</v>
      </c>
      <c r="N88" s="125">
        <f t="shared" si="11"/>
        <v>0</v>
      </c>
      <c r="O88" s="125">
        <f>Valores!$C$15</f>
        <v>54863.42</v>
      </c>
      <c r="P88" s="125">
        <f>Valores!$D$5</f>
        <v>19410.1</v>
      </c>
      <c r="Q88" s="125">
        <f>Valores!$C$22</f>
        <v>17316.91</v>
      </c>
      <c r="R88" s="125">
        <f>IF($F$4="NO",Valores!$C$44,Valores!$C$44/2)</f>
        <v>13484.02</v>
      </c>
      <c r="S88" s="125">
        <f>Valores!$C$19</f>
        <v>18061.41</v>
      </c>
      <c r="T88" s="125">
        <f t="shared" si="17"/>
        <v>18061.41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Valores!$C$94</f>
        <v>27846.26</v>
      </c>
      <c r="AA88" s="125">
        <f>Valores!$C$25</f>
        <v>793.88</v>
      </c>
      <c r="AB88" s="214">
        <v>0</v>
      </c>
      <c r="AC88" s="125">
        <f t="shared" si="12"/>
        <v>0</v>
      </c>
      <c r="AD88" s="125">
        <f>Valores!$C$26</f>
        <v>793.88</v>
      </c>
      <c r="AE88" s="192">
        <v>0</v>
      </c>
      <c r="AF88" s="125">
        <f>ROUND(AE88*Valores!$C$2,2)</f>
        <v>0</v>
      </c>
      <c r="AG88" s="125">
        <f>ROUND(IF($F$4="NO",Valores!$C$63,Valores!$C$63/2),2)</f>
        <v>9076.17</v>
      </c>
      <c r="AH88" s="125">
        <f t="shared" si="15"/>
        <v>263096.18</v>
      </c>
      <c r="AI88" s="125">
        <f>Valores!$C$31</f>
        <v>0</v>
      </c>
      <c r="AJ88" s="125">
        <f>Valores!$C$87</f>
        <v>0</v>
      </c>
      <c r="AK88" s="125">
        <f>Valores!C$38*B88</f>
        <v>0</v>
      </c>
      <c r="AL88" s="125">
        <f>IF($F$3="NO",0,Valores!$C$56)</f>
        <v>0</v>
      </c>
      <c r="AM88" s="125">
        <f t="shared" si="13"/>
        <v>0</v>
      </c>
      <c r="AN88" s="125">
        <f>AH88*Valores!$C$71</f>
        <v>-28940.5798</v>
      </c>
      <c r="AO88" s="125">
        <f>AH88*-Valores!$C$72</f>
        <v>0</v>
      </c>
      <c r="AP88" s="125">
        <f>AH88*Valores!$C$73</f>
        <v>-11839.328099999999</v>
      </c>
      <c r="AQ88" s="125">
        <f>Valores!$C$100</f>
        <v>-554.86</v>
      </c>
      <c r="AR88" s="125">
        <f>IF($F$5=0,Valores!$C$101,(Valores!$C$101+$F$5*(Valores!$C$101)))</f>
        <v>-550</v>
      </c>
      <c r="AS88" s="125">
        <f t="shared" si="16"/>
        <v>221211.4121</v>
      </c>
      <c r="AT88" s="125">
        <f t="shared" si="10"/>
        <v>-28940.5798</v>
      </c>
      <c r="AU88" s="125">
        <f>AH88*Valores!$C$74</f>
        <v>-7103.59686</v>
      </c>
      <c r="AV88" s="125">
        <f>AH88*Valores!$C$75</f>
        <v>-789.28854</v>
      </c>
      <c r="AW88" s="125">
        <f t="shared" si="14"/>
        <v>226262.7148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8277.39</v>
      </c>
      <c r="G89" s="192">
        <f>1997</f>
        <v>1997</v>
      </c>
      <c r="H89" s="125">
        <f>ROUND(G89*Valores!$C$2,2)</f>
        <v>75825.49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17347.25</v>
      </c>
      <c r="N89" s="125">
        <f t="shared" si="11"/>
        <v>0</v>
      </c>
      <c r="O89" s="125">
        <f>Valores!$C$15</f>
        <v>54863.42</v>
      </c>
      <c r="P89" s="125">
        <f>Valores!$D$5</f>
        <v>19410.1</v>
      </c>
      <c r="Q89" s="125">
        <f>Valores!$C$22</f>
        <v>17316.91</v>
      </c>
      <c r="R89" s="125">
        <f>IF($F$4="NO",Valores!$C$44,Valores!$C$44/2)</f>
        <v>13484.02</v>
      </c>
      <c r="S89" s="125">
        <f>Valores!$C$19</f>
        <v>18061.41</v>
      </c>
      <c r="T89" s="125">
        <f t="shared" si="17"/>
        <v>18061.41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Valores!$C$94</f>
        <v>27846.26</v>
      </c>
      <c r="AA89" s="125">
        <f>Valores!$C$25</f>
        <v>793.88</v>
      </c>
      <c r="AB89" s="214">
        <v>0</v>
      </c>
      <c r="AC89" s="125">
        <f t="shared" si="12"/>
        <v>0</v>
      </c>
      <c r="AD89" s="125">
        <f>Valores!$C$26</f>
        <v>793.88</v>
      </c>
      <c r="AE89" s="192">
        <v>19</v>
      </c>
      <c r="AF89" s="125">
        <f>ROUND(AE89*Valores!$C$2,2)</f>
        <v>721.42</v>
      </c>
      <c r="AG89" s="125">
        <f>ROUND(IF($F$4="NO",Valores!$C$63,Valores!$C$63/2),2)</f>
        <v>9076.17</v>
      </c>
      <c r="AH89" s="125">
        <f t="shared" si="15"/>
        <v>263817.60000000003</v>
      </c>
      <c r="AI89" s="125">
        <f>Valores!$C$31</f>
        <v>0</v>
      </c>
      <c r="AJ89" s="125">
        <f>Valores!$C$87</f>
        <v>0</v>
      </c>
      <c r="AK89" s="125">
        <f>Valores!C$38*B89</f>
        <v>0</v>
      </c>
      <c r="AL89" s="125">
        <f>IF($F$3="NO",0,Valores!$C$56)</f>
        <v>0</v>
      </c>
      <c r="AM89" s="125">
        <f t="shared" si="13"/>
        <v>0</v>
      </c>
      <c r="AN89" s="125">
        <f>AH89*Valores!$C$71</f>
        <v>-29019.936000000005</v>
      </c>
      <c r="AO89" s="125">
        <f>AH89*-Valores!$C$72</f>
        <v>0</v>
      </c>
      <c r="AP89" s="125">
        <f>AH89*Valores!$C$73</f>
        <v>-11871.792000000001</v>
      </c>
      <c r="AQ89" s="125">
        <f>Valores!$C$100</f>
        <v>-554.86</v>
      </c>
      <c r="AR89" s="125">
        <f>IF($F$5=0,Valores!$C$101,(Valores!$C$101+$F$5*(Valores!$C$101)))</f>
        <v>-550</v>
      </c>
      <c r="AS89" s="125">
        <f t="shared" si="16"/>
        <v>221821.01200000005</v>
      </c>
      <c r="AT89" s="125">
        <f t="shared" si="10"/>
        <v>-29019.936000000005</v>
      </c>
      <c r="AU89" s="125">
        <f>AH89*Valores!$C$74</f>
        <v>-7123.075200000001</v>
      </c>
      <c r="AV89" s="125">
        <f>AH89*Valores!$C$75</f>
        <v>-791.4528000000001</v>
      </c>
      <c r="AW89" s="125">
        <f t="shared" si="14"/>
        <v>226883.13600000003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7100.33</v>
      </c>
      <c r="G90" s="192">
        <v>1704</v>
      </c>
      <c r="H90" s="125">
        <f>ROUND(G90*Valores!$C$2,2)</f>
        <v>64700.37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15501.92</v>
      </c>
      <c r="N90" s="125">
        <f t="shared" si="11"/>
        <v>0</v>
      </c>
      <c r="O90" s="125">
        <f>Valores!$C$9</f>
        <v>47713.55</v>
      </c>
      <c r="P90" s="125">
        <f>Valores!$D$5</f>
        <v>19410.1</v>
      </c>
      <c r="Q90" s="125">
        <f>Valores!$C$22</f>
        <v>17316.91</v>
      </c>
      <c r="R90" s="125">
        <f>IF($F$4="NO",Valores!$C$44,Valores!$C$44/2)</f>
        <v>13484.02</v>
      </c>
      <c r="S90" s="125">
        <f>Valores!$C$19</f>
        <v>18061.41</v>
      </c>
      <c r="T90" s="125">
        <f t="shared" si="17"/>
        <v>18061.41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Valores!$C$94</f>
        <v>27846.26</v>
      </c>
      <c r="AA90" s="125">
        <f>Valores!$C$25</f>
        <v>793.88</v>
      </c>
      <c r="AB90" s="214">
        <v>0</v>
      </c>
      <c r="AC90" s="125">
        <f t="shared" si="12"/>
        <v>0</v>
      </c>
      <c r="AD90" s="125">
        <f>Valores!$C$26</f>
        <v>793.88</v>
      </c>
      <c r="AE90" s="192">
        <v>0</v>
      </c>
      <c r="AF90" s="125">
        <f>ROUND(AE90*Valores!$C$2,2)</f>
        <v>0</v>
      </c>
      <c r="AG90" s="125">
        <f>ROUND(IF($F$4="NO",Valores!$C$63,Valores!$C$63/2),2)</f>
        <v>9076.17</v>
      </c>
      <c r="AH90" s="125">
        <f t="shared" si="15"/>
        <v>241798.80000000002</v>
      </c>
      <c r="AI90" s="125">
        <f>Valores!$C$31</f>
        <v>0</v>
      </c>
      <c r="AJ90" s="125">
        <f>Valores!$C$87</f>
        <v>0</v>
      </c>
      <c r="AK90" s="125">
        <f>Valores!C$38*B90</f>
        <v>0</v>
      </c>
      <c r="AL90" s="125">
        <f>IF($F$3="NO",0,Valores!$C$56)</f>
        <v>0</v>
      </c>
      <c r="AM90" s="125">
        <f t="shared" si="13"/>
        <v>0</v>
      </c>
      <c r="AN90" s="125">
        <f>AH90*Valores!$C$71</f>
        <v>-26597.868000000002</v>
      </c>
      <c r="AO90" s="125">
        <f>AH90*-Valores!$C$72</f>
        <v>0</v>
      </c>
      <c r="AP90" s="125">
        <f>AH90*Valores!$C$73</f>
        <v>-10880.946</v>
      </c>
      <c r="AQ90" s="125">
        <f>Valores!$C$100</f>
        <v>-554.86</v>
      </c>
      <c r="AR90" s="125">
        <f>IF($F$5=0,Valores!$C$101,(Valores!$C$101+$F$5*(Valores!$C$101)))</f>
        <v>-550</v>
      </c>
      <c r="AS90" s="125">
        <f t="shared" si="16"/>
        <v>203215.12600000002</v>
      </c>
      <c r="AT90" s="125">
        <f t="shared" si="10"/>
        <v>-26597.868000000002</v>
      </c>
      <c r="AU90" s="125">
        <f>AH90*Valores!$C$74</f>
        <v>-6528.5676</v>
      </c>
      <c r="AV90" s="125">
        <f>AH90*Valores!$C$75</f>
        <v>-725.3964000000001</v>
      </c>
      <c r="AW90" s="125">
        <f t="shared" si="14"/>
        <v>207946.96800000002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7100.33</v>
      </c>
      <c r="G91" s="192">
        <v>1704</v>
      </c>
      <c r="H91" s="125">
        <f>ROUND(G91*Valores!$C$2,2)</f>
        <v>64700.37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15501.92</v>
      </c>
      <c r="N91" s="125">
        <f t="shared" si="11"/>
        <v>0</v>
      </c>
      <c r="O91" s="125">
        <f>Valores!$C$9</f>
        <v>47713.55</v>
      </c>
      <c r="P91" s="125">
        <f>Valores!$D$5</f>
        <v>19410.1</v>
      </c>
      <c r="Q91" s="125">
        <f>Valores!$C$22</f>
        <v>17316.91</v>
      </c>
      <c r="R91" s="125">
        <f>IF($F$4="NO",Valores!$C$44,Valores!$C$44/2)</f>
        <v>13484.02</v>
      </c>
      <c r="S91" s="125">
        <f>Valores!$C$19</f>
        <v>18061.41</v>
      </c>
      <c r="T91" s="125">
        <f t="shared" si="17"/>
        <v>18061.41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Valores!$C$94</f>
        <v>27846.26</v>
      </c>
      <c r="AA91" s="125">
        <f>Valores!$C$25</f>
        <v>793.88</v>
      </c>
      <c r="AB91" s="214">
        <v>0</v>
      </c>
      <c r="AC91" s="125">
        <f t="shared" si="12"/>
        <v>0</v>
      </c>
      <c r="AD91" s="125">
        <f>Valores!$C$26</f>
        <v>793.88</v>
      </c>
      <c r="AE91" s="192">
        <v>19</v>
      </c>
      <c r="AF91" s="125">
        <f>ROUND(AE91*Valores!$C$2,2)</f>
        <v>721.42</v>
      </c>
      <c r="AG91" s="125">
        <f>ROUND(IF($F$4="NO",Valores!$C$63,Valores!$C$63/2),2)</f>
        <v>9076.17</v>
      </c>
      <c r="AH91" s="125">
        <f t="shared" si="15"/>
        <v>242520.22000000003</v>
      </c>
      <c r="AI91" s="125">
        <f>Valores!$C$31</f>
        <v>0</v>
      </c>
      <c r="AJ91" s="125">
        <f>Valores!$C$87</f>
        <v>0</v>
      </c>
      <c r="AK91" s="125">
        <f>Valores!C$38*B91</f>
        <v>0</v>
      </c>
      <c r="AL91" s="125">
        <f>IF($F$3="NO",0,Valores!$C$56)</f>
        <v>0</v>
      </c>
      <c r="AM91" s="125">
        <f t="shared" si="13"/>
        <v>0</v>
      </c>
      <c r="AN91" s="125">
        <f>AH91*Valores!$C$71</f>
        <v>-26677.224200000004</v>
      </c>
      <c r="AO91" s="125">
        <f>AH91*-Valores!$C$72</f>
        <v>0</v>
      </c>
      <c r="AP91" s="125">
        <f>AH91*Valores!$C$73</f>
        <v>-10913.4099</v>
      </c>
      <c r="AQ91" s="125">
        <f>Valores!$C$100</f>
        <v>-554.86</v>
      </c>
      <c r="AR91" s="125">
        <f>IF($F$5=0,Valores!$C$101,(Valores!$C$101+$F$5*(Valores!$C$101)))</f>
        <v>-550</v>
      </c>
      <c r="AS91" s="125">
        <f t="shared" si="16"/>
        <v>203824.72590000002</v>
      </c>
      <c r="AT91" s="125">
        <f t="shared" si="10"/>
        <v>-26677.224200000004</v>
      </c>
      <c r="AU91" s="125">
        <f>AH91*Valores!$C$74</f>
        <v>-6548.045940000001</v>
      </c>
      <c r="AV91" s="125">
        <f>AH91*Valores!$C$75</f>
        <v>-727.5606600000001</v>
      </c>
      <c r="AW91" s="125">
        <f t="shared" si="14"/>
        <v>208567.38920000003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6113.12</v>
      </c>
      <c r="G92" s="192">
        <f>1480</f>
        <v>1480</v>
      </c>
      <c r="H92" s="125">
        <f>ROUND(G92*Valores!$C$2,2)</f>
        <v>56195.16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14078.06</v>
      </c>
      <c r="N92" s="125">
        <f t="shared" si="11"/>
        <v>0</v>
      </c>
      <c r="O92" s="125">
        <f>Valores!$C$9</f>
        <v>47713.55</v>
      </c>
      <c r="P92" s="125">
        <f>Valores!$D$5</f>
        <v>19410.1</v>
      </c>
      <c r="Q92" s="125">
        <f>Valores!$C$22</f>
        <v>17316.91</v>
      </c>
      <c r="R92" s="125">
        <f>IF($F$4="NO",Valores!$C$44,Valores!$C$44/2)</f>
        <v>13484.02</v>
      </c>
      <c r="S92" s="125">
        <f>Valores!$C$19</f>
        <v>18061.41</v>
      </c>
      <c r="T92" s="125">
        <f t="shared" si="17"/>
        <v>18061.41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Valores!$C$94</f>
        <v>27846.26</v>
      </c>
      <c r="AA92" s="125">
        <f>Valores!$C$25</f>
        <v>793.88</v>
      </c>
      <c r="AB92" s="214">
        <v>0</v>
      </c>
      <c r="AC92" s="125">
        <f t="shared" si="12"/>
        <v>0</v>
      </c>
      <c r="AD92" s="125">
        <f>Valores!$C$26</f>
        <v>793.88</v>
      </c>
      <c r="AE92" s="192">
        <v>0</v>
      </c>
      <c r="AF92" s="125">
        <f>ROUND(AE92*Valores!$C$2,2)</f>
        <v>0</v>
      </c>
      <c r="AG92" s="125">
        <f>ROUND(IF($F$4="NO",Valores!$C$63,Valores!$C$63/2),2)</f>
        <v>9076.17</v>
      </c>
      <c r="AH92" s="125">
        <f t="shared" si="15"/>
        <v>230882.52000000005</v>
      </c>
      <c r="AI92" s="125">
        <f>Valores!$C$31</f>
        <v>0</v>
      </c>
      <c r="AJ92" s="125">
        <f>Valores!$C$87</f>
        <v>0</v>
      </c>
      <c r="AK92" s="125">
        <f>Valores!C$38*B92</f>
        <v>0</v>
      </c>
      <c r="AL92" s="125">
        <f>IF($F$3="NO",0,Valores!$C$56)</f>
        <v>0</v>
      </c>
      <c r="AM92" s="125">
        <f t="shared" si="13"/>
        <v>0</v>
      </c>
      <c r="AN92" s="125">
        <f>AH92*Valores!$C$71</f>
        <v>-25397.077200000007</v>
      </c>
      <c r="AO92" s="125">
        <f>AH92*-Valores!$C$72</f>
        <v>0</v>
      </c>
      <c r="AP92" s="125">
        <f>AH92*Valores!$C$73</f>
        <v>-10389.713400000002</v>
      </c>
      <c r="AQ92" s="125">
        <f>Valores!$C$100</f>
        <v>-554.86</v>
      </c>
      <c r="AR92" s="125">
        <f>IF($F$5=0,Valores!$C$101,(Valores!$C$101+$F$5*(Valores!$C$101)))</f>
        <v>-550</v>
      </c>
      <c r="AS92" s="125">
        <f t="shared" si="16"/>
        <v>193990.86940000003</v>
      </c>
      <c r="AT92" s="125">
        <f t="shared" si="10"/>
        <v>-25397.077200000007</v>
      </c>
      <c r="AU92" s="125">
        <f>AH92*Valores!$C$74</f>
        <v>-6233.828040000001</v>
      </c>
      <c r="AV92" s="125">
        <f>AH92*Valores!$C$75</f>
        <v>-692.6475600000001</v>
      </c>
      <c r="AW92" s="125">
        <f t="shared" si="14"/>
        <v>198558.96720000004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6113.12</v>
      </c>
      <c r="G93" s="192">
        <f>1480</f>
        <v>1480</v>
      </c>
      <c r="H93" s="125">
        <f>ROUND(G93*Valores!$C$2,2)</f>
        <v>56195.16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14078.06</v>
      </c>
      <c r="N93" s="125">
        <f t="shared" si="11"/>
        <v>0</v>
      </c>
      <c r="O93" s="125">
        <f>Valores!$C$9</f>
        <v>47713.55</v>
      </c>
      <c r="P93" s="125">
        <f>Valores!$D$5</f>
        <v>19410.1</v>
      </c>
      <c r="Q93" s="125">
        <f>Valores!$C$22</f>
        <v>17316.91</v>
      </c>
      <c r="R93" s="125">
        <f>IF($F$4="NO",Valores!$C$44,Valores!$C$44/2)</f>
        <v>13484.02</v>
      </c>
      <c r="S93" s="125">
        <f>Valores!$C$19</f>
        <v>18061.41</v>
      </c>
      <c r="T93" s="125">
        <f t="shared" si="17"/>
        <v>18061.41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Valores!$C$94</f>
        <v>27846.26</v>
      </c>
      <c r="AA93" s="125">
        <f>Valores!$C$25</f>
        <v>793.88</v>
      </c>
      <c r="AB93" s="214">
        <v>0</v>
      </c>
      <c r="AC93" s="125">
        <f t="shared" si="12"/>
        <v>0</v>
      </c>
      <c r="AD93" s="125">
        <f>Valores!$C$26</f>
        <v>793.88</v>
      </c>
      <c r="AE93" s="192">
        <v>19</v>
      </c>
      <c r="AF93" s="125">
        <f>ROUND(AE93*Valores!$C$2,2)</f>
        <v>721.42</v>
      </c>
      <c r="AG93" s="125">
        <f>ROUND(IF($F$4="NO",Valores!$C$63,Valores!$C$63/2),2)</f>
        <v>9076.17</v>
      </c>
      <c r="AH93" s="125">
        <f t="shared" si="15"/>
        <v>231603.94000000006</v>
      </c>
      <c r="AI93" s="125">
        <f>Valores!$C$31</f>
        <v>0</v>
      </c>
      <c r="AJ93" s="125">
        <f>Valores!$C$87</f>
        <v>0</v>
      </c>
      <c r="AK93" s="125">
        <f>Valores!C$38*B93</f>
        <v>0</v>
      </c>
      <c r="AL93" s="125">
        <f>IF($F$3="NO",0,Valores!$C$56)</f>
        <v>0</v>
      </c>
      <c r="AM93" s="125">
        <f t="shared" si="13"/>
        <v>0</v>
      </c>
      <c r="AN93" s="125">
        <f>AH93*Valores!$C$71</f>
        <v>-25476.433400000005</v>
      </c>
      <c r="AO93" s="125">
        <f>AH93*-Valores!$C$72</f>
        <v>0</v>
      </c>
      <c r="AP93" s="125">
        <f>AH93*Valores!$C$73</f>
        <v>-10422.177300000003</v>
      </c>
      <c r="AQ93" s="125">
        <f>Valores!$C$100</f>
        <v>-554.86</v>
      </c>
      <c r="AR93" s="125">
        <f>IF($F$5=0,Valores!$C$101,(Valores!$C$101+$F$5*(Valores!$C$101)))</f>
        <v>-550</v>
      </c>
      <c r="AS93" s="125">
        <f t="shared" si="16"/>
        <v>194600.46930000006</v>
      </c>
      <c r="AT93" s="125">
        <f t="shared" si="10"/>
        <v>-25476.433400000005</v>
      </c>
      <c r="AU93" s="125">
        <f>AH93*Valores!$C$74</f>
        <v>-6253.306380000002</v>
      </c>
      <c r="AV93" s="125">
        <f>AH93*Valores!$C$75</f>
        <v>-694.8118200000002</v>
      </c>
      <c r="AW93" s="125">
        <f t="shared" si="14"/>
        <v>199179.38840000005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6796.58</v>
      </c>
      <c r="G94" s="192">
        <v>1712</v>
      </c>
      <c r="H94" s="125">
        <f>ROUND(G94*Valores!$C$2,2)</f>
        <v>65004.13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15501.92</v>
      </c>
      <c r="N94" s="125">
        <f t="shared" si="11"/>
        <v>0</v>
      </c>
      <c r="O94" s="125">
        <f>Valores!$C$9</f>
        <v>47713.55</v>
      </c>
      <c r="P94" s="125">
        <f>Valores!$D$5</f>
        <v>19410.1</v>
      </c>
      <c r="Q94" s="125">
        <f>Valores!$C$22</f>
        <v>17316.91</v>
      </c>
      <c r="R94" s="125">
        <f>IF($F$4="NO",Valores!$C$44,Valores!$C$44/2)</f>
        <v>13484.02</v>
      </c>
      <c r="S94" s="125">
        <f>Valores!$C$19</f>
        <v>18061.41</v>
      </c>
      <c r="T94" s="125">
        <f t="shared" si="17"/>
        <v>18061.41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Valores!$C$94</f>
        <v>27846.26</v>
      </c>
      <c r="AA94" s="125">
        <f>Valores!$C$25</f>
        <v>793.88</v>
      </c>
      <c r="AB94" s="214">
        <v>0</v>
      </c>
      <c r="AC94" s="125">
        <f t="shared" si="12"/>
        <v>0</v>
      </c>
      <c r="AD94" s="125">
        <f>Valores!$C$26</f>
        <v>793.88</v>
      </c>
      <c r="AE94" s="192">
        <v>0</v>
      </c>
      <c r="AF94" s="125">
        <f>ROUND(AE94*Valores!$C$2,2)</f>
        <v>0</v>
      </c>
      <c r="AG94" s="125">
        <f>ROUND(IF($F$4="NO",Valores!$C$63,Valores!$C$63/2),2)</f>
        <v>9076.17</v>
      </c>
      <c r="AH94" s="125">
        <f t="shared" si="15"/>
        <v>241798.81000000003</v>
      </c>
      <c r="AI94" s="125">
        <f>Valores!$C$31</f>
        <v>0</v>
      </c>
      <c r="AJ94" s="125">
        <f>Valores!$C$87</f>
        <v>0</v>
      </c>
      <c r="AK94" s="125">
        <f>Valores!C$38*B94</f>
        <v>0</v>
      </c>
      <c r="AL94" s="125">
        <f>IF($F$3="NO",0,Valores!$C$56)</f>
        <v>0</v>
      </c>
      <c r="AM94" s="125">
        <f t="shared" si="13"/>
        <v>0</v>
      </c>
      <c r="AN94" s="125">
        <f>AH94*Valores!$C$71</f>
        <v>-26597.869100000004</v>
      </c>
      <c r="AO94" s="125">
        <f>AH94*-Valores!$C$72</f>
        <v>0</v>
      </c>
      <c r="AP94" s="125">
        <f>AH94*Valores!$C$73</f>
        <v>-10880.946450000001</v>
      </c>
      <c r="AQ94" s="125">
        <f>Valores!$C$100</f>
        <v>-554.86</v>
      </c>
      <c r="AR94" s="125">
        <f>IF($F$5=0,Valores!$C$101,(Valores!$C$101+$F$5*(Valores!$C$101)))</f>
        <v>-550</v>
      </c>
      <c r="AS94" s="125">
        <f t="shared" si="16"/>
        <v>203215.13445</v>
      </c>
      <c r="AT94" s="125">
        <f t="shared" si="10"/>
        <v>-26597.869100000004</v>
      </c>
      <c r="AU94" s="125">
        <f>AH94*Valores!$C$74</f>
        <v>-6528.567870000001</v>
      </c>
      <c r="AV94" s="125">
        <f>AH94*Valores!$C$75</f>
        <v>-725.3964300000001</v>
      </c>
      <c r="AW94" s="125">
        <f t="shared" si="14"/>
        <v>207946.97660000002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2430.06</v>
      </c>
      <c r="G95" s="192">
        <v>2086</v>
      </c>
      <c r="H95" s="125">
        <f>ROUND(G95*Valores!$C$2,2)</f>
        <v>79204.79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17090.12</v>
      </c>
      <c r="N95" s="125">
        <f t="shared" si="11"/>
        <v>0</v>
      </c>
      <c r="O95" s="125">
        <f>Valores!$C$9</f>
        <v>47713.55</v>
      </c>
      <c r="P95" s="125">
        <f>Valores!$D$5</f>
        <v>19410.1</v>
      </c>
      <c r="Q95" s="125">
        <f>Valores!$C$22</f>
        <v>17316.91</v>
      </c>
      <c r="R95" s="125">
        <f>IF($F$4="NO",Valores!$C$45,Valores!$C$45/2)</f>
        <v>14237.86</v>
      </c>
      <c r="S95" s="125">
        <f>Valores!$C$19</f>
        <v>18061.41</v>
      </c>
      <c r="T95" s="125">
        <f t="shared" si="17"/>
        <v>18061.41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Valores!$C$95</f>
        <v>33415.52</v>
      </c>
      <c r="AA95" s="125">
        <f>Valores!$C$25</f>
        <v>793.88</v>
      </c>
      <c r="AB95" s="214">
        <v>0</v>
      </c>
      <c r="AC95" s="125">
        <f t="shared" si="12"/>
        <v>0</v>
      </c>
      <c r="AD95" s="125">
        <f>Valores!$C$26</f>
        <v>793.88</v>
      </c>
      <c r="AE95" s="192">
        <v>0</v>
      </c>
      <c r="AF95" s="125">
        <f>ROUND(AE95*Valores!$C$2,2)</f>
        <v>0</v>
      </c>
      <c r="AG95" s="125">
        <f>ROUND(IF($F$4="NO",Valores!$C$63,Valores!$C$63/2),2)</f>
        <v>9076.17</v>
      </c>
      <c r="AH95" s="125">
        <f t="shared" si="15"/>
        <v>259544.25000000003</v>
      </c>
      <c r="AI95" s="125">
        <f>Valores!$C$31</f>
        <v>0</v>
      </c>
      <c r="AJ95" s="125">
        <f>Valores!$C$88</f>
        <v>0</v>
      </c>
      <c r="AK95" s="125">
        <f>Valores!C$38*B95</f>
        <v>0</v>
      </c>
      <c r="AL95" s="125">
        <f>IF($F$3="NO",0,Valores!$C$56)</f>
        <v>0</v>
      </c>
      <c r="AM95" s="125">
        <f t="shared" si="13"/>
        <v>0</v>
      </c>
      <c r="AN95" s="125">
        <f>AH95*Valores!$C$71</f>
        <v>-28549.867500000004</v>
      </c>
      <c r="AO95" s="125">
        <f>AH95*-Valores!$C$72</f>
        <v>0</v>
      </c>
      <c r="AP95" s="125">
        <f>AH95*Valores!$C$73</f>
        <v>-11679.491250000001</v>
      </c>
      <c r="AQ95" s="125">
        <f>Valores!$C$100</f>
        <v>-554.86</v>
      </c>
      <c r="AR95" s="125">
        <f>IF($F$5=0,Valores!$C$101,(Valores!$C$101+$F$5*(Valores!$C$101)))</f>
        <v>-550</v>
      </c>
      <c r="AS95" s="125">
        <f t="shared" si="16"/>
        <v>218210.03125000003</v>
      </c>
      <c r="AT95" s="125">
        <f t="shared" si="10"/>
        <v>-28549.867500000004</v>
      </c>
      <c r="AU95" s="125">
        <f>AH95*Valores!$C$74</f>
        <v>-7007.694750000001</v>
      </c>
      <c r="AV95" s="125">
        <f>AH95*Valores!$C$75</f>
        <v>-778.6327500000001</v>
      </c>
      <c r="AW95" s="125">
        <f t="shared" si="14"/>
        <v>223208.05500000002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3379.3</v>
      </c>
      <c r="G96" s="192">
        <v>2481</v>
      </c>
      <c r="H96" s="125">
        <f>ROUND(G96*Valores!$C$2,2)</f>
        <v>94202.83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19369.13</v>
      </c>
      <c r="N96" s="125">
        <f t="shared" si="11"/>
        <v>0</v>
      </c>
      <c r="O96" s="125">
        <f>Valores!$C$8</f>
        <v>47590.57</v>
      </c>
      <c r="P96" s="125">
        <f>Valores!$D$5</f>
        <v>19410.1</v>
      </c>
      <c r="Q96" s="125">
        <v>0</v>
      </c>
      <c r="R96" s="125">
        <f>IF($F$4="NO",Valores!$C$44,Valores!$C$44/2)</f>
        <v>13484.02</v>
      </c>
      <c r="S96" s="125">
        <f>Valores!$C$19</f>
        <v>18061.41</v>
      </c>
      <c r="T96" s="125">
        <f t="shared" si="17"/>
        <v>18061.41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Valores!$C$94</f>
        <v>27846.26</v>
      </c>
      <c r="AA96" s="125">
        <f>Valores!$C$25</f>
        <v>793.88</v>
      </c>
      <c r="AB96" s="214">
        <v>0</v>
      </c>
      <c r="AC96" s="125">
        <f t="shared" si="12"/>
        <v>0</v>
      </c>
      <c r="AD96" s="125">
        <f>Valores!$C$26</f>
        <v>793.88</v>
      </c>
      <c r="AE96" s="192">
        <v>0</v>
      </c>
      <c r="AF96" s="125">
        <f>ROUND(AE96*Valores!$C$2,2)</f>
        <v>0</v>
      </c>
      <c r="AG96" s="125">
        <f>ROUND(IF($F$4="NO",Valores!$C$63,Valores!$C$63/2),2)</f>
        <v>9076.17</v>
      </c>
      <c r="AH96" s="125">
        <f t="shared" si="15"/>
        <v>254007.55000000005</v>
      </c>
      <c r="AI96" s="125">
        <f>Valores!$C$31</f>
        <v>0</v>
      </c>
      <c r="AJ96" s="125">
        <f>Valores!$C$87</f>
        <v>0</v>
      </c>
      <c r="AK96" s="125">
        <f>Valores!C$38*B96</f>
        <v>0</v>
      </c>
      <c r="AL96" s="125">
        <f>IF($F$3="NO",0,Valores!$C$56)</f>
        <v>0</v>
      </c>
      <c r="AM96" s="125">
        <f t="shared" si="13"/>
        <v>0</v>
      </c>
      <c r="AN96" s="125">
        <f>AH96*Valores!$C$71</f>
        <v>-27940.830500000004</v>
      </c>
      <c r="AO96" s="125">
        <f>AH96*-Valores!$C$72</f>
        <v>0</v>
      </c>
      <c r="AP96" s="125">
        <f>AH96*Valores!$C$73</f>
        <v>-11430.339750000001</v>
      </c>
      <c r="AQ96" s="125">
        <f>Valores!$C$100</f>
        <v>-554.86</v>
      </c>
      <c r="AR96" s="125">
        <f>IF($F$5=0,Valores!$C$101,(Valores!$C$101+$F$5*(Valores!$C$101)))</f>
        <v>-550</v>
      </c>
      <c r="AS96" s="125">
        <f t="shared" si="16"/>
        <v>213531.51975000004</v>
      </c>
      <c r="AT96" s="125">
        <f t="shared" si="10"/>
        <v>-27940.830500000004</v>
      </c>
      <c r="AU96" s="125">
        <f>AH96*Valores!$C$74</f>
        <v>-6858.203850000001</v>
      </c>
      <c r="AV96" s="125">
        <f>AH96*Valores!$C$75</f>
        <v>-762.0226500000001</v>
      </c>
      <c r="AW96" s="125">
        <f t="shared" si="14"/>
        <v>218446.49300000005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3379.3</v>
      </c>
      <c r="G97" s="192">
        <v>2381</v>
      </c>
      <c r="H97" s="125">
        <f>ROUND(G97*Valores!$C$2,2)</f>
        <v>90405.86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18799.59</v>
      </c>
      <c r="N97" s="125">
        <f t="shared" si="11"/>
        <v>0</v>
      </c>
      <c r="O97" s="125">
        <f>Valores!$C$16</f>
        <v>32810.75</v>
      </c>
      <c r="P97" s="125">
        <f>Valores!$D$5</f>
        <v>19410.1</v>
      </c>
      <c r="Q97" s="125">
        <f>Valores!$C$22</f>
        <v>17316.91</v>
      </c>
      <c r="R97" s="125">
        <f>IF($F$4="NO",Valores!$C$44,Valores!$C$44/2)</f>
        <v>13484.02</v>
      </c>
      <c r="S97" s="125">
        <f>Valores!$C$19</f>
        <v>18061.41</v>
      </c>
      <c r="T97" s="125">
        <f t="shared" si="17"/>
        <v>18061.41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Valores!$C$94</f>
        <v>27846.26</v>
      </c>
      <c r="AA97" s="125">
        <f>Valores!$C$25</f>
        <v>793.88</v>
      </c>
      <c r="AB97" s="214">
        <v>0</v>
      </c>
      <c r="AC97" s="125">
        <f t="shared" si="12"/>
        <v>0</v>
      </c>
      <c r="AD97" s="125">
        <f>Valores!$C$26</f>
        <v>793.88</v>
      </c>
      <c r="AE97" s="192">
        <v>0</v>
      </c>
      <c r="AF97" s="125">
        <f>ROUND(AE97*Valores!$C$2,2)</f>
        <v>0</v>
      </c>
      <c r="AG97" s="125">
        <f>ROUND(IF($F$4="NO",Valores!$C$63,Valores!$C$63/2),2)</f>
        <v>9076.17</v>
      </c>
      <c r="AH97" s="125">
        <f t="shared" si="15"/>
        <v>252178.13000000003</v>
      </c>
      <c r="AI97" s="125">
        <f>Valores!$C$31</f>
        <v>0</v>
      </c>
      <c r="AJ97" s="125">
        <f>Valores!$C$87</f>
        <v>0</v>
      </c>
      <c r="AK97" s="125">
        <f>Valores!C$38*B97</f>
        <v>0</v>
      </c>
      <c r="AL97" s="125">
        <f>IF($F$3="NO",0,Valores!$C$56)</f>
        <v>0</v>
      </c>
      <c r="AM97" s="125">
        <f t="shared" si="13"/>
        <v>0</v>
      </c>
      <c r="AN97" s="125">
        <f>AH97*Valores!$C$71</f>
        <v>-27739.594300000004</v>
      </c>
      <c r="AO97" s="125">
        <f>AH97*-Valores!$C$72</f>
        <v>0</v>
      </c>
      <c r="AP97" s="125">
        <f>AH97*Valores!$C$73</f>
        <v>-11348.015850000002</v>
      </c>
      <c r="AQ97" s="125">
        <f>Valores!$C$100</f>
        <v>-554.86</v>
      </c>
      <c r="AR97" s="125">
        <f>IF($F$5=0,Valores!$C$101,(Valores!$C$101+$F$5*(Valores!$C$101)))</f>
        <v>-550</v>
      </c>
      <c r="AS97" s="125">
        <f t="shared" si="16"/>
        <v>211985.65985000003</v>
      </c>
      <c r="AT97" s="125">
        <f t="shared" si="10"/>
        <v>-27739.594300000004</v>
      </c>
      <c r="AU97" s="125">
        <f>AH97*Valores!$C$74</f>
        <v>-6808.809510000001</v>
      </c>
      <c r="AV97" s="125">
        <f>AH97*Valores!$C$75</f>
        <v>-756.5343900000001</v>
      </c>
      <c r="AW97" s="125">
        <f t="shared" si="14"/>
        <v>216873.19180000003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3379.3</v>
      </c>
      <c r="G98" s="192">
        <v>1768</v>
      </c>
      <c r="H98" s="125">
        <f>ROUND(G98*Valores!$C$2,2)</f>
        <v>67130.43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15308.27</v>
      </c>
      <c r="N98" s="125">
        <f t="shared" si="11"/>
        <v>0</v>
      </c>
      <c r="O98" s="125">
        <f>Valores!$C$16</f>
        <v>32810.75</v>
      </c>
      <c r="P98" s="125">
        <f>Valores!$D$5</f>
        <v>19410.1</v>
      </c>
      <c r="Q98" s="125">
        <f>Valores!$C$22</f>
        <v>17316.91</v>
      </c>
      <c r="R98" s="125">
        <f>IF($F$4="NO",Valores!$C$44,Valores!$C$44/2)</f>
        <v>13484.02</v>
      </c>
      <c r="S98" s="125">
        <f>Valores!$C$19</f>
        <v>18061.41</v>
      </c>
      <c r="T98" s="125">
        <f t="shared" si="17"/>
        <v>18061.41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Valores!$C$94</f>
        <v>27846.26</v>
      </c>
      <c r="AA98" s="125">
        <f>Valores!$C$25</f>
        <v>793.88</v>
      </c>
      <c r="AB98" s="214">
        <v>0</v>
      </c>
      <c r="AC98" s="125">
        <f t="shared" si="12"/>
        <v>0</v>
      </c>
      <c r="AD98" s="125">
        <f>Valores!$C$26</f>
        <v>793.88</v>
      </c>
      <c r="AE98" s="192">
        <v>0</v>
      </c>
      <c r="AF98" s="125">
        <f>ROUND(AE98*Valores!$C$2,2)</f>
        <v>0</v>
      </c>
      <c r="AG98" s="125">
        <f>ROUND(IF($F$4="NO",Valores!$C$63,Valores!$C$63/2),2)</f>
        <v>9076.17</v>
      </c>
      <c r="AH98" s="125">
        <f t="shared" si="15"/>
        <v>225411.38000000003</v>
      </c>
      <c r="AI98" s="125">
        <f>Valores!$C$31</f>
        <v>0</v>
      </c>
      <c r="AJ98" s="125">
        <f>Valores!$C$87</f>
        <v>0</v>
      </c>
      <c r="AK98" s="125">
        <f>Valores!C$38*B98</f>
        <v>0</v>
      </c>
      <c r="AL98" s="125">
        <f>IF($F$3="NO",0,Valores!$C$56)</f>
        <v>0</v>
      </c>
      <c r="AM98" s="125">
        <f t="shared" si="13"/>
        <v>0</v>
      </c>
      <c r="AN98" s="125">
        <f>AH98*Valores!$C$71</f>
        <v>-24795.251800000005</v>
      </c>
      <c r="AO98" s="125">
        <f>AH98*-Valores!$C$72</f>
        <v>0</v>
      </c>
      <c r="AP98" s="125">
        <f>AH98*Valores!$C$73</f>
        <v>-10143.512100000002</v>
      </c>
      <c r="AQ98" s="125">
        <f>Valores!$C$100</f>
        <v>-554.86</v>
      </c>
      <c r="AR98" s="125">
        <f>IF($F$5=0,Valores!$C$101,(Valores!$C$101+$F$5*(Valores!$C$101)))</f>
        <v>-550</v>
      </c>
      <c r="AS98" s="125">
        <f t="shared" si="16"/>
        <v>189367.75610000003</v>
      </c>
      <c r="AT98" s="125">
        <f t="shared" si="10"/>
        <v>-24795.251800000005</v>
      </c>
      <c r="AU98" s="125">
        <f>AH98*Valores!$C$74</f>
        <v>-6086.107260000001</v>
      </c>
      <c r="AV98" s="125">
        <f>AH98*Valores!$C$75</f>
        <v>-676.2341400000001</v>
      </c>
      <c r="AW98" s="125">
        <f t="shared" si="14"/>
        <v>193853.78680000003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3379.3</v>
      </c>
      <c r="G99" s="192">
        <v>1768</v>
      </c>
      <c r="H99" s="125">
        <f>ROUND(G99*Valores!$C$2,2)</f>
        <v>67130.43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15308.27</v>
      </c>
      <c r="N99" s="125">
        <f t="shared" si="11"/>
        <v>0</v>
      </c>
      <c r="O99" s="125">
        <f>Valores!$C$8</f>
        <v>47590.57</v>
      </c>
      <c r="P99" s="125">
        <f>Valores!$D$5</f>
        <v>19410.1</v>
      </c>
      <c r="Q99" s="125">
        <f>Valores!$C$22</f>
        <v>17316.91</v>
      </c>
      <c r="R99" s="125">
        <f>IF($F$4="NO",Valores!$C$44,Valores!$C$44/2)</f>
        <v>13484.02</v>
      </c>
      <c r="S99" s="125">
        <f>Valores!$C$19</f>
        <v>18061.41</v>
      </c>
      <c r="T99" s="125">
        <f t="shared" si="17"/>
        <v>18061.41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Valores!$C$94</f>
        <v>27846.26</v>
      </c>
      <c r="AA99" s="125">
        <f>Valores!$C$25</f>
        <v>793.88</v>
      </c>
      <c r="AB99" s="214">
        <v>0</v>
      </c>
      <c r="AC99" s="125">
        <f t="shared" si="12"/>
        <v>0</v>
      </c>
      <c r="AD99" s="125">
        <f>Valores!$C$26</f>
        <v>793.88</v>
      </c>
      <c r="AE99" s="192">
        <v>0</v>
      </c>
      <c r="AF99" s="125">
        <f>ROUND(AE99*Valores!$C$2,2)</f>
        <v>0</v>
      </c>
      <c r="AG99" s="125">
        <f>ROUND(IF($F$4="NO",Valores!$C$63,Valores!$C$63/2),2)</f>
        <v>9076.17</v>
      </c>
      <c r="AH99" s="125">
        <f t="shared" si="15"/>
        <v>240191.20000000004</v>
      </c>
      <c r="AI99" s="125">
        <f>Valores!$C$31</f>
        <v>0</v>
      </c>
      <c r="AJ99" s="125">
        <f>Valores!$C$87</f>
        <v>0</v>
      </c>
      <c r="AK99" s="125">
        <f>Valores!C$38*B99</f>
        <v>0</v>
      </c>
      <c r="AL99" s="125">
        <f>IF($F$3="NO",0,Valores!$C$56)</f>
        <v>0</v>
      </c>
      <c r="AM99" s="125">
        <f t="shared" si="13"/>
        <v>0</v>
      </c>
      <c r="AN99" s="125">
        <f>AH99*Valores!$C$71</f>
        <v>-26421.032000000003</v>
      </c>
      <c r="AO99" s="125">
        <f>AH99*-Valores!$C$72</f>
        <v>0</v>
      </c>
      <c r="AP99" s="125">
        <f>AH99*Valores!$C$73</f>
        <v>-10808.604000000001</v>
      </c>
      <c r="AQ99" s="125">
        <f>Valores!$C$100</f>
        <v>-554.86</v>
      </c>
      <c r="AR99" s="125">
        <f>IF($F$5=0,Valores!$C$101,(Valores!$C$101+$F$5*(Valores!$C$101)))</f>
        <v>-550</v>
      </c>
      <c r="AS99" s="125">
        <f t="shared" si="16"/>
        <v>201856.70400000003</v>
      </c>
      <c r="AT99" s="125">
        <f t="shared" si="10"/>
        <v>-26421.032000000003</v>
      </c>
      <c r="AU99" s="125">
        <f>AH99*Valores!$C$74</f>
        <v>-6485.162400000001</v>
      </c>
      <c r="AV99" s="125">
        <f>AH99*Valores!$C$75</f>
        <v>-720.5736000000002</v>
      </c>
      <c r="AW99" s="125">
        <f t="shared" si="14"/>
        <v>206564.43200000003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3379.3</v>
      </c>
      <c r="G100" s="192">
        <v>2211</v>
      </c>
      <c r="H100" s="125">
        <f>ROUND(G100*Valores!$C$2,2)</f>
        <v>83951.01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17831.36</v>
      </c>
      <c r="N100" s="125">
        <f t="shared" si="11"/>
        <v>0</v>
      </c>
      <c r="O100" s="125">
        <f>Valores!$C$8</f>
        <v>47590.57</v>
      </c>
      <c r="P100" s="125">
        <f>Valores!$D$5</f>
        <v>19410.1</v>
      </c>
      <c r="Q100" s="125">
        <f>Valores!$C$22</f>
        <v>17316.91</v>
      </c>
      <c r="R100" s="125">
        <f>IF($F$4="NO",Valores!$C$44,Valores!$C$44/2)</f>
        <v>13484.02</v>
      </c>
      <c r="S100" s="125">
        <f>Valores!$C$19</f>
        <v>18061.41</v>
      </c>
      <c r="T100" s="125">
        <f t="shared" si="17"/>
        <v>18061.41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Valores!$C$94</f>
        <v>27846.26</v>
      </c>
      <c r="AA100" s="125">
        <f>Valores!$C$25</f>
        <v>793.88</v>
      </c>
      <c r="AB100" s="214">
        <v>0</v>
      </c>
      <c r="AC100" s="125">
        <f t="shared" si="12"/>
        <v>0</v>
      </c>
      <c r="AD100" s="125">
        <f>Valores!$C$26</f>
        <v>793.88</v>
      </c>
      <c r="AE100" s="192">
        <v>0</v>
      </c>
      <c r="AF100" s="125">
        <f>ROUND(AE100*Valores!$C$2,2)</f>
        <v>0</v>
      </c>
      <c r="AG100" s="125">
        <f>ROUND(IF($F$4="NO",Valores!$C$63,Valores!$C$63/2),2)</f>
        <v>9076.17</v>
      </c>
      <c r="AH100" s="125">
        <f t="shared" si="15"/>
        <v>259534.87000000002</v>
      </c>
      <c r="AI100" s="125">
        <f>Valores!$C$31</f>
        <v>0</v>
      </c>
      <c r="AJ100" s="125">
        <f>Valores!$C$87</f>
        <v>0</v>
      </c>
      <c r="AK100" s="125">
        <f>Valores!C$38*B100</f>
        <v>0</v>
      </c>
      <c r="AL100" s="125">
        <f>IF($F$3="NO",0,Valores!$C$56)</f>
        <v>0</v>
      </c>
      <c r="AM100" s="125">
        <f t="shared" si="13"/>
        <v>0</v>
      </c>
      <c r="AN100" s="125">
        <f>AH100*Valores!$C$71</f>
        <v>-28548.835700000003</v>
      </c>
      <c r="AO100" s="125">
        <f>AH100*-Valores!$C$72</f>
        <v>0</v>
      </c>
      <c r="AP100" s="125">
        <f>AH100*Valores!$C$73</f>
        <v>-11679.069150000001</v>
      </c>
      <c r="AQ100" s="125">
        <f>Valores!$C$100</f>
        <v>-554.86</v>
      </c>
      <c r="AR100" s="125">
        <f>IF($F$5=0,Valores!$C$101,(Valores!$C$101+$F$5*(Valores!$C$101)))</f>
        <v>-550</v>
      </c>
      <c r="AS100" s="125">
        <f t="shared" si="16"/>
        <v>218202.10515000002</v>
      </c>
      <c r="AT100" s="125">
        <f t="shared" si="10"/>
        <v>-28548.835700000003</v>
      </c>
      <c r="AU100" s="125">
        <f>AH100*Valores!$C$74</f>
        <v>-7007.44149</v>
      </c>
      <c r="AV100" s="125">
        <f>AH100*Valores!$C$75</f>
        <v>-778.6046100000001</v>
      </c>
      <c r="AW100" s="125">
        <f t="shared" si="14"/>
        <v>223199.98820000002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3379.3</v>
      </c>
      <c r="G101" s="192">
        <v>1956</v>
      </c>
      <c r="H101" s="125">
        <f>ROUND(G101*Valores!$C$2,2)</f>
        <v>74268.73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16379.02</v>
      </c>
      <c r="N101" s="125">
        <f t="shared" si="11"/>
        <v>0</v>
      </c>
      <c r="O101" s="125">
        <f>Valores!$C$16</f>
        <v>32810.75</v>
      </c>
      <c r="P101" s="125">
        <f>Valores!$D$5</f>
        <v>19410.1</v>
      </c>
      <c r="Q101" s="125">
        <v>0</v>
      </c>
      <c r="R101" s="125">
        <f>IF($F$4="NO",Valores!$C$44,Valores!$C$44/2)</f>
        <v>13484.02</v>
      </c>
      <c r="S101" s="125">
        <f>Valores!$C$19</f>
        <v>18061.41</v>
      </c>
      <c r="T101" s="125">
        <f t="shared" si="17"/>
        <v>18061.41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Valores!$C$94</f>
        <v>27846.26</v>
      </c>
      <c r="AA101" s="125">
        <f>Valores!$C$25</f>
        <v>793.88</v>
      </c>
      <c r="AB101" s="214">
        <v>0</v>
      </c>
      <c r="AC101" s="125">
        <f t="shared" si="12"/>
        <v>0</v>
      </c>
      <c r="AD101" s="125">
        <f>Valores!$C$26</f>
        <v>793.88</v>
      </c>
      <c r="AE101" s="192">
        <v>0</v>
      </c>
      <c r="AF101" s="125">
        <f>ROUND(AE101*Valores!$C$2,2)</f>
        <v>0</v>
      </c>
      <c r="AG101" s="125">
        <f>ROUND(IF($F$4="NO",Valores!$C$63,Valores!$C$63/2),2)</f>
        <v>9076.17</v>
      </c>
      <c r="AH101" s="125">
        <f t="shared" si="15"/>
        <v>216303.52000000002</v>
      </c>
      <c r="AI101" s="125">
        <f>Valores!$C$31</f>
        <v>0</v>
      </c>
      <c r="AJ101" s="125">
        <f>Valores!$C$87</f>
        <v>0</v>
      </c>
      <c r="AK101" s="125">
        <f>Valores!C$38*B101</f>
        <v>0</v>
      </c>
      <c r="AL101" s="125">
        <f>IF($F$3="NO",0,Valores!$C$56)</f>
        <v>0</v>
      </c>
      <c r="AM101" s="125">
        <f t="shared" si="13"/>
        <v>0</v>
      </c>
      <c r="AN101" s="125">
        <f>AH101*Valores!$C$71</f>
        <v>-23793.3872</v>
      </c>
      <c r="AO101" s="125">
        <f>AH101*-Valores!$C$72</f>
        <v>0</v>
      </c>
      <c r="AP101" s="125">
        <f>AH101*Valores!$C$73</f>
        <v>-9733.6584</v>
      </c>
      <c r="AQ101" s="125">
        <f>Valores!$C$100</f>
        <v>-554.86</v>
      </c>
      <c r="AR101" s="125">
        <f>IF($F$5=0,Valores!$C$101,(Valores!$C$101+$F$5*(Valores!$C$101)))</f>
        <v>-550</v>
      </c>
      <c r="AS101" s="125">
        <f t="shared" si="16"/>
        <v>181671.61440000002</v>
      </c>
      <c r="AT101" s="125">
        <f t="shared" si="10"/>
        <v>-23793.3872</v>
      </c>
      <c r="AU101" s="125">
        <f>AH101*Valores!$C$74</f>
        <v>-5840.1950400000005</v>
      </c>
      <c r="AV101" s="125">
        <f>AH101*Valores!$C$75</f>
        <v>-648.91056</v>
      </c>
      <c r="AW101" s="125">
        <f t="shared" si="14"/>
        <v>186021.0272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3379.3</v>
      </c>
      <c r="G102" s="192">
        <v>1267</v>
      </c>
      <c r="H102" s="125">
        <f>ROUND(G102*Valores!$C$2,2)</f>
        <v>48107.61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12454.85</v>
      </c>
      <c r="N102" s="125">
        <f t="shared" si="11"/>
        <v>0</v>
      </c>
      <c r="O102" s="125">
        <f>Valores!$C$16</f>
        <v>32810.75</v>
      </c>
      <c r="P102" s="125">
        <f>Valores!$D$5</f>
        <v>19410.1</v>
      </c>
      <c r="Q102" s="125">
        <v>0</v>
      </c>
      <c r="R102" s="125">
        <f>IF($F$4="NO",Valores!$C$44,Valores!$C$44/2)</f>
        <v>13484.02</v>
      </c>
      <c r="S102" s="125">
        <f>Valores!$C$19</f>
        <v>18061.41</v>
      </c>
      <c r="T102" s="125">
        <f t="shared" si="17"/>
        <v>18061.41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Valores!$C$94</f>
        <v>27846.26</v>
      </c>
      <c r="AA102" s="125">
        <f>Valores!$C$25</f>
        <v>793.88</v>
      </c>
      <c r="AB102" s="214">
        <v>0</v>
      </c>
      <c r="AC102" s="125">
        <f t="shared" si="12"/>
        <v>0</v>
      </c>
      <c r="AD102" s="125">
        <f>Valores!$C$26</f>
        <v>793.88</v>
      </c>
      <c r="AE102" s="192">
        <v>0</v>
      </c>
      <c r="AF102" s="125">
        <f>ROUND(AE102*Valores!$C$2,2)</f>
        <v>0</v>
      </c>
      <c r="AG102" s="125">
        <f>ROUND(IF($F$4="NO",Valores!$C$63,Valores!$C$63/2),2)</f>
        <v>9076.17</v>
      </c>
      <c r="AH102" s="125">
        <f t="shared" si="15"/>
        <v>186218.23000000004</v>
      </c>
      <c r="AI102" s="125">
        <f>Valores!$C$31</f>
        <v>0</v>
      </c>
      <c r="AJ102" s="125">
        <f>Valores!$C$87</f>
        <v>0</v>
      </c>
      <c r="AK102" s="125">
        <f>Valores!C$38*B102</f>
        <v>0</v>
      </c>
      <c r="AL102" s="125">
        <f>IF($F$3="NO",0,Valores!$C$56)</f>
        <v>0</v>
      </c>
      <c r="AM102" s="125">
        <f t="shared" si="13"/>
        <v>0</v>
      </c>
      <c r="AN102" s="125">
        <f>AH102*Valores!$C$71</f>
        <v>-20484.005300000004</v>
      </c>
      <c r="AO102" s="125">
        <f>AH102*-Valores!$C$72</f>
        <v>0</v>
      </c>
      <c r="AP102" s="125">
        <f>AH102*Valores!$C$73</f>
        <v>-8379.820350000002</v>
      </c>
      <c r="AQ102" s="125">
        <f>Valores!$C$100</f>
        <v>-554.86</v>
      </c>
      <c r="AR102" s="125">
        <f>IF($F$5=0,Valores!$C$101,(Valores!$C$101+$F$5*(Valores!$C$101)))</f>
        <v>-550</v>
      </c>
      <c r="AS102" s="125">
        <f t="shared" si="16"/>
        <v>156249.54435000004</v>
      </c>
      <c r="AT102" s="125">
        <f t="shared" si="10"/>
        <v>-20484.005300000004</v>
      </c>
      <c r="AU102" s="125">
        <f>AH102*Valores!$C$74</f>
        <v>-5027.892210000001</v>
      </c>
      <c r="AV102" s="125">
        <f>AH102*Valores!$C$75</f>
        <v>-558.6546900000002</v>
      </c>
      <c r="AW102" s="125">
        <f t="shared" si="14"/>
        <v>160147.67780000003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2543.97</v>
      </c>
      <c r="G103" s="192">
        <v>2108</v>
      </c>
      <c r="H103" s="125">
        <f>ROUND(G103*Valores!$C$2,2)</f>
        <v>80040.13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16863.83</v>
      </c>
      <c r="N103" s="125">
        <f t="shared" si="11"/>
        <v>0</v>
      </c>
      <c r="O103" s="125">
        <f>Valores!$C$14</f>
        <v>37810.16</v>
      </c>
      <c r="P103" s="125">
        <f>Valores!$D$5</f>
        <v>19410.1</v>
      </c>
      <c r="Q103" s="125">
        <v>0</v>
      </c>
      <c r="R103" s="125">
        <f>IF($F$4="NO",Valores!$C$42,Valores!$C$42/2)</f>
        <v>11964.71</v>
      </c>
      <c r="S103" s="125">
        <f>Valores!$C$20</f>
        <v>17876.75</v>
      </c>
      <c r="T103" s="125">
        <f t="shared" si="17"/>
        <v>17876.75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Valores!$C$94</f>
        <v>27846.26</v>
      </c>
      <c r="AA103" s="125">
        <f>Valores!$C$25</f>
        <v>793.88</v>
      </c>
      <c r="AB103" s="214">
        <v>0</v>
      </c>
      <c r="AC103" s="125">
        <f t="shared" si="12"/>
        <v>0</v>
      </c>
      <c r="AD103" s="125">
        <f>Valores!$C$26</f>
        <v>793.88</v>
      </c>
      <c r="AE103" s="192">
        <v>0</v>
      </c>
      <c r="AF103" s="125">
        <f>ROUND(AE103*Valores!$C$2,2)</f>
        <v>0</v>
      </c>
      <c r="AG103" s="125">
        <f>ROUND(IF($F$4="NO",Valores!$C$63,Valores!$C$63/2),2)</f>
        <v>9076.17</v>
      </c>
      <c r="AH103" s="125">
        <f t="shared" si="15"/>
        <v>225019.84000000005</v>
      </c>
      <c r="AI103" s="125">
        <f>Valores!$C$31</f>
        <v>0</v>
      </c>
      <c r="AJ103" s="125">
        <f>Valores!$C$87</f>
        <v>0</v>
      </c>
      <c r="AK103" s="125">
        <f>Valores!C$38*B103</f>
        <v>0</v>
      </c>
      <c r="AL103" s="125">
        <f>IF($F$3="NO",0,Valores!$C$56)</f>
        <v>0</v>
      </c>
      <c r="AM103" s="125">
        <f t="shared" si="13"/>
        <v>0</v>
      </c>
      <c r="AN103" s="125">
        <f>AH103*Valores!$C$71</f>
        <v>-24752.182400000005</v>
      </c>
      <c r="AO103" s="125">
        <f>AH103*-Valores!$C$72</f>
        <v>0</v>
      </c>
      <c r="AP103" s="125">
        <f>AH103*Valores!$C$73</f>
        <v>-10125.892800000001</v>
      </c>
      <c r="AQ103" s="125">
        <f>Valores!$C$100</f>
        <v>-554.86</v>
      </c>
      <c r="AR103" s="125">
        <f>IF($F$5=0,Valores!$C$101,(Valores!$C$101+$F$5*(Valores!$C$101)))</f>
        <v>-550</v>
      </c>
      <c r="AS103" s="125">
        <f t="shared" si="16"/>
        <v>189036.90480000005</v>
      </c>
      <c r="AT103" s="125">
        <f t="shared" si="10"/>
        <v>-24752.182400000005</v>
      </c>
      <c r="AU103" s="125">
        <f>AH103*Valores!$C$74</f>
        <v>-6075.535680000002</v>
      </c>
      <c r="AV103" s="125">
        <f>AH103*Valores!$C$75</f>
        <v>-675.0595200000001</v>
      </c>
      <c r="AW103" s="125">
        <f t="shared" si="14"/>
        <v>193517.06240000005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1708.64</v>
      </c>
      <c r="G104" s="192">
        <v>1502</v>
      </c>
      <c r="H104" s="125">
        <f>ROUND(G104*Valores!$C$2,2)</f>
        <v>57030.49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13287.09</v>
      </c>
      <c r="N104" s="125">
        <f t="shared" si="11"/>
        <v>0</v>
      </c>
      <c r="O104" s="125">
        <f>Valores!$C$14</f>
        <v>37810.16</v>
      </c>
      <c r="P104" s="125">
        <f>Valores!$D$5</f>
        <v>19410.1</v>
      </c>
      <c r="Q104" s="125">
        <v>0</v>
      </c>
      <c r="R104" s="125">
        <f>IF($F$4="NO",Valores!$C$42,Valores!$C$42/2)</f>
        <v>11964.71</v>
      </c>
      <c r="S104" s="125">
        <f>Valores!$C$20</f>
        <v>17876.75</v>
      </c>
      <c r="T104" s="125">
        <f t="shared" si="17"/>
        <v>17876.75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Valores!$C$94</f>
        <v>27846.26</v>
      </c>
      <c r="AA104" s="125">
        <f>Valores!$C$25</f>
        <v>793.88</v>
      </c>
      <c r="AB104" s="214">
        <v>0</v>
      </c>
      <c r="AC104" s="125">
        <f t="shared" si="12"/>
        <v>0</v>
      </c>
      <c r="AD104" s="125">
        <f>Valores!$C$26</f>
        <v>793.88</v>
      </c>
      <c r="AE104" s="192">
        <v>0</v>
      </c>
      <c r="AF104" s="125">
        <f>ROUND(AE104*Valores!$C$2,2)</f>
        <v>0</v>
      </c>
      <c r="AG104" s="125">
        <f>ROUND(IF($F$4="NO",Valores!$C$63,Valores!$C$63/2),2)</f>
        <v>9076.17</v>
      </c>
      <c r="AH104" s="125">
        <f t="shared" si="15"/>
        <v>197598.13000000003</v>
      </c>
      <c r="AI104" s="125">
        <f>Valores!$C$31</f>
        <v>0</v>
      </c>
      <c r="AJ104" s="125">
        <f>Valores!$C$87</f>
        <v>0</v>
      </c>
      <c r="AK104" s="125">
        <f>Valores!C$38*B104</f>
        <v>0</v>
      </c>
      <c r="AL104" s="125">
        <f>IF($F$3="NO",0,Valores!$C$56)</f>
        <v>0</v>
      </c>
      <c r="AM104" s="125">
        <f t="shared" si="13"/>
        <v>0</v>
      </c>
      <c r="AN104" s="125">
        <f>AH104*Valores!$C$71</f>
        <v>-21735.794300000005</v>
      </c>
      <c r="AO104" s="125">
        <f>AH104*-Valores!$C$72</f>
        <v>0</v>
      </c>
      <c r="AP104" s="125">
        <f>AH104*Valores!$C$73</f>
        <v>-8891.915850000001</v>
      </c>
      <c r="AQ104" s="125">
        <f>Valores!$C$100</f>
        <v>-554.86</v>
      </c>
      <c r="AR104" s="125">
        <f>IF($F$5=0,Valores!$C$101,(Valores!$C$101+$F$5*(Valores!$C$101)))</f>
        <v>-550</v>
      </c>
      <c r="AS104" s="125">
        <f t="shared" si="16"/>
        <v>165865.55985000002</v>
      </c>
      <c r="AT104" s="125">
        <f t="shared" si="10"/>
        <v>-21735.794300000005</v>
      </c>
      <c r="AU104" s="125">
        <f>AH104*Valores!$C$74</f>
        <v>-5335.149510000001</v>
      </c>
      <c r="AV104" s="125">
        <f>AH104*Valores!$C$75</f>
        <v>-592.7943900000001</v>
      </c>
      <c r="AW104" s="125">
        <f t="shared" si="14"/>
        <v>169934.39180000004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2316.15</v>
      </c>
      <c r="G105" s="192">
        <v>2114</v>
      </c>
      <c r="H105" s="125">
        <f>ROUND(G105*Valores!$C$2,2)</f>
        <v>80267.95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16863.83</v>
      </c>
      <c r="N105" s="125">
        <f t="shared" si="11"/>
        <v>0</v>
      </c>
      <c r="O105" s="125">
        <f>Valores!$C$14</f>
        <v>37810.16</v>
      </c>
      <c r="P105" s="125">
        <f>Valores!$D$5</f>
        <v>19410.1</v>
      </c>
      <c r="Q105" s="125">
        <v>0</v>
      </c>
      <c r="R105" s="125">
        <f>IF($F$4="NO",Valores!$C$42,Valores!$C$42/2)</f>
        <v>11964.71</v>
      </c>
      <c r="S105" s="125">
        <f>Valores!$C$20</f>
        <v>17876.75</v>
      </c>
      <c r="T105" s="125">
        <f t="shared" si="17"/>
        <v>17876.75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Valores!$C$94</f>
        <v>27846.26</v>
      </c>
      <c r="AA105" s="125">
        <f>Valores!$C$25</f>
        <v>793.88</v>
      </c>
      <c r="AB105" s="214">
        <v>0</v>
      </c>
      <c r="AC105" s="125">
        <f t="shared" si="12"/>
        <v>0</v>
      </c>
      <c r="AD105" s="125">
        <f>Valores!$C$26</f>
        <v>793.88</v>
      </c>
      <c r="AE105" s="192">
        <v>0</v>
      </c>
      <c r="AF105" s="125">
        <f>ROUND(AE105*Valores!$C$2,2)</f>
        <v>0</v>
      </c>
      <c r="AG105" s="125">
        <f>ROUND(IF($F$4="NO",Valores!$C$63,Valores!$C$63/2),2)</f>
        <v>9076.17</v>
      </c>
      <c r="AH105" s="125">
        <f t="shared" si="15"/>
        <v>225019.84000000003</v>
      </c>
      <c r="AI105" s="125">
        <f>Valores!$C$31</f>
        <v>0</v>
      </c>
      <c r="AJ105" s="125">
        <f>Valores!$C$87</f>
        <v>0</v>
      </c>
      <c r="AK105" s="125">
        <f>Valores!C$38*B105</f>
        <v>0</v>
      </c>
      <c r="AL105" s="125">
        <f>IF($F$3="NO",0,Valores!$C$56)</f>
        <v>0</v>
      </c>
      <c r="AM105" s="125">
        <f t="shared" si="13"/>
        <v>0</v>
      </c>
      <c r="AN105" s="125">
        <f>AH105*Valores!$C$71</f>
        <v>-24752.1824</v>
      </c>
      <c r="AO105" s="125">
        <f>AH105*-Valores!$C$72</f>
        <v>0</v>
      </c>
      <c r="AP105" s="125">
        <f>AH105*Valores!$C$73</f>
        <v>-10125.892800000001</v>
      </c>
      <c r="AQ105" s="125">
        <f>Valores!$C$100</f>
        <v>-554.86</v>
      </c>
      <c r="AR105" s="125">
        <f>IF($F$5=0,Valores!$C$101,(Valores!$C$101+$F$5*(Valores!$C$101)))</f>
        <v>-550</v>
      </c>
      <c r="AS105" s="125">
        <f t="shared" si="16"/>
        <v>189036.90480000002</v>
      </c>
      <c r="AT105" s="125">
        <f t="shared" si="10"/>
        <v>-24752.1824</v>
      </c>
      <c r="AU105" s="125">
        <f>AH105*Valores!$C$74</f>
        <v>-6075.535680000001</v>
      </c>
      <c r="AV105" s="125">
        <f>AH105*Valores!$C$75</f>
        <v>-675.0595200000001</v>
      </c>
      <c r="AW105" s="125">
        <f t="shared" si="14"/>
        <v>193517.06240000002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2240.21</v>
      </c>
      <c r="G106" s="192">
        <v>2013</v>
      </c>
      <c r="H106" s="125">
        <f>ROUND(G106*Valores!$C$2,2)</f>
        <v>76433.01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16277.2</v>
      </c>
      <c r="N106" s="125">
        <f t="shared" si="11"/>
        <v>0</v>
      </c>
      <c r="O106" s="125">
        <f>Valores!$C$14</f>
        <v>37810.16</v>
      </c>
      <c r="P106" s="125">
        <f>Valores!$D$5</f>
        <v>19410.1</v>
      </c>
      <c r="Q106" s="125">
        <v>0</v>
      </c>
      <c r="R106" s="125">
        <f>IF($F$4="NO",Valores!$C$42,Valores!$C$42/2)</f>
        <v>11964.71</v>
      </c>
      <c r="S106" s="125">
        <f>Valores!$C$20</f>
        <v>17876.75</v>
      </c>
      <c r="T106" s="125">
        <f t="shared" si="17"/>
        <v>17876.75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Valores!$C$94</f>
        <v>27846.26</v>
      </c>
      <c r="AA106" s="125">
        <f>Valores!$C$25</f>
        <v>793.88</v>
      </c>
      <c r="AB106" s="214">
        <v>0</v>
      </c>
      <c r="AC106" s="125">
        <f t="shared" si="12"/>
        <v>0</v>
      </c>
      <c r="AD106" s="125">
        <f>Valores!$C$26</f>
        <v>793.88</v>
      </c>
      <c r="AE106" s="192">
        <v>0</v>
      </c>
      <c r="AF106" s="125">
        <f>ROUND(AE106*Valores!$C$2,2)</f>
        <v>0</v>
      </c>
      <c r="AG106" s="125">
        <f>ROUND(IF($F$4="NO",Valores!$C$63,Valores!$C$63/2),2)</f>
        <v>9076.17</v>
      </c>
      <c r="AH106" s="125">
        <f t="shared" si="15"/>
        <v>220522.33000000005</v>
      </c>
      <c r="AI106" s="125">
        <f>Valores!$C$31</f>
        <v>0</v>
      </c>
      <c r="AJ106" s="125">
        <f>Valores!$C$87</f>
        <v>0</v>
      </c>
      <c r="AK106" s="125">
        <f>Valores!C$38*B106</f>
        <v>0</v>
      </c>
      <c r="AL106" s="125">
        <f>IF($F$3="NO",0,Valores!$C$56)</f>
        <v>0</v>
      </c>
      <c r="AM106" s="125">
        <f t="shared" si="13"/>
        <v>0</v>
      </c>
      <c r="AN106" s="125">
        <f>AH106*Valores!$C$71</f>
        <v>-24257.456300000005</v>
      </c>
      <c r="AO106" s="125">
        <f>AH106*-Valores!$C$72</f>
        <v>0</v>
      </c>
      <c r="AP106" s="125">
        <f>AH106*Valores!$C$73</f>
        <v>-9923.504850000001</v>
      </c>
      <c r="AQ106" s="125">
        <f>Valores!$C$100</f>
        <v>-554.86</v>
      </c>
      <c r="AR106" s="125">
        <f>IF($F$5=0,Valores!$C$101,(Valores!$C$101+$F$5*(Valores!$C$101)))</f>
        <v>-550</v>
      </c>
      <c r="AS106" s="125">
        <f t="shared" si="16"/>
        <v>185236.50885000004</v>
      </c>
      <c r="AT106" s="125">
        <f t="shared" si="10"/>
        <v>-24257.456300000005</v>
      </c>
      <c r="AU106" s="125">
        <f>AH106*Valores!$C$74</f>
        <v>-5954.102910000001</v>
      </c>
      <c r="AV106" s="125">
        <f>AH106*Valores!$C$75</f>
        <v>-661.5669900000001</v>
      </c>
      <c r="AW106" s="125">
        <f t="shared" si="14"/>
        <v>189649.20380000005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2126.3</v>
      </c>
      <c r="G107" s="192">
        <v>1720</v>
      </c>
      <c r="H107" s="125">
        <f>ROUND(G107*Valores!$C$2,2)</f>
        <v>65307.88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14591.35</v>
      </c>
      <c r="N107" s="125">
        <f t="shared" si="11"/>
        <v>0</v>
      </c>
      <c r="O107" s="125">
        <f>Valores!$C$14</f>
        <v>37810.16</v>
      </c>
      <c r="P107" s="125">
        <f>Valores!$D$5</f>
        <v>19410.1</v>
      </c>
      <c r="Q107" s="125">
        <v>0</v>
      </c>
      <c r="R107" s="125">
        <f>IF($F$4="NO",Valores!$C$42,Valores!$C$42/2)</f>
        <v>11964.71</v>
      </c>
      <c r="S107" s="125">
        <f>Valores!$C$20</f>
        <v>17876.75</v>
      </c>
      <c r="T107" s="125">
        <f t="shared" si="17"/>
        <v>17876.75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Valores!$C$94</f>
        <v>27846.26</v>
      </c>
      <c r="AA107" s="125">
        <f>Valores!$C$25</f>
        <v>793.88</v>
      </c>
      <c r="AB107" s="214">
        <v>0</v>
      </c>
      <c r="AC107" s="125">
        <f t="shared" si="12"/>
        <v>0</v>
      </c>
      <c r="AD107" s="125">
        <f>Valores!$C$26</f>
        <v>793.88</v>
      </c>
      <c r="AE107" s="192">
        <v>0</v>
      </c>
      <c r="AF107" s="125">
        <f>ROUND(AE107*Valores!$C$2,2)</f>
        <v>0</v>
      </c>
      <c r="AG107" s="125">
        <f>ROUND(IF($F$4="NO",Valores!$C$63,Valores!$C$63/2),2)</f>
        <v>9076.17</v>
      </c>
      <c r="AH107" s="125">
        <f t="shared" si="15"/>
        <v>207597.44000000003</v>
      </c>
      <c r="AI107" s="125">
        <f>Valores!$C$31</f>
        <v>0</v>
      </c>
      <c r="AJ107" s="125">
        <f>Valores!$C$87</f>
        <v>0</v>
      </c>
      <c r="AK107" s="125">
        <f>Valores!C$38*B107</f>
        <v>0</v>
      </c>
      <c r="AL107" s="125">
        <f>IF($F$3="NO",0,Valores!$C$56)</f>
        <v>0</v>
      </c>
      <c r="AM107" s="125">
        <f t="shared" si="13"/>
        <v>0</v>
      </c>
      <c r="AN107" s="125">
        <f>AH107*Valores!$C$71</f>
        <v>-22835.718400000005</v>
      </c>
      <c r="AO107" s="125">
        <f>AH107*-Valores!$C$72</f>
        <v>0</v>
      </c>
      <c r="AP107" s="125">
        <f>AH107*Valores!$C$73</f>
        <v>-9341.884800000002</v>
      </c>
      <c r="AQ107" s="125">
        <f>Valores!$C$100</f>
        <v>-554.86</v>
      </c>
      <c r="AR107" s="125">
        <f>IF($F$5=0,Valores!$C$101,(Valores!$C$101+$F$5*(Valores!$C$101)))</f>
        <v>-550</v>
      </c>
      <c r="AS107" s="125">
        <f t="shared" si="16"/>
        <v>174314.97680000003</v>
      </c>
      <c r="AT107" s="125">
        <f t="shared" si="10"/>
        <v>-22835.718400000005</v>
      </c>
      <c r="AU107" s="125">
        <f>AH107*Valores!$C$74</f>
        <v>-5605.130880000001</v>
      </c>
      <c r="AV107" s="125">
        <f>AH107*Valores!$C$75</f>
        <v>-622.7923200000001</v>
      </c>
      <c r="AW107" s="125">
        <f t="shared" si="14"/>
        <v>178533.79840000003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1708.64</v>
      </c>
      <c r="G108" s="192">
        <v>1502</v>
      </c>
      <c r="H108" s="125">
        <f>ROUND(G108*Valores!$C$2,2)</f>
        <v>57030.49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13287.09</v>
      </c>
      <c r="N108" s="125">
        <f t="shared" si="11"/>
        <v>0</v>
      </c>
      <c r="O108" s="125">
        <f>Valores!$C$14</f>
        <v>37810.16</v>
      </c>
      <c r="P108" s="125">
        <f>Valores!$D$5</f>
        <v>19410.1</v>
      </c>
      <c r="Q108" s="125">
        <v>0</v>
      </c>
      <c r="R108" s="125">
        <f>IF($F$4="NO",Valores!$C$42,Valores!$C$42/2)</f>
        <v>11964.71</v>
      </c>
      <c r="S108" s="125">
        <f>Valores!$C$20</f>
        <v>17876.75</v>
      </c>
      <c r="T108" s="125">
        <f t="shared" si="17"/>
        <v>17876.75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Valores!$C$94</f>
        <v>27846.26</v>
      </c>
      <c r="AA108" s="125">
        <f>Valores!$C$25</f>
        <v>793.88</v>
      </c>
      <c r="AB108" s="214">
        <v>0</v>
      </c>
      <c r="AC108" s="125">
        <f t="shared" si="12"/>
        <v>0</v>
      </c>
      <c r="AD108" s="125">
        <f>Valores!$C$26</f>
        <v>793.88</v>
      </c>
      <c r="AE108" s="192">
        <v>0</v>
      </c>
      <c r="AF108" s="125">
        <f>ROUND(AE108*Valores!$C$2,2)</f>
        <v>0</v>
      </c>
      <c r="AG108" s="125">
        <f>ROUND(IF($F$4="NO",Valores!$C$63,Valores!$C$63/2),2)</f>
        <v>9076.17</v>
      </c>
      <c r="AH108" s="125">
        <f t="shared" si="15"/>
        <v>197598.13000000003</v>
      </c>
      <c r="AI108" s="125">
        <f>Valores!$C$31</f>
        <v>0</v>
      </c>
      <c r="AJ108" s="125">
        <f>Valores!$C$87</f>
        <v>0</v>
      </c>
      <c r="AK108" s="125">
        <f>Valores!C$38*B108</f>
        <v>0</v>
      </c>
      <c r="AL108" s="125">
        <f>IF($F$3="NO",0,Valores!$C$56)</f>
        <v>0</v>
      </c>
      <c r="AM108" s="125">
        <f t="shared" si="13"/>
        <v>0</v>
      </c>
      <c r="AN108" s="125">
        <f>AH108*Valores!$C$71</f>
        <v>-21735.794300000005</v>
      </c>
      <c r="AO108" s="125">
        <f>AH108*-Valores!$C$72</f>
        <v>0</v>
      </c>
      <c r="AP108" s="125">
        <f>AH108*Valores!$C$73</f>
        <v>-8891.915850000001</v>
      </c>
      <c r="AQ108" s="125">
        <f>Valores!$C$100</f>
        <v>-554.86</v>
      </c>
      <c r="AR108" s="125">
        <f>IF($F$5=0,Valores!$C$101,(Valores!$C$101+$F$5*(Valores!$C$101)))</f>
        <v>-550</v>
      </c>
      <c r="AS108" s="125">
        <f t="shared" si="16"/>
        <v>165865.55985000002</v>
      </c>
      <c r="AT108" s="125">
        <f t="shared" si="10"/>
        <v>-21735.794300000005</v>
      </c>
      <c r="AU108" s="125">
        <f>AH108*Valores!$C$74</f>
        <v>-5335.149510000001</v>
      </c>
      <c r="AV108" s="125">
        <f>AH108*Valores!$C$75</f>
        <v>-592.7943900000001</v>
      </c>
      <c r="AW108" s="125">
        <f t="shared" si="14"/>
        <v>169934.39180000004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1708.64</v>
      </c>
      <c r="G109" s="192">
        <v>1139</v>
      </c>
      <c r="H109" s="125">
        <f>ROUND(G109*Valores!$C$2,2)</f>
        <v>43247.49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11219.64</v>
      </c>
      <c r="N109" s="125">
        <f t="shared" si="11"/>
        <v>0</v>
      </c>
      <c r="O109" s="125">
        <f>Valores!$C$14</f>
        <v>37810.16</v>
      </c>
      <c r="P109" s="125">
        <f>Valores!$D$5</f>
        <v>19410.1</v>
      </c>
      <c r="Q109" s="125">
        <v>0</v>
      </c>
      <c r="R109" s="125">
        <f>IF($F$4="NO",Valores!$C$42,Valores!$C$42/2)</f>
        <v>11964.71</v>
      </c>
      <c r="S109" s="125">
        <f>Valores!$C$20</f>
        <v>17876.75</v>
      </c>
      <c r="T109" s="125">
        <f t="shared" si="17"/>
        <v>17876.75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Valores!$C$94</f>
        <v>27846.26</v>
      </c>
      <c r="AA109" s="125">
        <f>Valores!$C$25</f>
        <v>793.88</v>
      </c>
      <c r="AB109" s="214">
        <v>0</v>
      </c>
      <c r="AC109" s="125">
        <f t="shared" si="12"/>
        <v>0</v>
      </c>
      <c r="AD109" s="125">
        <f>Valores!$C$26</f>
        <v>793.88</v>
      </c>
      <c r="AE109" s="192">
        <v>0</v>
      </c>
      <c r="AF109" s="125">
        <f>ROUND(AE109*Valores!$C$2,2)</f>
        <v>0</v>
      </c>
      <c r="AG109" s="125">
        <f>ROUND(IF($F$4="NO",Valores!$C$63,Valores!$C$63/2),2)</f>
        <v>9076.17</v>
      </c>
      <c r="AH109" s="125">
        <f t="shared" si="15"/>
        <v>181747.68000000002</v>
      </c>
      <c r="AI109" s="125">
        <f>Valores!$C$31</f>
        <v>0</v>
      </c>
      <c r="AJ109" s="125">
        <f>Valores!$C$87</f>
        <v>0</v>
      </c>
      <c r="AK109" s="125">
        <f>Valores!C$38*B109</f>
        <v>0</v>
      </c>
      <c r="AL109" s="125">
        <f>IF($F$3="NO",0,Valores!$C$56)</f>
        <v>0</v>
      </c>
      <c r="AM109" s="125">
        <f t="shared" si="13"/>
        <v>0</v>
      </c>
      <c r="AN109" s="125">
        <f>AH109*Valores!$C$71</f>
        <v>-19992.244800000004</v>
      </c>
      <c r="AO109" s="125">
        <f>AH109*-Valores!$C$72</f>
        <v>0</v>
      </c>
      <c r="AP109" s="125">
        <f>AH109*Valores!$C$73</f>
        <v>-8178.645600000001</v>
      </c>
      <c r="AQ109" s="125">
        <f>Valores!$C$100</f>
        <v>-554.86</v>
      </c>
      <c r="AR109" s="125">
        <f>IF($F$5=0,Valores!$C$101,(Valores!$C$101+$F$5*(Valores!$C$101)))</f>
        <v>-550</v>
      </c>
      <c r="AS109" s="125">
        <f t="shared" si="16"/>
        <v>152471.92960000003</v>
      </c>
      <c r="AT109" s="125">
        <f t="shared" si="10"/>
        <v>-19992.244800000004</v>
      </c>
      <c r="AU109" s="125">
        <f>AH109*Valores!$C$74</f>
        <v>-4907.187360000001</v>
      </c>
      <c r="AV109" s="125">
        <f>AH109*Valores!$C$75</f>
        <v>-545.2430400000001</v>
      </c>
      <c r="AW109" s="125">
        <f t="shared" si="14"/>
        <v>156303.00480000002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1746.61</v>
      </c>
      <c r="G110" s="192">
        <v>1102</v>
      </c>
      <c r="H110" s="125">
        <f>ROUND(G110*Valores!$C$2,2)</f>
        <v>41842.61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11014.6</v>
      </c>
      <c r="N110" s="125">
        <f t="shared" si="11"/>
        <v>0</v>
      </c>
      <c r="O110" s="125">
        <f>Valores!$C$14</f>
        <v>37810.16</v>
      </c>
      <c r="P110" s="125">
        <f>Valores!$D$5</f>
        <v>19410.1</v>
      </c>
      <c r="Q110" s="125">
        <v>0</v>
      </c>
      <c r="R110" s="125">
        <f>IF($F$4="NO",Valores!$C$42,Valores!$C$42/2)</f>
        <v>11964.71</v>
      </c>
      <c r="S110" s="125">
        <f>Valores!$C$20</f>
        <v>17876.75</v>
      </c>
      <c r="T110" s="125">
        <f t="shared" si="17"/>
        <v>17876.75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Valores!$C$94</f>
        <v>27846.26</v>
      </c>
      <c r="AA110" s="125">
        <f>Valores!$C$25</f>
        <v>793.88</v>
      </c>
      <c r="AB110" s="214">
        <v>0</v>
      </c>
      <c r="AC110" s="125">
        <f t="shared" si="12"/>
        <v>0</v>
      </c>
      <c r="AD110" s="125">
        <f>Valores!$C$26</f>
        <v>793.88</v>
      </c>
      <c r="AE110" s="192">
        <v>0</v>
      </c>
      <c r="AF110" s="125">
        <f>ROUND(AE110*Valores!$C$2,2)</f>
        <v>0</v>
      </c>
      <c r="AG110" s="125">
        <f>ROUND(IF($F$4="NO",Valores!$C$63,Valores!$C$63/2),2)</f>
        <v>9076.17</v>
      </c>
      <c r="AH110" s="125">
        <f t="shared" si="15"/>
        <v>180175.73000000004</v>
      </c>
      <c r="AI110" s="125">
        <f>Valores!$C$31</f>
        <v>0</v>
      </c>
      <c r="AJ110" s="125">
        <f>Valores!$C$87</f>
        <v>0</v>
      </c>
      <c r="AK110" s="125">
        <f>Valores!C$38*B110</f>
        <v>0</v>
      </c>
      <c r="AL110" s="125">
        <f>IF($F$3="NO",0,Valores!$C$56)</f>
        <v>0</v>
      </c>
      <c r="AM110" s="125">
        <f t="shared" si="13"/>
        <v>0</v>
      </c>
      <c r="AN110" s="125">
        <f>AH110*Valores!$C$71</f>
        <v>-19819.330300000005</v>
      </c>
      <c r="AO110" s="125">
        <f>AH110*-Valores!$C$72</f>
        <v>0</v>
      </c>
      <c r="AP110" s="125">
        <f>AH110*Valores!$C$73</f>
        <v>-8107.907850000001</v>
      </c>
      <c r="AQ110" s="125">
        <f>Valores!$C$100</f>
        <v>-554.86</v>
      </c>
      <c r="AR110" s="125">
        <f>IF($F$5=0,Valores!$C$101,(Valores!$C$101+$F$5*(Valores!$C$101)))</f>
        <v>-550</v>
      </c>
      <c r="AS110" s="125">
        <f t="shared" si="16"/>
        <v>151143.63185000003</v>
      </c>
      <c r="AT110" s="125">
        <f t="shared" si="10"/>
        <v>-19819.330300000005</v>
      </c>
      <c r="AU110" s="125">
        <f>AH110*Valores!$C$74</f>
        <v>-4864.744710000001</v>
      </c>
      <c r="AV110" s="125">
        <f>AH110*Valores!$C$75</f>
        <v>-540.5271900000001</v>
      </c>
      <c r="AW110" s="125">
        <f t="shared" si="14"/>
        <v>154951.12780000002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2506</v>
      </c>
      <c r="G111" s="192">
        <v>1911</v>
      </c>
      <c r="H111" s="125">
        <f>ROUND(G111*Valores!$C$2,2)</f>
        <v>72560.1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15736.13</v>
      </c>
      <c r="N111" s="125">
        <f t="shared" si="11"/>
        <v>0</v>
      </c>
      <c r="O111" s="125">
        <f>Valores!$C$14</f>
        <v>37810.16</v>
      </c>
      <c r="P111" s="125">
        <f>Valores!$D$5</f>
        <v>19410.1</v>
      </c>
      <c r="Q111" s="125">
        <f>Valores!$C$22</f>
        <v>17316.91</v>
      </c>
      <c r="R111" s="125">
        <f>IF($F$4="NO",Valores!$C$42,Valores!$C$42/2)</f>
        <v>11964.71</v>
      </c>
      <c r="S111" s="125">
        <f>Valores!$C$20</f>
        <v>17876.75</v>
      </c>
      <c r="T111" s="125">
        <f t="shared" si="17"/>
        <v>17876.75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Valores!$C$94</f>
        <v>27846.26</v>
      </c>
      <c r="AA111" s="125">
        <f>Valores!$C$25</f>
        <v>793.88</v>
      </c>
      <c r="AB111" s="214">
        <v>0</v>
      </c>
      <c r="AC111" s="125">
        <f t="shared" si="12"/>
        <v>0</v>
      </c>
      <c r="AD111" s="125">
        <f>Valores!$C$26</f>
        <v>793.88</v>
      </c>
      <c r="AE111" s="192">
        <v>94</v>
      </c>
      <c r="AF111" s="125">
        <f>ROUND(AE111*Valores!$C$2,2)</f>
        <v>3569.15</v>
      </c>
      <c r="AG111" s="125">
        <f>ROUND(IF($F$4="NO",Valores!$C$63,Valores!$C$63/2),2)</f>
        <v>9076.17</v>
      </c>
      <c r="AH111" s="125">
        <f t="shared" si="15"/>
        <v>237260.20000000004</v>
      </c>
      <c r="AI111" s="125">
        <f>Valores!$C$31</f>
        <v>0</v>
      </c>
      <c r="AJ111" s="125">
        <f>Valores!$C$87</f>
        <v>0</v>
      </c>
      <c r="AK111" s="125">
        <f>Valores!C$38*B111</f>
        <v>0</v>
      </c>
      <c r="AL111" s="125">
        <f>IF($F$3="NO",0,Valores!$C$56)</f>
        <v>0</v>
      </c>
      <c r="AM111" s="125">
        <f t="shared" si="13"/>
        <v>0</v>
      </c>
      <c r="AN111" s="125">
        <f>AH111*Valores!$C$71</f>
        <v>-26098.622000000003</v>
      </c>
      <c r="AO111" s="125">
        <f>AH111*-Valores!$C$72</f>
        <v>0</v>
      </c>
      <c r="AP111" s="125">
        <f>AH111*Valores!$C$73</f>
        <v>-10676.709</v>
      </c>
      <c r="AQ111" s="125">
        <f>Valores!$C$100</f>
        <v>-554.86</v>
      </c>
      <c r="AR111" s="125">
        <f>IF($F$5=0,Valores!$C$101,(Valores!$C$101+$F$5*(Valores!$C$101)))</f>
        <v>-550</v>
      </c>
      <c r="AS111" s="125">
        <f t="shared" si="16"/>
        <v>199380.00900000002</v>
      </c>
      <c r="AT111" s="125">
        <f t="shared" si="10"/>
        <v>-26098.622000000003</v>
      </c>
      <c r="AU111" s="125">
        <f>AH111*Valores!$C$74</f>
        <v>-6406.025400000001</v>
      </c>
      <c r="AV111" s="125">
        <f>AH111*Valores!$C$75</f>
        <v>-711.7806000000002</v>
      </c>
      <c r="AW111" s="125">
        <f t="shared" si="14"/>
        <v>204043.77200000003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2316.15</v>
      </c>
      <c r="G112" s="192">
        <v>1545</v>
      </c>
      <c r="H112" s="125">
        <f>ROUND(G112*Valores!$C$2,2)</f>
        <v>58663.19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13623.12</v>
      </c>
      <c r="N112" s="125">
        <f t="shared" si="11"/>
        <v>0</v>
      </c>
      <c r="O112" s="125">
        <f>Valores!$C$14</f>
        <v>37810.16</v>
      </c>
      <c r="P112" s="125">
        <f>Valores!$D$5</f>
        <v>19410.1</v>
      </c>
      <c r="Q112" s="125">
        <f>Valores!$C$22</f>
        <v>17316.91</v>
      </c>
      <c r="R112" s="125">
        <f>IF($F$4="NO",Valores!$C$42,Valores!$C$42/2)</f>
        <v>11964.71</v>
      </c>
      <c r="S112" s="125">
        <f>Valores!$C$20</f>
        <v>17876.75</v>
      </c>
      <c r="T112" s="125">
        <f t="shared" si="17"/>
        <v>17876.75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Valores!$C$94</f>
        <v>27846.26</v>
      </c>
      <c r="AA112" s="125">
        <f>Valores!$C$25</f>
        <v>793.88</v>
      </c>
      <c r="AB112" s="214">
        <v>0</v>
      </c>
      <c r="AC112" s="125">
        <f t="shared" si="12"/>
        <v>0</v>
      </c>
      <c r="AD112" s="125">
        <f>Valores!$C$26</f>
        <v>793.88</v>
      </c>
      <c r="AE112" s="192">
        <v>94</v>
      </c>
      <c r="AF112" s="125">
        <f>ROUND(AE112*Valores!$C$2,2)</f>
        <v>3569.15</v>
      </c>
      <c r="AG112" s="125">
        <f>ROUND(IF($F$4="NO",Valores!$C$63,Valores!$C$63/2),2)</f>
        <v>9076.17</v>
      </c>
      <c r="AH112" s="125">
        <f t="shared" si="15"/>
        <v>221060.43000000002</v>
      </c>
      <c r="AI112" s="125">
        <f>Valores!$C$31</f>
        <v>0</v>
      </c>
      <c r="AJ112" s="125">
        <f>Valores!$C$87</f>
        <v>0</v>
      </c>
      <c r="AK112" s="125">
        <f>Valores!C$38*B112</f>
        <v>0</v>
      </c>
      <c r="AL112" s="125">
        <f>IF($F$3="NO",0,Valores!$C$56)</f>
        <v>0</v>
      </c>
      <c r="AM112" s="125">
        <f t="shared" si="13"/>
        <v>0</v>
      </c>
      <c r="AN112" s="125">
        <f>AH112*Valores!$C$71</f>
        <v>-24316.647300000004</v>
      </c>
      <c r="AO112" s="125">
        <f>AH112*-Valores!$C$72</f>
        <v>0</v>
      </c>
      <c r="AP112" s="125">
        <f>AH112*Valores!$C$73</f>
        <v>-9947.719350000001</v>
      </c>
      <c r="AQ112" s="125">
        <f>Valores!$C$100</f>
        <v>-554.86</v>
      </c>
      <c r="AR112" s="125">
        <f>IF($F$5=0,Valores!$C$101,(Valores!$C$101+$F$5*(Valores!$C$101)))</f>
        <v>-550</v>
      </c>
      <c r="AS112" s="125">
        <f t="shared" si="16"/>
        <v>185691.20335000003</v>
      </c>
      <c r="AT112" s="125">
        <f t="shared" si="10"/>
        <v>-24316.647300000004</v>
      </c>
      <c r="AU112" s="125">
        <f>AH112*Valores!$C$74</f>
        <v>-5968.63161</v>
      </c>
      <c r="AV112" s="125">
        <f>AH112*Valores!$C$75</f>
        <v>-663.1812900000001</v>
      </c>
      <c r="AW112" s="125">
        <f t="shared" si="14"/>
        <v>190111.96980000002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8277.39</v>
      </c>
      <c r="G113" s="192">
        <v>2100</v>
      </c>
      <c r="H113" s="125">
        <f>ROUND(G113*Valores!$C$2,2)</f>
        <v>79736.37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17678.28</v>
      </c>
      <c r="N113" s="125">
        <f t="shared" si="11"/>
        <v>0</v>
      </c>
      <c r="O113" s="125">
        <f>Valores!$C$14</f>
        <v>37810.16</v>
      </c>
      <c r="P113" s="125">
        <f>Valores!$D$5</f>
        <v>19410.1</v>
      </c>
      <c r="Q113" s="125">
        <f>Valores!$C$22</f>
        <v>17316.91</v>
      </c>
      <c r="R113" s="125">
        <f>IF($F$4="NO",Valores!$C$42,Valores!$C$42/2)</f>
        <v>11964.71</v>
      </c>
      <c r="S113" s="125">
        <f>Valores!$C$20</f>
        <v>17876.75</v>
      </c>
      <c r="T113" s="125">
        <f t="shared" si="17"/>
        <v>17876.75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Valores!$C$94</f>
        <v>27846.26</v>
      </c>
      <c r="AA113" s="125">
        <f>Valores!$C$25</f>
        <v>793.88</v>
      </c>
      <c r="AB113" s="214">
        <v>0</v>
      </c>
      <c r="AC113" s="125">
        <f t="shared" si="12"/>
        <v>0</v>
      </c>
      <c r="AD113" s="125">
        <f>Valores!$C$26</f>
        <v>793.88</v>
      </c>
      <c r="AE113" s="192">
        <v>0</v>
      </c>
      <c r="AF113" s="125">
        <f>ROUND(AE113*Valores!$C$2,2)</f>
        <v>0</v>
      </c>
      <c r="AG113" s="125">
        <f>ROUND(IF($F$4="NO",Valores!$C$63,Valores!$C$63/2),2)</f>
        <v>9076.17</v>
      </c>
      <c r="AH113" s="125">
        <f t="shared" si="15"/>
        <v>248580.86000000004</v>
      </c>
      <c r="AI113" s="125">
        <f>Valores!$C$31</f>
        <v>0</v>
      </c>
      <c r="AJ113" s="125">
        <f>Valores!$C$87</f>
        <v>0</v>
      </c>
      <c r="AK113" s="125">
        <f>Valores!C$38*B113</f>
        <v>0</v>
      </c>
      <c r="AL113" s="125">
        <f>IF($F$3="NO",0,Valores!$C$56)</f>
        <v>0</v>
      </c>
      <c r="AM113" s="125">
        <f t="shared" si="13"/>
        <v>0</v>
      </c>
      <c r="AN113" s="125">
        <f>AH113*Valores!$C$71</f>
        <v>-27343.894600000003</v>
      </c>
      <c r="AO113" s="125">
        <f>AH113*-Valores!$C$72</f>
        <v>0</v>
      </c>
      <c r="AP113" s="125">
        <f>AH113*Valores!$C$73</f>
        <v>-11186.138700000001</v>
      </c>
      <c r="AQ113" s="125">
        <f>Valores!$C$100</f>
        <v>-554.86</v>
      </c>
      <c r="AR113" s="125">
        <f>IF($F$5=0,Valores!$C$101,(Valores!$C$101+$F$5*(Valores!$C$101)))</f>
        <v>-550</v>
      </c>
      <c r="AS113" s="125">
        <f t="shared" si="16"/>
        <v>208945.96670000005</v>
      </c>
      <c r="AT113" s="125">
        <f t="shared" si="10"/>
        <v>-27343.894600000003</v>
      </c>
      <c r="AU113" s="125">
        <f>AH113*Valores!$C$74</f>
        <v>-6711.683220000001</v>
      </c>
      <c r="AV113" s="125">
        <f>AH113*Valores!$C$75</f>
        <v>-745.7425800000002</v>
      </c>
      <c r="AW113" s="125">
        <f t="shared" si="14"/>
        <v>213779.53960000005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8353.33</v>
      </c>
      <c r="G114" s="192">
        <v>1995</v>
      </c>
      <c r="H114" s="125">
        <f>ROUND(G114*Valores!$C$2,2)</f>
        <v>75749.55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17091.65</v>
      </c>
      <c r="N114" s="125">
        <f t="shared" si="11"/>
        <v>0</v>
      </c>
      <c r="O114" s="125">
        <f>Valores!$C$14</f>
        <v>37810.16</v>
      </c>
      <c r="P114" s="125">
        <f>Valores!$D$5</f>
        <v>19410.1</v>
      </c>
      <c r="Q114" s="125">
        <f>Valores!$C$22</f>
        <v>17316.91</v>
      </c>
      <c r="R114" s="125">
        <f>IF($F$4="NO",Valores!$C$42,Valores!$C$42/2)</f>
        <v>11964.71</v>
      </c>
      <c r="S114" s="125">
        <f>Valores!$C$20</f>
        <v>17876.75</v>
      </c>
      <c r="T114" s="125">
        <f t="shared" si="17"/>
        <v>17876.75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Valores!$C$94</f>
        <v>27846.26</v>
      </c>
      <c r="AA114" s="125">
        <f>Valores!$C$25</f>
        <v>793.88</v>
      </c>
      <c r="AB114" s="214">
        <v>0</v>
      </c>
      <c r="AC114" s="125">
        <f t="shared" si="12"/>
        <v>0</v>
      </c>
      <c r="AD114" s="125">
        <f>Valores!$C$26</f>
        <v>793.88</v>
      </c>
      <c r="AE114" s="192">
        <v>0</v>
      </c>
      <c r="AF114" s="125">
        <f>ROUND(AE114*Valores!$C$2,2)</f>
        <v>0</v>
      </c>
      <c r="AG114" s="125">
        <f>ROUND(IF($F$4="NO",Valores!$C$63,Valores!$C$63/2),2)</f>
        <v>9076.17</v>
      </c>
      <c r="AH114" s="125">
        <f t="shared" si="15"/>
        <v>244083.35000000003</v>
      </c>
      <c r="AI114" s="125">
        <f>Valores!$C$31</f>
        <v>0</v>
      </c>
      <c r="AJ114" s="125">
        <f>Valores!$C$87</f>
        <v>0</v>
      </c>
      <c r="AK114" s="125">
        <f>Valores!C$38*B114</f>
        <v>0</v>
      </c>
      <c r="AL114" s="125">
        <f>IF($F$3="NO",0,Valores!$C$56)</f>
        <v>0</v>
      </c>
      <c r="AM114" s="125">
        <f t="shared" si="13"/>
        <v>0</v>
      </c>
      <c r="AN114" s="125">
        <f>AH114*Valores!$C$71</f>
        <v>-26849.168500000003</v>
      </c>
      <c r="AO114" s="125">
        <f>AH114*-Valores!$C$72</f>
        <v>0</v>
      </c>
      <c r="AP114" s="125">
        <f>AH114*Valores!$C$73</f>
        <v>-10983.750750000001</v>
      </c>
      <c r="AQ114" s="125">
        <f>Valores!$C$100</f>
        <v>-554.86</v>
      </c>
      <c r="AR114" s="125">
        <f>IF($F$5=0,Valores!$C$101,(Valores!$C$101+$F$5*(Valores!$C$101)))</f>
        <v>-550</v>
      </c>
      <c r="AS114" s="125">
        <f t="shared" si="16"/>
        <v>205145.57075</v>
      </c>
      <c r="AT114" s="125">
        <f t="shared" si="10"/>
        <v>-26849.168500000003</v>
      </c>
      <c r="AU114" s="125">
        <f>AH114*Valores!$C$74</f>
        <v>-6590.2504500000005</v>
      </c>
      <c r="AV114" s="125">
        <f>AH114*Valores!$C$75</f>
        <v>-732.2500500000001</v>
      </c>
      <c r="AW114" s="125">
        <f t="shared" si="14"/>
        <v>209911.68100000004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7100.33</v>
      </c>
      <c r="G115" s="192">
        <v>1704</v>
      </c>
      <c r="H115" s="125">
        <f>ROUND(G115*Valores!$C$2,2)</f>
        <v>64700.37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15246.32</v>
      </c>
      <c r="N115" s="125">
        <f t="shared" si="11"/>
        <v>0</v>
      </c>
      <c r="O115" s="125">
        <f>Valores!$C$14</f>
        <v>37810.16</v>
      </c>
      <c r="P115" s="125">
        <f>Valores!$D$5</f>
        <v>19410.1</v>
      </c>
      <c r="Q115" s="125">
        <f>Valores!$C$22</f>
        <v>17316.91</v>
      </c>
      <c r="R115" s="125">
        <f>IF($F$4="NO",Valores!$C$42,Valores!$C$42/2)</f>
        <v>11964.71</v>
      </c>
      <c r="S115" s="125">
        <f>Valores!$C$20</f>
        <v>17876.75</v>
      </c>
      <c r="T115" s="125">
        <f t="shared" si="17"/>
        <v>17876.75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Valores!$C$94</f>
        <v>27846.26</v>
      </c>
      <c r="AA115" s="125">
        <f>Valores!$C$25</f>
        <v>793.88</v>
      </c>
      <c r="AB115" s="214">
        <v>0</v>
      </c>
      <c r="AC115" s="125">
        <f t="shared" si="12"/>
        <v>0</v>
      </c>
      <c r="AD115" s="125">
        <f>Valores!$C$26</f>
        <v>793.88</v>
      </c>
      <c r="AE115" s="192">
        <v>0</v>
      </c>
      <c r="AF115" s="125">
        <f>ROUND(AE115*Valores!$C$2,2)</f>
        <v>0</v>
      </c>
      <c r="AG115" s="125">
        <f>ROUND(IF($F$4="NO",Valores!$C$63,Valores!$C$63/2),2)</f>
        <v>9076.17</v>
      </c>
      <c r="AH115" s="125">
        <f t="shared" si="15"/>
        <v>229935.84000000003</v>
      </c>
      <c r="AI115" s="125">
        <f>Valores!$C$31</f>
        <v>0</v>
      </c>
      <c r="AJ115" s="125">
        <f>Valores!$C$87</f>
        <v>0</v>
      </c>
      <c r="AK115" s="125">
        <f>Valores!C$38*B115</f>
        <v>0</v>
      </c>
      <c r="AL115" s="125">
        <f>IF($F$3="NO",0,Valores!$C$56)</f>
        <v>0</v>
      </c>
      <c r="AM115" s="125">
        <f t="shared" si="13"/>
        <v>0</v>
      </c>
      <c r="AN115" s="125">
        <f>AH115*Valores!$C$71</f>
        <v>-25292.942400000004</v>
      </c>
      <c r="AO115" s="125">
        <f>AH115*-Valores!$C$72</f>
        <v>0</v>
      </c>
      <c r="AP115" s="125">
        <f>AH115*Valores!$C$73</f>
        <v>-10347.1128</v>
      </c>
      <c r="AQ115" s="125">
        <f>Valores!$C$100</f>
        <v>-554.86</v>
      </c>
      <c r="AR115" s="125">
        <f>IF($F$5=0,Valores!$C$101,(Valores!$C$101+$F$5*(Valores!$C$101)))</f>
        <v>-550</v>
      </c>
      <c r="AS115" s="125">
        <f t="shared" si="16"/>
        <v>193190.92480000004</v>
      </c>
      <c r="AT115" s="125">
        <f t="shared" si="10"/>
        <v>-25292.942400000004</v>
      </c>
      <c r="AU115" s="125">
        <f>AH115*Valores!$C$74</f>
        <v>-6208.267680000001</v>
      </c>
      <c r="AV115" s="125">
        <f>AH115*Valores!$C$75</f>
        <v>-689.8075200000001</v>
      </c>
      <c r="AW115" s="125">
        <f t="shared" si="14"/>
        <v>197744.82240000003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6113.12</v>
      </c>
      <c r="G116" s="192">
        <v>1480</v>
      </c>
      <c r="H116" s="125">
        <f>ROUND(G116*Valores!$C$2,2)</f>
        <v>56195.16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13822.46</v>
      </c>
      <c r="N116" s="125">
        <f t="shared" si="11"/>
        <v>0</v>
      </c>
      <c r="O116" s="125">
        <f>Valores!$C$14</f>
        <v>37810.16</v>
      </c>
      <c r="P116" s="125">
        <f>Valores!$D$5</f>
        <v>19410.1</v>
      </c>
      <c r="Q116" s="125">
        <f>Valores!$C$22</f>
        <v>17316.91</v>
      </c>
      <c r="R116" s="125">
        <f>IF($F$4="NO",Valores!$C$42,Valores!$C$42/2)</f>
        <v>11964.71</v>
      </c>
      <c r="S116" s="125">
        <f>Valores!$C$20</f>
        <v>17876.75</v>
      </c>
      <c r="T116" s="125">
        <f t="shared" si="17"/>
        <v>17876.75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Valores!$C$94</f>
        <v>27846.26</v>
      </c>
      <c r="AA116" s="125">
        <f>Valores!$C$25</f>
        <v>793.88</v>
      </c>
      <c r="AB116" s="214">
        <v>0</v>
      </c>
      <c r="AC116" s="125">
        <f t="shared" si="12"/>
        <v>0</v>
      </c>
      <c r="AD116" s="125">
        <f>Valores!$C$26</f>
        <v>793.88</v>
      </c>
      <c r="AE116" s="192">
        <v>0</v>
      </c>
      <c r="AF116" s="125">
        <f>ROUND(AE116*Valores!$C$2,2)</f>
        <v>0</v>
      </c>
      <c r="AG116" s="125">
        <f>ROUND(IF($F$4="NO",Valores!$C$63,Valores!$C$63/2),2)</f>
        <v>9076.17</v>
      </c>
      <c r="AH116" s="125">
        <f t="shared" si="15"/>
        <v>219019.56000000003</v>
      </c>
      <c r="AI116" s="125">
        <f>Valores!$C$31</f>
        <v>0</v>
      </c>
      <c r="AJ116" s="125">
        <f>Valores!$C$87</f>
        <v>0</v>
      </c>
      <c r="AK116" s="125">
        <f>Valores!C$38*B116</f>
        <v>0</v>
      </c>
      <c r="AL116" s="125">
        <f>IF($F$3="NO",0,Valores!$C$56)</f>
        <v>0</v>
      </c>
      <c r="AM116" s="125">
        <f t="shared" si="13"/>
        <v>0</v>
      </c>
      <c r="AN116" s="125">
        <f>AH116*Valores!$C$71</f>
        <v>-24092.151600000005</v>
      </c>
      <c r="AO116" s="125">
        <f>AH116*-Valores!$C$72</f>
        <v>0</v>
      </c>
      <c r="AP116" s="125">
        <f>AH116*Valores!$C$73</f>
        <v>-9855.880200000001</v>
      </c>
      <c r="AQ116" s="125">
        <f>Valores!$C$100</f>
        <v>-554.86</v>
      </c>
      <c r="AR116" s="125">
        <f>IF($F$5=0,Valores!$C$101,(Valores!$C$101+$F$5*(Valores!$C$101)))</f>
        <v>-550</v>
      </c>
      <c r="AS116" s="125">
        <f t="shared" si="16"/>
        <v>183966.66820000001</v>
      </c>
      <c r="AT116" s="125">
        <f t="shared" si="10"/>
        <v>-24092.151600000005</v>
      </c>
      <c r="AU116" s="125">
        <f>AH116*Valores!$C$74</f>
        <v>-5913.528120000001</v>
      </c>
      <c r="AV116" s="125">
        <f>AH116*Valores!$C$75</f>
        <v>-657.0586800000001</v>
      </c>
      <c r="AW116" s="125">
        <f t="shared" si="14"/>
        <v>188356.82160000002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48525.28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11755.01</v>
      </c>
      <c r="N117" s="125">
        <f t="shared" si="11"/>
        <v>0</v>
      </c>
      <c r="O117" s="125">
        <f>Valores!$C$14</f>
        <v>37810.16</v>
      </c>
      <c r="P117" s="125">
        <f>Valores!$D$5</f>
        <v>19410.1</v>
      </c>
      <c r="Q117" s="125">
        <f>Valores!$C$22</f>
        <v>17316.91</v>
      </c>
      <c r="R117" s="125">
        <f>IF($F$4="NO",Valores!$C$42,Valores!$C$42/2)</f>
        <v>11964.71</v>
      </c>
      <c r="S117" s="125">
        <f>Valores!$C$20</f>
        <v>17876.75</v>
      </c>
      <c r="T117" s="125">
        <f t="shared" si="17"/>
        <v>17876.75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Valores!$C$94</f>
        <v>27846.26</v>
      </c>
      <c r="AA117" s="125">
        <f>Valores!$C$25</f>
        <v>793.88</v>
      </c>
      <c r="AB117" s="214">
        <v>0</v>
      </c>
      <c r="AC117" s="125">
        <f t="shared" si="12"/>
        <v>0</v>
      </c>
      <c r="AD117" s="125">
        <f>Valores!$C$26</f>
        <v>793.88</v>
      </c>
      <c r="AE117" s="192">
        <v>0</v>
      </c>
      <c r="AF117" s="125">
        <f>ROUND(AE117*Valores!$C$2,2)</f>
        <v>0</v>
      </c>
      <c r="AG117" s="125">
        <f>ROUND(IF($F$4="NO",Valores!$C$63,Valores!$C$63/2),2)</f>
        <v>9076.17</v>
      </c>
      <c r="AH117" s="125">
        <f t="shared" si="15"/>
        <v>203169.11000000004</v>
      </c>
      <c r="AI117" s="125">
        <f>Valores!$C$31</f>
        <v>0</v>
      </c>
      <c r="AJ117" s="125">
        <f>Valores!$C$87</f>
        <v>0</v>
      </c>
      <c r="AK117" s="125">
        <f>Valores!C$38*B117</f>
        <v>0</v>
      </c>
      <c r="AL117" s="125">
        <f>IF($F$3="NO",0,Valores!$C$56)</f>
        <v>0</v>
      </c>
      <c r="AM117" s="125">
        <f t="shared" si="13"/>
        <v>0</v>
      </c>
      <c r="AN117" s="125">
        <f>AH117*Valores!$C$71</f>
        <v>-22348.602100000004</v>
      </c>
      <c r="AO117" s="125">
        <f>AH117*-Valores!$C$72</f>
        <v>0</v>
      </c>
      <c r="AP117" s="125">
        <f>AH117*Valores!$C$73</f>
        <v>-9142.609950000002</v>
      </c>
      <c r="AQ117" s="125">
        <f>Valores!$C$100</f>
        <v>-554.86</v>
      </c>
      <c r="AR117" s="125">
        <f>IF($F$5=0,Valores!$C$101,(Valores!$C$101+$F$5*(Valores!$C$101)))</f>
        <v>-550</v>
      </c>
      <c r="AS117" s="125">
        <f t="shared" si="16"/>
        <v>170573.03795000003</v>
      </c>
      <c r="AT117" s="125">
        <f t="shared" si="10"/>
        <v>-22348.602100000004</v>
      </c>
      <c r="AU117" s="125">
        <f>AH117*Valores!$C$74</f>
        <v>-5485.5659700000015</v>
      </c>
      <c r="AV117" s="125">
        <f>AH117*Valores!$C$75</f>
        <v>-609.5073300000001</v>
      </c>
      <c r="AW117" s="125">
        <f t="shared" si="14"/>
        <v>174725.43460000004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2923.67</v>
      </c>
      <c r="G118" s="192">
        <v>2073</v>
      </c>
      <c r="H118" s="125">
        <f>ROUND(G118*Valores!$C$2,2)</f>
        <v>78711.19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16977.04</v>
      </c>
      <c r="N118" s="125">
        <f t="shared" si="11"/>
        <v>0</v>
      </c>
      <c r="O118" s="125">
        <f>Valores!$C$8</f>
        <v>47590.57</v>
      </c>
      <c r="P118" s="125">
        <f>Valores!$D$5</f>
        <v>19410.1</v>
      </c>
      <c r="Q118" s="125">
        <f>Valores!$C$22</f>
        <v>17316.91</v>
      </c>
      <c r="R118" s="125">
        <f>IF($F$4="NO",Valores!$C$44,Valores!$C$44/2)</f>
        <v>13484.02</v>
      </c>
      <c r="S118" s="125">
        <f>Valores!$C$19</f>
        <v>18061.41</v>
      </c>
      <c r="T118" s="125">
        <f t="shared" si="17"/>
        <v>18061.41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Valores!$C$94</f>
        <v>27846.26</v>
      </c>
      <c r="AA118" s="125">
        <f>Valores!$C$25</f>
        <v>793.88</v>
      </c>
      <c r="AB118" s="214">
        <v>0</v>
      </c>
      <c r="AC118" s="125">
        <f t="shared" si="12"/>
        <v>0</v>
      </c>
      <c r="AD118" s="125">
        <f>Valores!$C$26</f>
        <v>793.88</v>
      </c>
      <c r="AE118" s="192">
        <v>0</v>
      </c>
      <c r="AF118" s="125">
        <f>ROUND(AE118*Valores!$C$2,2)</f>
        <v>0</v>
      </c>
      <c r="AG118" s="125">
        <f>ROUND(IF($F$4="NO",Valores!$C$63,Valores!$C$63/2),2)</f>
        <v>9076.17</v>
      </c>
      <c r="AH118" s="125">
        <f t="shared" si="15"/>
        <v>252985.10000000003</v>
      </c>
      <c r="AI118" s="125">
        <f>Valores!$C$31</f>
        <v>0</v>
      </c>
      <c r="AJ118" s="125">
        <f>Valores!$C$87</f>
        <v>0</v>
      </c>
      <c r="AK118" s="125">
        <f>Valores!C$38*B118</f>
        <v>0</v>
      </c>
      <c r="AL118" s="125">
        <f>IF($F$3="NO",0,Valores!$C$56)</f>
        <v>0</v>
      </c>
      <c r="AM118" s="125">
        <f t="shared" si="13"/>
        <v>0</v>
      </c>
      <c r="AN118" s="125">
        <f>AH118*Valores!$C$71</f>
        <v>-27828.361000000004</v>
      </c>
      <c r="AO118" s="125">
        <f>AH118*-Valores!$C$72</f>
        <v>0</v>
      </c>
      <c r="AP118" s="125">
        <f>AH118*Valores!$C$73</f>
        <v>-11384.329500000002</v>
      </c>
      <c r="AQ118" s="125">
        <f>Valores!$C$100</f>
        <v>-554.86</v>
      </c>
      <c r="AR118" s="125">
        <f>IF($F$5=0,Valores!$C$101,(Valores!$C$101+$F$5*(Valores!$C$101)))</f>
        <v>-550</v>
      </c>
      <c r="AS118" s="125">
        <f t="shared" si="16"/>
        <v>212667.54950000002</v>
      </c>
      <c r="AT118" s="125">
        <f t="shared" si="10"/>
        <v>-27828.361000000004</v>
      </c>
      <c r="AU118" s="125">
        <f>AH118*Valores!$C$74</f>
        <v>-6830.597700000001</v>
      </c>
      <c r="AV118" s="125">
        <f>AH118*Valores!$C$75</f>
        <v>-758.9553000000001</v>
      </c>
      <c r="AW118" s="125">
        <f t="shared" si="14"/>
        <v>217567.18600000005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2923.67</v>
      </c>
      <c r="G119" s="192">
        <v>2043</v>
      </c>
      <c r="H119" s="125">
        <f>ROUND(G119*Valores!$C$2,2)</f>
        <v>77572.1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16806.18</v>
      </c>
      <c r="N119" s="125">
        <f t="shared" si="11"/>
        <v>0</v>
      </c>
      <c r="O119" s="125">
        <f>Valores!$C$9</f>
        <v>47713.55</v>
      </c>
      <c r="P119" s="125">
        <f>Valores!$D$5</f>
        <v>19410.1</v>
      </c>
      <c r="Q119" s="125">
        <f>Valores!$C$22</f>
        <v>17316.91</v>
      </c>
      <c r="R119" s="125">
        <f>IF($F$4="NO",Valores!$C$44,Valores!$C$44/2)</f>
        <v>13484.02</v>
      </c>
      <c r="S119" s="125">
        <f>Valores!$C$19</f>
        <v>18061.41</v>
      </c>
      <c r="T119" s="125">
        <f t="shared" si="17"/>
        <v>18061.41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Valores!$C$94</f>
        <v>27846.26</v>
      </c>
      <c r="AA119" s="125">
        <f>Valores!$C$25</f>
        <v>793.88</v>
      </c>
      <c r="AB119" s="214">
        <v>0</v>
      </c>
      <c r="AC119" s="125">
        <f t="shared" si="12"/>
        <v>0</v>
      </c>
      <c r="AD119" s="125">
        <f>Valores!$C$26</f>
        <v>793.88</v>
      </c>
      <c r="AE119" s="192">
        <v>0</v>
      </c>
      <c r="AF119" s="125">
        <f>ROUND(AE119*Valores!$C$2,2)</f>
        <v>0</v>
      </c>
      <c r="AG119" s="125">
        <f>ROUND(IF($F$4="NO",Valores!$C$63,Valores!$C$63/2),2)</f>
        <v>9076.17</v>
      </c>
      <c r="AH119" s="125">
        <f t="shared" si="15"/>
        <v>251798.13000000003</v>
      </c>
      <c r="AI119" s="125">
        <f>Valores!$C$31</f>
        <v>0</v>
      </c>
      <c r="AJ119" s="125">
        <f>Valores!$C$87</f>
        <v>0</v>
      </c>
      <c r="AK119" s="125">
        <f>Valores!C$38*B119</f>
        <v>0</v>
      </c>
      <c r="AL119" s="125">
        <f>IF($F$3="NO",0,Valores!$C$56)</f>
        <v>0</v>
      </c>
      <c r="AM119" s="125">
        <f t="shared" si="13"/>
        <v>0</v>
      </c>
      <c r="AN119" s="125">
        <f>AH119*Valores!$C$71</f>
        <v>-27697.794300000005</v>
      </c>
      <c r="AO119" s="125">
        <f>AH119*-Valores!$C$72</f>
        <v>0</v>
      </c>
      <c r="AP119" s="125">
        <f>AH119*Valores!$C$73</f>
        <v>-11330.915850000001</v>
      </c>
      <c r="AQ119" s="125">
        <f>Valores!$C$100</f>
        <v>-554.86</v>
      </c>
      <c r="AR119" s="125">
        <f>IF($F$5=0,Valores!$C$101,(Valores!$C$101+$F$5*(Valores!$C$101)))</f>
        <v>-550</v>
      </c>
      <c r="AS119" s="125">
        <f t="shared" si="16"/>
        <v>211664.55985000002</v>
      </c>
      <c r="AT119" s="125">
        <f t="shared" si="10"/>
        <v>-27697.794300000005</v>
      </c>
      <c r="AU119" s="125">
        <f>AH119*Valores!$C$74</f>
        <v>-6798.549510000001</v>
      </c>
      <c r="AV119" s="125">
        <f>AH119*Valores!$C$75</f>
        <v>-755.3943900000002</v>
      </c>
      <c r="AW119" s="125">
        <f t="shared" si="14"/>
        <v>216546.39180000004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2885.7</v>
      </c>
      <c r="G120" s="192">
        <v>1954</v>
      </c>
      <c r="H120" s="125">
        <f>ROUND(G120*Valores!$C$2,2)</f>
        <v>74192.79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16293.59</v>
      </c>
      <c r="N120" s="125">
        <f t="shared" si="11"/>
        <v>0</v>
      </c>
      <c r="O120" s="125">
        <f>Valores!$C$9</f>
        <v>47713.55</v>
      </c>
      <c r="P120" s="125">
        <f>Valores!$D$5</f>
        <v>19410.1</v>
      </c>
      <c r="Q120" s="125">
        <f>Valores!$C$22</f>
        <v>17316.91</v>
      </c>
      <c r="R120" s="125">
        <f>IF($F$4="NO",Valores!$C$44,Valores!$C$44/2)</f>
        <v>13484.02</v>
      </c>
      <c r="S120" s="125">
        <f>Valores!$C$19</f>
        <v>18061.41</v>
      </c>
      <c r="T120" s="125">
        <f t="shared" si="17"/>
        <v>18061.41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Valores!$C$94</f>
        <v>27846.26</v>
      </c>
      <c r="AA120" s="125">
        <f>Valores!$C$25</f>
        <v>793.88</v>
      </c>
      <c r="AB120" s="214">
        <v>0</v>
      </c>
      <c r="AC120" s="125">
        <f t="shared" si="12"/>
        <v>0</v>
      </c>
      <c r="AD120" s="125">
        <f>Valores!$C$26</f>
        <v>793.88</v>
      </c>
      <c r="AE120" s="192">
        <v>0</v>
      </c>
      <c r="AF120" s="125">
        <f>ROUND(AE120*Valores!$C$2,2)</f>
        <v>0</v>
      </c>
      <c r="AG120" s="125">
        <f>ROUND(IF($F$4="NO",Valores!$C$63,Valores!$C$63/2),2)</f>
        <v>9076.17</v>
      </c>
      <c r="AH120" s="125">
        <f t="shared" si="15"/>
        <v>247868.26000000004</v>
      </c>
      <c r="AI120" s="125">
        <f>Valores!$C$31</f>
        <v>0</v>
      </c>
      <c r="AJ120" s="125">
        <f>Valores!$C$87</f>
        <v>0</v>
      </c>
      <c r="AK120" s="125">
        <f>Valores!C$38*B120</f>
        <v>0</v>
      </c>
      <c r="AL120" s="125">
        <f>IF($F$3="NO",0,Valores!$C$56)</f>
        <v>0</v>
      </c>
      <c r="AM120" s="125">
        <f t="shared" si="13"/>
        <v>0</v>
      </c>
      <c r="AN120" s="125">
        <f>AH120*Valores!$C$71</f>
        <v>-27265.508600000005</v>
      </c>
      <c r="AO120" s="125">
        <f>AH120*-Valores!$C$72</f>
        <v>0</v>
      </c>
      <c r="AP120" s="125">
        <f>AH120*Valores!$C$73</f>
        <v>-11154.0717</v>
      </c>
      <c r="AQ120" s="125">
        <f>Valores!$C$100</f>
        <v>-554.86</v>
      </c>
      <c r="AR120" s="125">
        <f>IF($F$5=0,Valores!$C$101,(Valores!$C$101+$F$5*(Valores!$C$101)))</f>
        <v>-550</v>
      </c>
      <c r="AS120" s="125">
        <f t="shared" si="16"/>
        <v>208343.81970000005</v>
      </c>
      <c r="AT120" s="125">
        <f t="shared" si="10"/>
        <v>-27265.508600000005</v>
      </c>
      <c r="AU120" s="125">
        <f>AH120*Valores!$C$74</f>
        <v>-6692.443020000001</v>
      </c>
      <c r="AV120" s="125">
        <f>AH120*Valores!$C$75</f>
        <v>-743.6047800000001</v>
      </c>
      <c r="AW120" s="125">
        <f t="shared" si="14"/>
        <v>213166.70360000004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10403.7</v>
      </c>
      <c r="G121" s="192">
        <v>1163</v>
      </c>
      <c r="H121" s="125">
        <f>ROUND(G121*Valores!$C$2,2)</f>
        <v>44158.76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12916.18</v>
      </c>
      <c r="N121" s="125">
        <f t="shared" si="11"/>
        <v>0</v>
      </c>
      <c r="O121" s="125">
        <f>Valores!$C$9</f>
        <v>47713.55</v>
      </c>
      <c r="P121" s="125">
        <f>Valores!$D$5</f>
        <v>19410.1</v>
      </c>
      <c r="Q121" s="125">
        <f>Valores!$C$22</f>
        <v>17316.91</v>
      </c>
      <c r="R121" s="125">
        <f>IF($F$4="NO",Valores!$C$44,Valores!$C$44/2)</f>
        <v>13484.02</v>
      </c>
      <c r="S121" s="125">
        <f>Valores!$C$19</f>
        <v>18061.41</v>
      </c>
      <c r="T121" s="125">
        <f t="shared" si="17"/>
        <v>18061.41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Valores!$C$94</f>
        <v>27846.26</v>
      </c>
      <c r="AA121" s="125">
        <f>Valores!$C$25</f>
        <v>793.88</v>
      </c>
      <c r="AB121" s="214">
        <v>0</v>
      </c>
      <c r="AC121" s="125">
        <f t="shared" si="12"/>
        <v>0</v>
      </c>
      <c r="AD121" s="125">
        <f>Valores!$C$26</f>
        <v>793.88</v>
      </c>
      <c r="AE121" s="192">
        <v>0</v>
      </c>
      <c r="AF121" s="125">
        <f>ROUND(AE121*Valores!$C$2,2)</f>
        <v>0</v>
      </c>
      <c r="AG121" s="125">
        <f>ROUND(IF($F$4="NO",Valores!$C$63,Valores!$C$63/2),2)</f>
        <v>9076.17</v>
      </c>
      <c r="AH121" s="125">
        <f t="shared" si="15"/>
        <v>221974.82000000004</v>
      </c>
      <c r="AI121" s="125">
        <f>Valores!$C$31</f>
        <v>0</v>
      </c>
      <c r="AJ121" s="125">
        <f>Valores!$C$87</f>
        <v>0</v>
      </c>
      <c r="AK121" s="125">
        <f>Valores!C$38*B121</f>
        <v>0</v>
      </c>
      <c r="AL121" s="125">
        <f>IF($F$3="NO",0,Valores!$C$56)</f>
        <v>0</v>
      </c>
      <c r="AM121" s="125">
        <f t="shared" si="13"/>
        <v>0</v>
      </c>
      <c r="AN121" s="125">
        <f>AH121*Valores!$C$71</f>
        <v>-24417.230200000005</v>
      </c>
      <c r="AO121" s="125">
        <f>AH121*-Valores!$C$72</f>
        <v>0</v>
      </c>
      <c r="AP121" s="125">
        <f>AH121*Valores!$C$73</f>
        <v>-9988.8669</v>
      </c>
      <c r="AQ121" s="125">
        <f>Valores!$C$100</f>
        <v>-554.86</v>
      </c>
      <c r="AR121" s="125">
        <f>IF($F$5=0,Valores!$C$101,(Valores!$C$101+$F$5*(Valores!$C$101)))</f>
        <v>-550</v>
      </c>
      <c r="AS121" s="125">
        <f t="shared" si="16"/>
        <v>186463.86290000004</v>
      </c>
      <c r="AT121" s="125">
        <f t="shared" si="10"/>
        <v>-24417.230200000005</v>
      </c>
      <c r="AU121" s="125">
        <f>AH121*Valores!$C$74</f>
        <v>-5993.320140000001</v>
      </c>
      <c r="AV121" s="125">
        <f>AH121*Valores!$C$75</f>
        <v>-665.9244600000001</v>
      </c>
      <c r="AW121" s="125">
        <f t="shared" si="14"/>
        <v>190898.34520000004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106315.16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21107.11</v>
      </c>
      <c r="N122" s="125">
        <f t="shared" si="11"/>
        <v>0</v>
      </c>
      <c r="O122" s="125">
        <f>Valores!$C$16</f>
        <v>32810.75</v>
      </c>
      <c r="P122" s="125">
        <f>Valores!$D$5</f>
        <v>19410.1</v>
      </c>
      <c r="Q122" s="125">
        <f>Valores!$C$22</f>
        <v>17316.91</v>
      </c>
      <c r="R122" s="125">
        <f>IF($F$4="NO",Valores!$C$46,Valores!$C$46/2)</f>
        <v>16522.17</v>
      </c>
      <c r="S122" s="125">
        <f>Valores!$C$20</f>
        <v>17876.75</v>
      </c>
      <c r="T122" s="125">
        <f t="shared" si="17"/>
        <v>17876.75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Valores!$C$94</f>
        <v>27846.26</v>
      </c>
      <c r="AA122" s="125">
        <f>Valores!$C$25</f>
        <v>793.88</v>
      </c>
      <c r="AB122" s="214">
        <v>0</v>
      </c>
      <c r="AC122" s="125">
        <f t="shared" si="12"/>
        <v>0</v>
      </c>
      <c r="AD122" s="125">
        <f>Valores!$C$26</f>
        <v>793.88</v>
      </c>
      <c r="AE122" s="192">
        <v>0</v>
      </c>
      <c r="AF122" s="125">
        <f>ROUND(AE122*Valores!$C$2,2)</f>
        <v>0</v>
      </c>
      <c r="AG122" s="125">
        <f>ROUND(IF($F$4="NO",Valores!$C$63,Valores!$C$63/2),2)</f>
        <v>9076.17</v>
      </c>
      <c r="AH122" s="125">
        <f t="shared" si="15"/>
        <v>269869.14</v>
      </c>
      <c r="AI122" s="125">
        <f>Valores!$C$31</f>
        <v>0</v>
      </c>
      <c r="AJ122" s="125">
        <f>Valores!$C$87</f>
        <v>0</v>
      </c>
      <c r="AK122" s="125">
        <f>Valores!C$38*B122</f>
        <v>0</v>
      </c>
      <c r="AL122" s="125">
        <f>IF($F$3="NO",0,Valores!$C$55)</f>
        <v>0</v>
      </c>
      <c r="AM122" s="125">
        <f t="shared" si="13"/>
        <v>0</v>
      </c>
      <c r="AN122" s="125">
        <f>AH122*Valores!$C$71</f>
        <v>-29685.6054</v>
      </c>
      <c r="AO122" s="125">
        <f>AH122*-Valores!$C$72</f>
        <v>0</v>
      </c>
      <c r="AP122" s="125">
        <f>AH122*Valores!$C$73</f>
        <v>-12144.1113</v>
      </c>
      <c r="AQ122" s="125">
        <f>Valores!$C$100</f>
        <v>-554.86</v>
      </c>
      <c r="AR122" s="125">
        <f>IF($F$5=0,Valores!$C$101,(Valores!$C$101+$F$5*(Valores!$C$101)))</f>
        <v>-550</v>
      </c>
      <c r="AS122" s="125">
        <f t="shared" si="16"/>
        <v>226934.5633</v>
      </c>
      <c r="AT122" s="125">
        <f t="shared" si="10"/>
        <v>-29685.6054</v>
      </c>
      <c r="AU122" s="125">
        <f>AH122*Valores!$C$74</f>
        <v>-7286.466780000001</v>
      </c>
      <c r="AV122" s="125">
        <f>AH122*Valores!$C$75</f>
        <v>-809.60742</v>
      </c>
      <c r="AW122" s="125">
        <f t="shared" si="14"/>
        <v>232087.4604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108213.65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21957.27</v>
      </c>
      <c r="N123" s="125">
        <f t="shared" si="11"/>
        <v>0</v>
      </c>
      <c r="O123" s="125">
        <f>Valores!$C$9</f>
        <v>47713.55</v>
      </c>
      <c r="P123" s="125">
        <f>Valores!$D$5</f>
        <v>19410.1</v>
      </c>
      <c r="Q123" s="125">
        <f>Valores!$C$22</f>
        <v>17316.91</v>
      </c>
      <c r="R123" s="125">
        <f>IF($F$4="NO",Valores!$C$47,Valores!$C$47/2)</f>
        <v>20291.4</v>
      </c>
      <c r="S123" s="125">
        <f>Valores!$C$20</f>
        <v>17876.75</v>
      </c>
      <c r="T123" s="125">
        <f t="shared" si="17"/>
        <v>17876.75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Valores!$C$96</f>
        <v>55692.53</v>
      </c>
      <c r="AA123" s="125">
        <f>Valores!$C$25</f>
        <v>793.88</v>
      </c>
      <c r="AB123" s="214">
        <v>0</v>
      </c>
      <c r="AC123" s="125">
        <f t="shared" si="12"/>
        <v>0</v>
      </c>
      <c r="AD123" s="125">
        <f>Valores!$C$26</f>
        <v>793.88</v>
      </c>
      <c r="AE123" s="192">
        <v>0</v>
      </c>
      <c r="AF123" s="125">
        <f>ROUND(AE123*Valores!$C$2,2)</f>
        <v>0</v>
      </c>
      <c r="AG123" s="125">
        <f>ROUND(IF($F$4="NO",Valores!$C$63,Valores!$C$63/2),2)</f>
        <v>9076.17</v>
      </c>
      <c r="AH123" s="125">
        <f t="shared" si="15"/>
        <v>319136.09</v>
      </c>
      <c r="AI123" s="125">
        <f>Valores!$C$31</f>
        <v>0</v>
      </c>
      <c r="AJ123" s="125">
        <f>Valores!$C$89</f>
        <v>0</v>
      </c>
      <c r="AK123" s="125">
        <f>Valores!C$38*B123</f>
        <v>0</v>
      </c>
      <c r="AL123" s="125">
        <f>IF($F$3="NO",0,Valores!$C$55)</f>
        <v>0</v>
      </c>
      <c r="AM123" s="125">
        <f t="shared" si="13"/>
        <v>0</v>
      </c>
      <c r="AN123" s="125">
        <f>AH123*Valores!$C$71</f>
        <v>-35104.969900000004</v>
      </c>
      <c r="AO123" s="125">
        <f>AH123*-Valores!$C$72</f>
        <v>0</v>
      </c>
      <c r="AP123" s="125">
        <f>AH123*Valores!$C$73</f>
        <v>-14361.12405</v>
      </c>
      <c r="AQ123" s="125">
        <f>Valores!$C$100</f>
        <v>-554.86</v>
      </c>
      <c r="AR123" s="125">
        <f>IF($F$5=0,Valores!$C$101,(Valores!$C$101+$F$5*(Valores!$C$101)))</f>
        <v>-550</v>
      </c>
      <c r="AS123" s="125">
        <f t="shared" si="16"/>
        <v>268565.13605000003</v>
      </c>
      <c r="AT123" s="125">
        <f t="shared" si="10"/>
        <v>-35104.969900000004</v>
      </c>
      <c r="AU123" s="125">
        <f>AH123*Valores!$C$74</f>
        <v>-8616.674430000001</v>
      </c>
      <c r="AV123" s="125">
        <f>AH123*Valores!$C$75</f>
        <v>-957.4082700000001</v>
      </c>
      <c r="AW123" s="125">
        <f t="shared" si="14"/>
        <v>274457.03740000003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65877.43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14471.77</v>
      </c>
      <c r="N124" s="125">
        <f t="shared" si="11"/>
        <v>0</v>
      </c>
      <c r="O124" s="125">
        <f>Valores!$C$16</f>
        <v>32810.75</v>
      </c>
      <c r="P124" s="125">
        <f>Valores!$D$5</f>
        <v>19410.1</v>
      </c>
      <c r="Q124" s="125">
        <v>0</v>
      </c>
      <c r="R124" s="125">
        <f>IF($F$4="NO",Valores!$C$43,Valores!$C$43/2)</f>
        <v>12724.28</v>
      </c>
      <c r="S124" s="125">
        <f>Valores!$C$20</f>
        <v>17876.75</v>
      </c>
      <c r="T124" s="125">
        <f t="shared" si="17"/>
        <v>17876.75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Valores!$C$94</f>
        <v>27846.26</v>
      </c>
      <c r="AA124" s="125">
        <f>Valores!$C$25</f>
        <v>793.88</v>
      </c>
      <c r="AB124" s="214">
        <v>0</v>
      </c>
      <c r="AC124" s="125">
        <f t="shared" si="12"/>
        <v>0</v>
      </c>
      <c r="AD124" s="125">
        <f>Valores!$C$26</f>
        <v>793.88</v>
      </c>
      <c r="AE124" s="192">
        <v>0</v>
      </c>
      <c r="AF124" s="125">
        <f>ROUND(AE124*Valores!$C$2,2)</f>
        <v>0</v>
      </c>
      <c r="AG124" s="125">
        <f>ROUND(IF($F$4="NO",Valores!$C$63,Valores!$C$63/2),2)</f>
        <v>9076.17</v>
      </c>
      <c r="AH124" s="125">
        <f t="shared" si="15"/>
        <v>201681.27000000002</v>
      </c>
      <c r="AI124" s="125">
        <f>Valores!$C$31</f>
        <v>0</v>
      </c>
      <c r="AJ124" s="125">
        <f>Valores!$C$87</f>
        <v>0</v>
      </c>
      <c r="AK124" s="125">
        <f>Valores!C$38*B124</f>
        <v>0</v>
      </c>
      <c r="AL124" s="125">
        <f>IF($F$3="NO",0,Valores!$C$56)</f>
        <v>0</v>
      </c>
      <c r="AM124" s="125">
        <f t="shared" si="13"/>
        <v>0</v>
      </c>
      <c r="AN124" s="125">
        <f>AH124*Valores!$C$71</f>
        <v>-22184.939700000003</v>
      </c>
      <c r="AO124" s="125">
        <f>AH124*-Valores!$C$72</f>
        <v>0</v>
      </c>
      <c r="AP124" s="125">
        <f>AH124*Valores!$C$73</f>
        <v>-9075.657150000001</v>
      </c>
      <c r="AQ124" s="125">
        <f>Valores!$C$100</f>
        <v>-554.86</v>
      </c>
      <c r="AR124" s="125">
        <f>IF($F$5=0,Valores!$C$101,(Valores!$C$101+$F$5*(Valores!$C$101)))</f>
        <v>-550</v>
      </c>
      <c r="AS124" s="125">
        <f t="shared" si="16"/>
        <v>169315.81315</v>
      </c>
      <c r="AT124" s="125">
        <f t="shared" si="10"/>
        <v>-22184.939700000003</v>
      </c>
      <c r="AU124" s="125">
        <f>AH124*Valores!$C$74</f>
        <v>-5445.39429</v>
      </c>
      <c r="AV124" s="125">
        <f>AH124*Valores!$C$75</f>
        <v>-605.0438100000001</v>
      </c>
      <c r="AW124" s="125">
        <f t="shared" si="14"/>
        <v>173445.8922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2733.82</v>
      </c>
      <c r="G125" s="192">
        <v>1590</v>
      </c>
      <c r="H125" s="125">
        <f>ROUND(G125*Valores!$C$2,2)</f>
        <v>60371.82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14056</v>
      </c>
      <c r="N125" s="125">
        <f t="shared" si="11"/>
        <v>0</v>
      </c>
      <c r="O125" s="125">
        <f>Valores!$C$16</f>
        <v>32810.75</v>
      </c>
      <c r="P125" s="125">
        <f>Valores!$D$5</f>
        <v>19410.1</v>
      </c>
      <c r="Q125" s="125">
        <f>Valores!$C$22</f>
        <v>17316.91</v>
      </c>
      <c r="R125" s="125">
        <f>IF($F$4="NO",Valores!$C$43,Valores!$C$43/2)</f>
        <v>12724.28</v>
      </c>
      <c r="S125" s="125">
        <f>Valores!$C$20</f>
        <v>17876.75</v>
      </c>
      <c r="T125" s="125">
        <f t="shared" si="17"/>
        <v>17876.75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Valores!$C$94</f>
        <v>27846.26</v>
      </c>
      <c r="AA125" s="125">
        <f>Valores!$C$25</f>
        <v>793.88</v>
      </c>
      <c r="AB125" s="214">
        <v>0</v>
      </c>
      <c r="AC125" s="125">
        <f t="shared" si="12"/>
        <v>0</v>
      </c>
      <c r="AD125" s="125">
        <f>Valores!$C$26</f>
        <v>793.88</v>
      </c>
      <c r="AE125" s="192">
        <v>0</v>
      </c>
      <c r="AF125" s="125">
        <f>ROUND(AE125*Valores!$C$2,2)</f>
        <v>0</v>
      </c>
      <c r="AG125" s="125">
        <f>ROUND(IF($F$4="NO",Valores!$C$63,Valores!$C$63/2),2)</f>
        <v>9076.17</v>
      </c>
      <c r="AH125" s="125">
        <f t="shared" si="15"/>
        <v>215810.62000000002</v>
      </c>
      <c r="AI125" s="125">
        <f>Valores!$C$31</f>
        <v>0</v>
      </c>
      <c r="AJ125" s="125">
        <f>Valores!$C$87</f>
        <v>0</v>
      </c>
      <c r="AK125" s="125">
        <f>Valores!C$38*B125</f>
        <v>0</v>
      </c>
      <c r="AL125" s="125">
        <f>IF($F$3="NO",0,Valores!$C$56)</f>
        <v>0</v>
      </c>
      <c r="AM125" s="125">
        <f t="shared" si="13"/>
        <v>0</v>
      </c>
      <c r="AN125" s="125">
        <f>AH125*Valores!$C$71</f>
        <v>-23739.168200000004</v>
      </c>
      <c r="AO125" s="125">
        <f>AH125*-Valores!$C$72</f>
        <v>0</v>
      </c>
      <c r="AP125" s="125">
        <f>AH125*Valores!$C$73</f>
        <v>-9711.4779</v>
      </c>
      <c r="AQ125" s="125">
        <f>Valores!$C$100</f>
        <v>-554.86</v>
      </c>
      <c r="AR125" s="125">
        <f>IF($F$5=0,Valores!$C$101,(Valores!$C$101+$F$5*(Valores!$C$101)))</f>
        <v>-550</v>
      </c>
      <c r="AS125" s="125">
        <f t="shared" si="16"/>
        <v>181255.11390000003</v>
      </c>
      <c r="AT125" s="125">
        <f t="shared" si="10"/>
        <v>-23739.168200000004</v>
      </c>
      <c r="AU125" s="125">
        <f>AH125*Valores!$C$74</f>
        <v>-5826.886740000001</v>
      </c>
      <c r="AV125" s="125">
        <f>AH125*Valores!$C$75</f>
        <v>-647.4318600000001</v>
      </c>
      <c r="AW125" s="125">
        <f t="shared" si="14"/>
        <v>185597.1332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2733.82</v>
      </c>
      <c r="G126" s="192">
        <v>1590</v>
      </c>
      <c r="H126" s="125">
        <f>ROUND(G126*Valores!$C$2,2)</f>
        <v>60371.82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14056</v>
      </c>
      <c r="N126" s="125">
        <f t="shared" si="11"/>
        <v>0</v>
      </c>
      <c r="O126" s="125">
        <f>Valores!$C$16</f>
        <v>32810.75</v>
      </c>
      <c r="P126" s="125">
        <f>Valores!$D$5</f>
        <v>19410.1</v>
      </c>
      <c r="Q126" s="125">
        <f>Valores!$C$22</f>
        <v>17316.91</v>
      </c>
      <c r="R126" s="125">
        <f>IF($F$4="NO",Valores!$C$43,Valores!$C$43/2)</f>
        <v>12724.28</v>
      </c>
      <c r="S126" s="125">
        <f>Valores!$C$20</f>
        <v>17876.75</v>
      </c>
      <c r="T126" s="125">
        <f t="shared" si="17"/>
        <v>17876.75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Valores!$C$94</f>
        <v>27846.26</v>
      </c>
      <c r="AA126" s="125">
        <f>Valores!$C$25</f>
        <v>793.88</v>
      </c>
      <c r="AB126" s="214">
        <v>0</v>
      </c>
      <c r="AC126" s="125">
        <f t="shared" si="12"/>
        <v>0</v>
      </c>
      <c r="AD126" s="125">
        <f>Valores!$C$26</f>
        <v>793.88</v>
      </c>
      <c r="AE126" s="192">
        <v>94</v>
      </c>
      <c r="AF126" s="125">
        <f>ROUND(AE126*Valores!$C$2,2)</f>
        <v>3569.15</v>
      </c>
      <c r="AG126" s="125">
        <f>ROUND(IF($F$4="NO",Valores!$C$63,Valores!$C$63/2),2)</f>
        <v>9076.17</v>
      </c>
      <c r="AH126" s="125">
        <f t="shared" si="15"/>
        <v>219379.77000000002</v>
      </c>
      <c r="AI126" s="125">
        <f>Valores!$C$31</f>
        <v>0</v>
      </c>
      <c r="AJ126" s="125">
        <f>Valores!$C$87</f>
        <v>0</v>
      </c>
      <c r="AK126" s="125">
        <f>Valores!C$38*B126</f>
        <v>0</v>
      </c>
      <c r="AL126" s="125">
        <f>IF($F$3="NO",0,Valores!$C$56)</f>
        <v>0</v>
      </c>
      <c r="AM126" s="125">
        <f t="shared" si="13"/>
        <v>0</v>
      </c>
      <c r="AN126" s="125">
        <f>AH126*Valores!$C$71</f>
        <v>-24131.7747</v>
      </c>
      <c r="AO126" s="125">
        <f>AH126*-Valores!$C$72</f>
        <v>0</v>
      </c>
      <c r="AP126" s="125">
        <f>AH126*Valores!$C$73</f>
        <v>-9872.08965</v>
      </c>
      <c r="AQ126" s="125">
        <f>Valores!$C$100</f>
        <v>-554.86</v>
      </c>
      <c r="AR126" s="125">
        <f>IF($F$5=0,Valores!$C$101,(Valores!$C$101+$F$5*(Valores!$C$101)))</f>
        <v>-550</v>
      </c>
      <c r="AS126" s="125">
        <f t="shared" si="16"/>
        <v>184271.04565000001</v>
      </c>
      <c r="AT126" s="125">
        <f t="shared" si="10"/>
        <v>-24131.7747</v>
      </c>
      <c r="AU126" s="125">
        <f>AH126*Valores!$C$74</f>
        <v>-5923.253790000001</v>
      </c>
      <c r="AV126" s="125">
        <f>AH126*Valores!$C$75</f>
        <v>-658.13931</v>
      </c>
      <c r="AW126" s="125">
        <f t="shared" si="14"/>
        <v>188666.60220000002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2923.67</v>
      </c>
      <c r="G127" s="192">
        <v>2043</v>
      </c>
      <c r="H127" s="125">
        <f>ROUND(G127*Valores!$C$2,2)</f>
        <v>77572.1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16806.18</v>
      </c>
      <c r="N127" s="125">
        <f t="shared" si="11"/>
        <v>0</v>
      </c>
      <c r="O127" s="125">
        <f>Valores!$C$11</f>
        <v>33856.51</v>
      </c>
      <c r="P127" s="125">
        <f>Valores!$D$5</f>
        <v>19410.1</v>
      </c>
      <c r="Q127" s="125">
        <f>Valores!$C$22</f>
        <v>17316.91</v>
      </c>
      <c r="R127" s="125">
        <f>IF($F$4="NO",Valores!$C$44,Valores!$C$44/2)</f>
        <v>13484.02</v>
      </c>
      <c r="S127" s="125">
        <f>Valores!$C$19</f>
        <v>18061.41</v>
      </c>
      <c r="T127" s="125">
        <f t="shared" si="17"/>
        <v>18061.41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Valores!$C$94</f>
        <v>27846.26</v>
      </c>
      <c r="AA127" s="125">
        <f>Valores!$C$25</f>
        <v>793.88</v>
      </c>
      <c r="AB127" s="214">
        <v>0</v>
      </c>
      <c r="AC127" s="125">
        <f t="shared" si="12"/>
        <v>0</v>
      </c>
      <c r="AD127" s="125">
        <f>Valores!$C$26</f>
        <v>793.88</v>
      </c>
      <c r="AE127" s="192">
        <v>0</v>
      </c>
      <c r="AF127" s="125">
        <f>ROUND(AE127*Valores!$C$2,2)</f>
        <v>0</v>
      </c>
      <c r="AG127" s="125">
        <f>ROUND(IF($F$4="NO",Valores!$C$63,Valores!$C$63/2),2)</f>
        <v>9076.17</v>
      </c>
      <c r="AH127" s="125">
        <f t="shared" si="15"/>
        <v>237941.09000000005</v>
      </c>
      <c r="AI127" s="125">
        <f>Valores!$C$31</f>
        <v>0</v>
      </c>
      <c r="AJ127" s="125">
        <f>Valores!$C$87</f>
        <v>0</v>
      </c>
      <c r="AK127" s="125">
        <f>Valores!C$38*B127</f>
        <v>0</v>
      </c>
      <c r="AL127" s="125">
        <f>IF($F$3="NO",0,Valores!$C$56)</f>
        <v>0</v>
      </c>
      <c r="AM127" s="125">
        <f t="shared" si="13"/>
        <v>0</v>
      </c>
      <c r="AN127" s="125">
        <f>AH127*Valores!$C$71</f>
        <v>-26173.519900000007</v>
      </c>
      <c r="AO127" s="125">
        <f>AH127*-Valores!$C$72</f>
        <v>0</v>
      </c>
      <c r="AP127" s="125">
        <f>AH127*Valores!$C$73</f>
        <v>-10707.349050000003</v>
      </c>
      <c r="AQ127" s="125">
        <f>Valores!$C$100</f>
        <v>-554.86</v>
      </c>
      <c r="AR127" s="125">
        <f>IF($F$5=0,Valores!$C$101,(Valores!$C$101+$F$5*(Valores!$C$101)))</f>
        <v>-550</v>
      </c>
      <c r="AS127" s="125">
        <f t="shared" si="16"/>
        <v>199955.36105000004</v>
      </c>
      <c r="AT127" s="125">
        <f t="shared" si="10"/>
        <v>-26173.519900000007</v>
      </c>
      <c r="AU127" s="125">
        <f>AH127*Valores!$C$74</f>
        <v>-6424.4094300000015</v>
      </c>
      <c r="AV127" s="125">
        <f>AH127*Valores!$C$75</f>
        <v>-713.8232700000002</v>
      </c>
      <c r="AW127" s="125">
        <f t="shared" si="14"/>
        <v>204629.33740000005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2316.15</v>
      </c>
      <c r="G128" s="192">
        <v>1217</v>
      </c>
      <c r="H128" s="125">
        <f>ROUND(G128*Valores!$C$2,2)</f>
        <v>46209.12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11896.64</v>
      </c>
      <c r="N128" s="125">
        <f t="shared" si="11"/>
        <v>0</v>
      </c>
      <c r="O128" s="125">
        <f>Valores!$C$16</f>
        <v>32810.75</v>
      </c>
      <c r="P128" s="125">
        <f>Valores!$D$5</f>
        <v>19410.1</v>
      </c>
      <c r="Q128" s="125">
        <f>Valores!$C$22</f>
        <v>17316.91</v>
      </c>
      <c r="R128" s="125">
        <f>IF($F$4="NO",Valores!$C$43,Valores!$C$43/2)</f>
        <v>12724.28</v>
      </c>
      <c r="S128" s="125">
        <f>Valores!$C$19</f>
        <v>18061.41</v>
      </c>
      <c r="T128" s="125">
        <f t="shared" si="17"/>
        <v>18061.41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Valores!$C$94</f>
        <v>27846.26</v>
      </c>
      <c r="AA128" s="125">
        <f>Valores!$C$25</f>
        <v>793.88</v>
      </c>
      <c r="AB128" s="214">
        <v>0</v>
      </c>
      <c r="AC128" s="125">
        <f t="shared" si="12"/>
        <v>0</v>
      </c>
      <c r="AD128" s="125">
        <f>Valores!$C$26</f>
        <v>793.88</v>
      </c>
      <c r="AE128" s="192">
        <v>0</v>
      </c>
      <c r="AF128" s="125">
        <f>ROUND(AE128*Valores!$C$2,2)</f>
        <v>0</v>
      </c>
      <c r="AG128" s="125">
        <f>ROUND(IF($F$4="NO",Valores!$C$63,Valores!$C$63/2),2)</f>
        <v>9076.17</v>
      </c>
      <c r="AH128" s="125">
        <f t="shared" si="15"/>
        <v>199255.55000000005</v>
      </c>
      <c r="AI128" s="125">
        <f>Valores!$C$31</f>
        <v>0</v>
      </c>
      <c r="AJ128" s="125">
        <f>Valores!$C$87</f>
        <v>0</v>
      </c>
      <c r="AK128" s="125">
        <f>Valores!C$38*B128</f>
        <v>0</v>
      </c>
      <c r="AL128" s="125">
        <f>IF($F$3="NO",0,Valores!$C$56)</f>
        <v>0</v>
      </c>
      <c r="AM128" s="125">
        <f t="shared" si="13"/>
        <v>0</v>
      </c>
      <c r="AN128" s="125">
        <f>AH128*Valores!$C$71</f>
        <v>-21918.110500000006</v>
      </c>
      <c r="AO128" s="125">
        <f>AH128*-Valores!$C$72</f>
        <v>0</v>
      </c>
      <c r="AP128" s="125">
        <f>AH128*Valores!$C$73</f>
        <v>-8966.49975</v>
      </c>
      <c r="AQ128" s="125">
        <f>Valores!$C$100</f>
        <v>-554.86</v>
      </c>
      <c r="AR128" s="125">
        <f>IF($F$5=0,Valores!$C$101,(Valores!$C$101+$F$5*(Valores!$C$101)))</f>
        <v>-550</v>
      </c>
      <c r="AS128" s="125">
        <f t="shared" si="16"/>
        <v>167266.07975000003</v>
      </c>
      <c r="AT128" s="125">
        <f t="shared" si="10"/>
        <v>-21918.110500000006</v>
      </c>
      <c r="AU128" s="125">
        <f>AH128*Valores!$C$74</f>
        <v>-5379.899850000002</v>
      </c>
      <c r="AV128" s="125">
        <f>AH128*Valores!$C$75</f>
        <v>-597.7666500000001</v>
      </c>
      <c r="AW128" s="125">
        <f t="shared" si="14"/>
        <v>171359.77300000004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2733.82</v>
      </c>
      <c r="G129" s="192">
        <v>1206</v>
      </c>
      <c r="H129" s="125">
        <f>ROUND(G129*Valores!$C$2,2)</f>
        <v>45791.46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11896.65</v>
      </c>
      <c r="N129" s="125">
        <f t="shared" si="11"/>
        <v>0</v>
      </c>
      <c r="O129" s="125">
        <f>Valores!$C$16</f>
        <v>32810.75</v>
      </c>
      <c r="P129" s="125">
        <f>Valores!$D$5</f>
        <v>19410.1</v>
      </c>
      <c r="Q129" s="125">
        <f>Valores!$C$22</f>
        <v>17316.91</v>
      </c>
      <c r="R129" s="125">
        <f>IF($F$4="NO",Valores!$C$43,Valores!$C$43/2)</f>
        <v>12724.28</v>
      </c>
      <c r="S129" s="125">
        <f>Valores!$C$19</f>
        <v>18061.41</v>
      </c>
      <c r="T129" s="125">
        <f t="shared" si="17"/>
        <v>18061.41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Valores!$C$94</f>
        <v>27846.26</v>
      </c>
      <c r="AA129" s="125">
        <f>Valores!$C$25</f>
        <v>793.88</v>
      </c>
      <c r="AB129" s="214">
        <v>0</v>
      </c>
      <c r="AC129" s="125">
        <f t="shared" si="12"/>
        <v>0</v>
      </c>
      <c r="AD129" s="125">
        <f>Valores!$C$26</f>
        <v>793.88</v>
      </c>
      <c r="AE129" s="192">
        <v>94</v>
      </c>
      <c r="AF129" s="125">
        <f>ROUND(AE129*Valores!$C$2,2)</f>
        <v>3569.15</v>
      </c>
      <c r="AG129" s="125">
        <f>ROUND(IF($F$4="NO",Valores!$C$63,Valores!$C$63/2),2)</f>
        <v>9076.17</v>
      </c>
      <c r="AH129" s="125">
        <f t="shared" si="15"/>
        <v>202824.72000000003</v>
      </c>
      <c r="AI129" s="125">
        <f>Valores!$C$31</f>
        <v>0</v>
      </c>
      <c r="AJ129" s="125">
        <f>Valores!$C$87</f>
        <v>0</v>
      </c>
      <c r="AK129" s="125">
        <f>Valores!C$38*B129</f>
        <v>0</v>
      </c>
      <c r="AL129" s="125">
        <f>IF($F$3="NO",0,Valores!$C$56)</f>
        <v>0</v>
      </c>
      <c r="AM129" s="125">
        <f t="shared" si="13"/>
        <v>0</v>
      </c>
      <c r="AN129" s="125">
        <f>AH129*Valores!$C$71</f>
        <v>-22310.719200000003</v>
      </c>
      <c r="AO129" s="125">
        <f>AH129*-Valores!$C$72</f>
        <v>0</v>
      </c>
      <c r="AP129" s="125">
        <f>AH129*Valores!$C$73</f>
        <v>-9127.112400000002</v>
      </c>
      <c r="AQ129" s="125">
        <f>Valores!$C$100</f>
        <v>-554.86</v>
      </c>
      <c r="AR129" s="125">
        <f>IF($F$5=0,Valores!$C$101,(Valores!$C$101+$F$5*(Valores!$C$101)))</f>
        <v>-550</v>
      </c>
      <c r="AS129" s="125">
        <f t="shared" si="16"/>
        <v>170282.0284</v>
      </c>
      <c r="AT129" s="125">
        <f t="shared" si="10"/>
        <v>-22310.719200000003</v>
      </c>
      <c r="AU129" s="125">
        <f>AH129*Valores!$C$74</f>
        <v>-5476.2674400000005</v>
      </c>
      <c r="AV129" s="125">
        <f>AH129*Valores!$C$75</f>
        <v>-608.4741600000001</v>
      </c>
      <c r="AW129" s="125">
        <f t="shared" si="14"/>
        <v>174429.25920000003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2316.15</v>
      </c>
      <c r="G130" s="192">
        <v>1217</v>
      </c>
      <c r="H130" s="125">
        <f>ROUND(G130*Valores!$C$2,2)</f>
        <v>46209.12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11868.95</v>
      </c>
      <c r="N130" s="125">
        <f t="shared" si="11"/>
        <v>0</v>
      </c>
      <c r="O130" s="125">
        <f>Valores!$C$16</f>
        <v>32810.75</v>
      </c>
      <c r="P130" s="125">
        <f>Valores!$D$5</f>
        <v>19410.1</v>
      </c>
      <c r="Q130" s="125">
        <v>0</v>
      </c>
      <c r="R130" s="125">
        <f>IF($F$4="NO",Valores!$C$43,Valores!$C$43/2)</f>
        <v>12724.28</v>
      </c>
      <c r="S130" s="125">
        <f>Valores!$C$20</f>
        <v>17876.75</v>
      </c>
      <c r="T130" s="125">
        <f t="shared" si="17"/>
        <v>17876.75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Valores!$C$94</f>
        <v>27846.26</v>
      </c>
      <c r="AA130" s="125">
        <f>Valores!$C$25</f>
        <v>793.88</v>
      </c>
      <c r="AB130" s="214">
        <v>0</v>
      </c>
      <c r="AC130" s="125">
        <f t="shared" si="12"/>
        <v>0</v>
      </c>
      <c r="AD130" s="125">
        <f>Valores!$C$26</f>
        <v>793.88</v>
      </c>
      <c r="AE130" s="192">
        <v>0</v>
      </c>
      <c r="AF130" s="125">
        <f>ROUND(AE130*Valores!$C$2,2)</f>
        <v>0</v>
      </c>
      <c r="AG130" s="125">
        <f>ROUND(IF($F$4="NO",Valores!$C$63,Valores!$C$63/2),2)</f>
        <v>9076.17</v>
      </c>
      <c r="AH130" s="125">
        <f t="shared" si="15"/>
        <v>181726.29000000004</v>
      </c>
      <c r="AI130" s="125">
        <f>Valores!$C$31</f>
        <v>0</v>
      </c>
      <c r="AJ130" s="125">
        <f>Valores!$C$87</f>
        <v>0</v>
      </c>
      <c r="AK130" s="125">
        <f>Valores!C$38*B130</f>
        <v>0</v>
      </c>
      <c r="AL130" s="125">
        <f>IF($F$3="NO",0,Valores!$C$56)</f>
        <v>0</v>
      </c>
      <c r="AM130" s="125">
        <f t="shared" si="13"/>
        <v>0</v>
      </c>
      <c r="AN130" s="125">
        <f>AH130*Valores!$C$71</f>
        <v>-19989.891900000006</v>
      </c>
      <c r="AO130" s="125">
        <f>AH130*-Valores!$C$72</f>
        <v>0</v>
      </c>
      <c r="AP130" s="125">
        <f>AH130*Valores!$C$73</f>
        <v>-8177.6830500000015</v>
      </c>
      <c r="AQ130" s="125">
        <f>Valores!$C$100</f>
        <v>-554.86</v>
      </c>
      <c r="AR130" s="125">
        <f>IF($F$5=0,Valores!$C$101,(Valores!$C$101+$F$5*(Valores!$C$101)))</f>
        <v>-550</v>
      </c>
      <c r="AS130" s="125">
        <f t="shared" si="16"/>
        <v>152453.85505</v>
      </c>
      <c r="AT130" s="125">
        <f t="shared" si="10"/>
        <v>-19989.891900000006</v>
      </c>
      <c r="AU130" s="125">
        <f>AH130*Valores!$C$74</f>
        <v>-4906.609830000001</v>
      </c>
      <c r="AV130" s="125">
        <f>AH130*Valores!$C$75</f>
        <v>-545.1788700000001</v>
      </c>
      <c r="AW130" s="125">
        <f t="shared" si="14"/>
        <v>156284.60940000002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48525.28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11982.91</v>
      </c>
      <c r="N131" s="125">
        <f t="shared" si="11"/>
        <v>0</v>
      </c>
      <c r="O131" s="125">
        <f>Valores!$C$16</f>
        <v>32810.75</v>
      </c>
      <c r="P131" s="125">
        <f>Valores!$D$5</f>
        <v>19410.1</v>
      </c>
      <c r="Q131" s="125">
        <f>Valores!$C$22</f>
        <v>17316.91</v>
      </c>
      <c r="R131" s="125">
        <f>IF($F$4="NO",Valores!$C$44,Valores!$C$44/2)</f>
        <v>13484.02</v>
      </c>
      <c r="S131" s="125">
        <f>Valores!$C$20</f>
        <v>17876.75</v>
      </c>
      <c r="T131" s="125">
        <f t="shared" si="17"/>
        <v>17876.75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Valores!$C$94</f>
        <v>27846.26</v>
      </c>
      <c r="AA131" s="125">
        <f>Valores!$C$25</f>
        <v>793.88</v>
      </c>
      <c r="AB131" s="214">
        <v>0</v>
      </c>
      <c r="AC131" s="125">
        <f t="shared" si="12"/>
        <v>0</v>
      </c>
      <c r="AD131" s="125">
        <f>Valores!$C$26</f>
        <v>793.88</v>
      </c>
      <c r="AE131" s="192">
        <v>0</v>
      </c>
      <c r="AF131" s="125">
        <f>ROUND(AE131*Valores!$C$2,2)</f>
        <v>0</v>
      </c>
      <c r="AG131" s="125">
        <f>ROUND(IF($F$4="NO",Valores!$C$63,Valores!$C$63/2),2)</f>
        <v>9076.17</v>
      </c>
      <c r="AH131" s="125">
        <f t="shared" si="15"/>
        <v>199916.91000000003</v>
      </c>
      <c r="AI131" s="125">
        <f>Valores!$C$31</f>
        <v>0</v>
      </c>
      <c r="AJ131" s="125">
        <f>Valores!$C$87</f>
        <v>0</v>
      </c>
      <c r="AK131" s="125">
        <f>Valores!C$38*B131</f>
        <v>0</v>
      </c>
      <c r="AL131" s="125">
        <f>IF($F$3="NO",0,Valores!$C$56)</f>
        <v>0</v>
      </c>
      <c r="AM131" s="125">
        <f t="shared" si="13"/>
        <v>0</v>
      </c>
      <c r="AN131" s="125">
        <f>AH131*Valores!$C$71</f>
        <v>-21990.860100000005</v>
      </c>
      <c r="AO131" s="125">
        <f>AH131*-Valores!$C$72</f>
        <v>0</v>
      </c>
      <c r="AP131" s="125">
        <f>AH131*Valores!$C$73</f>
        <v>-8996.260950000002</v>
      </c>
      <c r="AQ131" s="125">
        <f>Valores!$C$100</f>
        <v>-554.86</v>
      </c>
      <c r="AR131" s="125">
        <f>IF($F$5=0,Valores!$C$101,(Valores!$C$101+$F$5*(Valores!$C$101)))</f>
        <v>-550</v>
      </c>
      <c r="AS131" s="125">
        <f t="shared" si="16"/>
        <v>167824.92895000003</v>
      </c>
      <c r="AT131" s="125">
        <f t="shared" si="10"/>
        <v>-21990.860100000005</v>
      </c>
      <c r="AU131" s="125">
        <f>AH131*Valores!$C$74</f>
        <v>-5397.7565700000005</v>
      </c>
      <c r="AV131" s="125">
        <f>AH131*Valores!$C$75</f>
        <v>-599.7507300000001</v>
      </c>
      <c r="AW131" s="125">
        <f t="shared" si="14"/>
        <v>171928.54260000002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48525.28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12010.61</v>
      </c>
      <c r="N132" s="125">
        <f t="shared" si="11"/>
        <v>0</v>
      </c>
      <c r="O132" s="125">
        <f>Valores!$C$16</f>
        <v>32810.75</v>
      </c>
      <c r="P132" s="125">
        <f>Valores!$D$5</f>
        <v>19410.1</v>
      </c>
      <c r="Q132" s="125">
        <f>Valores!$C$22</f>
        <v>17316.91</v>
      </c>
      <c r="R132" s="125">
        <f>IF($F$4="NO",Valores!$C$44,Valores!$C$44/2)</f>
        <v>13484.02</v>
      </c>
      <c r="S132" s="125">
        <f>Valores!$C$19</f>
        <v>18061.41</v>
      </c>
      <c r="T132" s="125">
        <f t="shared" si="17"/>
        <v>18061.41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Valores!$C$94</f>
        <v>27846.26</v>
      </c>
      <c r="AA132" s="125">
        <f>Valores!$C$25</f>
        <v>793.88</v>
      </c>
      <c r="AB132" s="214">
        <v>0</v>
      </c>
      <c r="AC132" s="125">
        <f t="shared" si="12"/>
        <v>0</v>
      </c>
      <c r="AD132" s="125">
        <f>Valores!$C$26</f>
        <v>793.88</v>
      </c>
      <c r="AE132" s="192">
        <v>94</v>
      </c>
      <c r="AF132" s="125">
        <f>ROUND(AE132*Valores!$C$2,2)</f>
        <v>3569.15</v>
      </c>
      <c r="AG132" s="125">
        <f>ROUND(IF($F$4="NO",Valores!$C$63,Valores!$C$63/2),2)</f>
        <v>9076.17</v>
      </c>
      <c r="AH132" s="125">
        <f t="shared" si="15"/>
        <v>203698.42</v>
      </c>
      <c r="AI132" s="125">
        <f>Valores!$C$31</f>
        <v>0</v>
      </c>
      <c r="AJ132" s="125">
        <f>Valores!$C$87</f>
        <v>0</v>
      </c>
      <c r="AK132" s="125">
        <f>Valores!C$38*B132</f>
        <v>0</v>
      </c>
      <c r="AL132" s="125">
        <f>IF($F$3="NO",0,Valores!$C$56)</f>
        <v>0</v>
      </c>
      <c r="AM132" s="125">
        <f t="shared" si="13"/>
        <v>0</v>
      </c>
      <c r="AN132" s="125">
        <f>AH132*Valores!$C$71</f>
        <v>-22406.826200000003</v>
      </c>
      <c r="AO132" s="125">
        <f>AH132*-Valores!$C$72</f>
        <v>0</v>
      </c>
      <c r="AP132" s="125">
        <f>AH132*Valores!$C$73</f>
        <v>-9166.4289</v>
      </c>
      <c r="AQ132" s="125">
        <f>Valores!$C$100</f>
        <v>-554.86</v>
      </c>
      <c r="AR132" s="125">
        <f>IF($F$5=0,Valores!$C$101,(Valores!$C$101+$F$5*(Valores!$C$101)))</f>
        <v>-550</v>
      </c>
      <c r="AS132" s="125">
        <f t="shared" si="16"/>
        <v>171020.30490000002</v>
      </c>
      <c r="AT132" s="125">
        <f t="shared" si="10"/>
        <v>-22406.826200000003</v>
      </c>
      <c r="AU132" s="125">
        <f>AH132*Valores!$C$74</f>
        <v>-5499.8573400000005</v>
      </c>
      <c r="AV132" s="125">
        <f>AH132*Valores!$C$75</f>
        <v>-611.09526</v>
      </c>
      <c r="AW132" s="125">
        <f t="shared" si="14"/>
        <v>175180.6412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35539.64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9921.1</v>
      </c>
      <c r="N133" s="125">
        <f t="shared" si="11"/>
        <v>0</v>
      </c>
      <c r="O133" s="125">
        <f>Valores!$C$16</f>
        <v>32810.75</v>
      </c>
      <c r="P133" s="125">
        <f>Valores!$D$5</f>
        <v>19410.1</v>
      </c>
      <c r="Q133" s="125">
        <f>Valores!$C$23</f>
        <v>16117.43</v>
      </c>
      <c r="R133" s="125">
        <f>IF($F$4="NO",Valores!$C$43,Valores!$C$43/2)</f>
        <v>12724.28</v>
      </c>
      <c r="S133" s="125">
        <f>Valores!$C$20</f>
        <v>17876.75</v>
      </c>
      <c r="T133" s="125">
        <f t="shared" si="17"/>
        <v>17876.75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Valores!$C$94</f>
        <v>27846.26</v>
      </c>
      <c r="AA133" s="125">
        <f>Valores!$C$25</f>
        <v>793.88</v>
      </c>
      <c r="AB133" s="214">
        <v>0</v>
      </c>
      <c r="AC133" s="125">
        <f t="shared" si="12"/>
        <v>0</v>
      </c>
      <c r="AD133" s="125">
        <f>Valores!$C$26</f>
        <v>793.88</v>
      </c>
      <c r="AE133" s="192">
        <v>94</v>
      </c>
      <c r="AF133" s="125">
        <f>ROUND(AE133*Valores!$C$2,2)</f>
        <v>3569.15</v>
      </c>
      <c r="AG133" s="125">
        <f>ROUND(IF($F$4="NO",Valores!$C$63,Valores!$C$63/2),2)</f>
        <v>9076.17</v>
      </c>
      <c r="AH133" s="125">
        <f t="shared" si="15"/>
        <v>186479.39</v>
      </c>
      <c r="AI133" s="125">
        <f>Valores!$C$31</f>
        <v>0</v>
      </c>
      <c r="AJ133" s="125">
        <f>Valores!$C$87</f>
        <v>0</v>
      </c>
      <c r="AK133" s="125">
        <f>Valores!C$38*B133</f>
        <v>0</v>
      </c>
      <c r="AL133" s="125">
        <f>IF($F$3="NO",0,Valores!$C$56)</f>
        <v>0</v>
      </c>
      <c r="AM133" s="125">
        <f t="shared" si="13"/>
        <v>0</v>
      </c>
      <c r="AN133" s="125">
        <f>AH133*Valores!$C$71</f>
        <v>-20512.732900000003</v>
      </c>
      <c r="AO133" s="125">
        <f>AH133*-Valores!$C$72</f>
        <v>0</v>
      </c>
      <c r="AP133" s="125">
        <f>AH133*Valores!$C$73</f>
        <v>-8391.57255</v>
      </c>
      <c r="AQ133" s="125">
        <f>Valores!$C$100</f>
        <v>-554.86</v>
      </c>
      <c r="AR133" s="125">
        <f>IF($F$5=0,Valores!$C$101,(Valores!$C$101+$F$5*(Valores!$C$101)))</f>
        <v>-550</v>
      </c>
      <c r="AS133" s="125">
        <f t="shared" si="16"/>
        <v>156470.22455</v>
      </c>
      <c r="AT133" s="125">
        <f t="shared" si="10"/>
        <v>-20512.732900000003</v>
      </c>
      <c r="AU133" s="125">
        <f>AH133*Valores!$C$74</f>
        <v>-5034.9435300000005</v>
      </c>
      <c r="AV133" s="125">
        <f>AH133*Valores!$C$75</f>
        <v>-559.43817</v>
      </c>
      <c r="AW133" s="125">
        <f t="shared" si="14"/>
        <v>160372.2754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48525.28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11868.95</v>
      </c>
      <c r="N134" s="125">
        <f t="shared" si="11"/>
        <v>0</v>
      </c>
      <c r="O134" s="125">
        <f>Valores!$C$8</f>
        <v>47590.57</v>
      </c>
      <c r="P134" s="125">
        <f>Valores!$D$5</f>
        <v>19410.1</v>
      </c>
      <c r="Q134" s="125">
        <v>0</v>
      </c>
      <c r="R134" s="125">
        <f>IF($F$4="NO",Valores!$C$43,Valores!$C$43/2)</f>
        <v>12724.28</v>
      </c>
      <c r="S134" s="125">
        <f>Valores!$C$20</f>
        <v>17876.75</v>
      </c>
      <c r="T134" s="125">
        <f t="shared" si="17"/>
        <v>17876.75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Valores!$C$94</f>
        <v>27846.26</v>
      </c>
      <c r="AA134" s="125">
        <f>Valores!$C$25</f>
        <v>793.88</v>
      </c>
      <c r="AB134" s="214">
        <v>0</v>
      </c>
      <c r="AC134" s="125">
        <f t="shared" si="12"/>
        <v>0</v>
      </c>
      <c r="AD134" s="125">
        <f>Valores!$C$26</f>
        <v>793.88</v>
      </c>
      <c r="AE134" s="192">
        <v>94</v>
      </c>
      <c r="AF134" s="125">
        <f>ROUND(AE134*Valores!$C$2,2)</f>
        <v>3569.15</v>
      </c>
      <c r="AG134" s="125">
        <f>ROUND(IF($F$4="NO",Valores!$C$63,Valores!$C$63/2),2)</f>
        <v>9076.17</v>
      </c>
      <c r="AH134" s="125">
        <f t="shared" si="15"/>
        <v>200075.27000000002</v>
      </c>
      <c r="AI134" s="125">
        <f>Valores!$C$31</f>
        <v>0</v>
      </c>
      <c r="AJ134" s="125">
        <f>Valores!$C$87</f>
        <v>0</v>
      </c>
      <c r="AK134" s="125">
        <f>Valores!C$38*B134</f>
        <v>0</v>
      </c>
      <c r="AL134" s="125">
        <f>IF($F$3="NO",0,Valores!$C$56)</f>
        <v>0</v>
      </c>
      <c r="AM134" s="125">
        <f t="shared" si="13"/>
        <v>0</v>
      </c>
      <c r="AN134" s="125">
        <f>AH134*Valores!$C$71</f>
        <v>-22008.279700000003</v>
      </c>
      <c r="AO134" s="125">
        <f>AH134*-Valores!$C$72</f>
        <v>0</v>
      </c>
      <c r="AP134" s="125">
        <f>AH134*Valores!$C$73</f>
        <v>-9003.38715</v>
      </c>
      <c r="AQ134" s="125">
        <f>Valores!$C$100</f>
        <v>-554.86</v>
      </c>
      <c r="AR134" s="125">
        <f>IF($F$5=0,Valores!$C$101,(Valores!$C$101+$F$5*(Valores!$C$101)))</f>
        <v>-550</v>
      </c>
      <c r="AS134" s="125">
        <f t="shared" si="16"/>
        <v>167958.74315000002</v>
      </c>
      <c r="AT134" s="125">
        <f aca="true" t="shared" si="18" ref="AT134:AT196">AN134</f>
        <v>-22008.279700000003</v>
      </c>
      <c r="AU134" s="125">
        <f>AH134*Valores!$C$74</f>
        <v>-5402.03229</v>
      </c>
      <c r="AV134" s="125">
        <f>AH134*Valores!$C$75</f>
        <v>-600.22581</v>
      </c>
      <c r="AW134" s="125">
        <f t="shared" si="14"/>
        <v>172064.73220000003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48525.28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12010.61</v>
      </c>
      <c r="N135" s="125">
        <f t="shared" si="11"/>
        <v>0</v>
      </c>
      <c r="O135" s="125">
        <f>Valores!$C$8</f>
        <v>47590.57</v>
      </c>
      <c r="P135" s="125">
        <f>Valores!$D$5</f>
        <v>19410.1</v>
      </c>
      <c r="Q135" s="125">
        <f>Valores!$C$22</f>
        <v>17316.91</v>
      </c>
      <c r="R135" s="125">
        <f>IF($F$4="NO",Valores!$C$44,Valores!$C$44/2)</f>
        <v>13484.02</v>
      </c>
      <c r="S135" s="125">
        <f>Valores!$C$19</f>
        <v>18061.41</v>
      </c>
      <c r="T135" s="125">
        <f t="shared" si="17"/>
        <v>18061.41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Valores!$C$94</f>
        <v>27846.26</v>
      </c>
      <c r="AA135" s="125">
        <f>Valores!$C$25</f>
        <v>793.88</v>
      </c>
      <c r="AB135" s="214">
        <v>0</v>
      </c>
      <c r="AC135" s="125">
        <f t="shared" si="12"/>
        <v>0</v>
      </c>
      <c r="AD135" s="125">
        <f>Valores!$C$26</f>
        <v>793.88</v>
      </c>
      <c r="AE135" s="192">
        <v>0</v>
      </c>
      <c r="AF135" s="125">
        <f>ROUND(AE135*Valores!$C$2,2)</f>
        <v>0</v>
      </c>
      <c r="AG135" s="125">
        <f>ROUND(IF($F$4="NO",Valores!$C$63,Valores!$C$63/2),2)</f>
        <v>9076.17</v>
      </c>
      <c r="AH135" s="125">
        <f t="shared" si="15"/>
        <v>214909.09000000003</v>
      </c>
      <c r="AI135" s="125">
        <f>Valores!$C$31</f>
        <v>0</v>
      </c>
      <c r="AJ135" s="125">
        <f>Valores!$C$87</f>
        <v>0</v>
      </c>
      <c r="AK135" s="125">
        <f>Valores!C$38*B135</f>
        <v>0</v>
      </c>
      <c r="AL135" s="125">
        <f>IF($F$3="NO",0,Valores!$C$56)</f>
        <v>0</v>
      </c>
      <c r="AM135" s="125">
        <f t="shared" si="13"/>
        <v>0</v>
      </c>
      <c r="AN135" s="125">
        <f>AH135*Valores!$C$71</f>
        <v>-23639.999900000003</v>
      </c>
      <c r="AO135" s="125">
        <f>AH135*-Valores!$C$72</f>
        <v>0</v>
      </c>
      <c r="AP135" s="125">
        <f>AH135*Valores!$C$73</f>
        <v>-9670.90905</v>
      </c>
      <c r="AQ135" s="125">
        <f>Valores!$C$100</f>
        <v>-554.86</v>
      </c>
      <c r="AR135" s="125">
        <f>IF($F$5=0,Valores!$C$101,(Valores!$C$101+$F$5*(Valores!$C$101)))</f>
        <v>-550</v>
      </c>
      <c r="AS135" s="125">
        <f t="shared" si="16"/>
        <v>180493.32105000003</v>
      </c>
      <c r="AT135" s="125">
        <f t="shared" si="18"/>
        <v>-23639.999900000003</v>
      </c>
      <c r="AU135" s="125">
        <f>AH135*Valores!$C$74</f>
        <v>-5802.545430000001</v>
      </c>
      <c r="AV135" s="125">
        <f>AH135*Valores!$C$75</f>
        <v>-644.7272700000001</v>
      </c>
      <c r="AW135" s="125">
        <f t="shared" si="14"/>
        <v>184821.81740000003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48525.28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12010.61</v>
      </c>
      <c r="N136" s="125">
        <f aca="true" t="shared" si="19" ref="N136:N199">ROUND(SUM(F136,H136,J136,L136,X136,R136)*$H$2,2)</f>
        <v>0</v>
      </c>
      <c r="O136" s="125">
        <f>Valores!$C$8</f>
        <v>47590.57</v>
      </c>
      <c r="P136" s="125">
        <f>Valores!$D$5</f>
        <v>19410.1</v>
      </c>
      <c r="Q136" s="125">
        <f>Valores!$C$22</f>
        <v>17316.91</v>
      </c>
      <c r="R136" s="125">
        <f>IF($F$4="NO",Valores!$C$44,Valores!$C$44/2)</f>
        <v>13484.02</v>
      </c>
      <c r="S136" s="125">
        <f>Valores!$C$19</f>
        <v>18061.41</v>
      </c>
      <c r="T136" s="125">
        <f t="shared" si="17"/>
        <v>18061.41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Valores!$C$94</f>
        <v>27846.26</v>
      </c>
      <c r="AA136" s="125">
        <f>Valores!$C$25</f>
        <v>793.88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793.88</v>
      </c>
      <c r="AE136" s="192">
        <v>0</v>
      </c>
      <c r="AF136" s="125">
        <f>ROUND(AE136*Valores!$C$2,2)</f>
        <v>0</v>
      </c>
      <c r="AG136" s="125">
        <f>ROUND(IF($F$4="NO",Valores!$C$63,Valores!$C$63/2),2)</f>
        <v>9076.17</v>
      </c>
      <c r="AH136" s="125">
        <f t="shared" si="15"/>
        <v>214909.09000000003</v>
      </c>
      <c r="AI136" s="125">
        <f>Valores!$C$31</f>
        <v>0</v>
      </c>
      <c r="AJ136" s="125">
        <f>Valores!$C$87</f>
        <v>0</v>
      </c>
      <c r="AK136" s="125">
        <f>Valores!C$38*B136</f>
        <v>0</v>
      </c>
      <c r="AL136" s="125">
        <f>IF($F$3="NO",0,Valores!$C$56)</f>
        <v>0</v>
      </c>
      <c r="AM136" s="125">
        <f aca="true" t="shared" si="21" ref="AM136:AM199">SUM(AI136:AL136)</f>
        <v>0</v>
      </c>
      <c r="AN136" s="125">
        <f>AH136*Valores!$C$71</f>
        <v>-23639.999900000003</v>
      </c>
      <c r="AO136" s="125">
        <f>AH136*-Valores!$C$72</f>
        <v>0</v>
      </c>
      <c r="AP136" s="125">
        <f>AH136*Valores!$C$73</f>
        <v>-9670.90905</v>
      </c>
      <c r="AQ136" s="125">
        <f>Valores!$C$100</f>
        <v>-554.86</v>
      </c>
      <c r="AR136" s="125">
        <f>IF($F$5=0,Valores!$C$101,(Valores!$C$101+$F$5*(Valores!$C$101)))</f>
        <v>-550</v>
      </c>
      <c r="AS136" s="125">
        <f t="shared" si="16"/>
        <v>180493.32105000003</v>
      </c>
      <c r="AT136" s="125">
        <f t="shared" si="18"/>
        <v>-23639.999900000003</v>
      </c>
      <c r="AU136" s="125">
        <f>AH136*Valores!$C$74</f>
        <v>-5802.545430000001</v>
      </c>
      <c r="AV136" s="125">
        <f>AH136*Valores!$C$75</f>
        <v>-644.7272700000001</v>
      </c>
      <c r="AW136" s="125">
        <f aca="true" t="shared" si="22" ref="AW136:AW199">AH136+AM136+SUM(AT136:AV136)</f>
        <v>184821.81740000003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48525.28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12010.61</v>
      </c>
      <c r="N137" s="125">
        <f t="shared" si="19"/>
        <v>0</v>
      </c>
      <c r="O137" s="125">
        <f>Valores!$C$16</f>
        <v>32810.75</v>
      </c>
      <c r="P137" s="125">
        <f>Valores!$D$5</f>
        <v>19410.1</v>
      </c>
      <c r="Q137" s="125">
        <v>0</v>
      </c>
      <c r="R137" s="125">
        <f>IF($F$4="NO",Valores!$C$44,Valores!$C$44/2)</f>
        <v>13484.02</v>
      </c>
      <c r="S137" s="125">
        <f>Valores!$C$19</f>
        <v>18061.41</v>
      </c>
      <c r="T137" s="125">
        <f t="shared" si="17"/>
        <v>18061.41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Valores!$C$94</f>
        <v>27846.26</v>
      </c>
      <c r="AA137" s="125">
        <f>Valores!$C$25</f>
        <v>793.88</v>
      </c>
      <c r="AB137" s="214">
        <v>0</v>
      </c>
      <c r="AC137" s="125">
        <f t="shared" si="20"/>
        <v>0</v>
      </c>
      <c r="AD137" s="125">
        <f>Valores!$C$26</f>
        <v>793.88</v>
      </c>
      <c r="AE137" s="192">
        <v>0</v>
      </c>
      <c r="AF137" s="125">
        <f>ROUND(AE137*Valores!$C$2,2)</f>
        <v>0</v>
      </c>
      <c r="AG137" s="125">
        <f>ROUND(IF($F$4="NO",Valores!$C$63,Valores!$C$63/2),2)</f>
        <v>9076.17</v>
      </c>
      <c r="AH137" s="125">
        <f aca="true" t="shared" si="23" ref="AH137:AH200">SUM(F137,H137,J137,L137,M137,N137,O137,P137,Q137,R137,T137,U137,V137,X137,Y137,Z137,AA137,AC137,AD137,AF137,AG137)</f>
        <v>182812.36000000002</v>
      </c>
      <c r="AI137" s="125">
        <f>Valores!$C$31</f>
        <v>0</v>
      </c>
      <c r="AJ137" s="125">
        <f>Valores!$C$87</f>
        <v>0</v>
      </c>
      <c r="AK137" s="125">
        <f>Valores!C$38*B137</f>
        <v>0</v>
      </c>
      <c r="AL137" s="125">
        <f>IF($F$3="NO",0,Valores!$C$56)</f>
        <v>0</v>
      </c>
      <c r="AM137" s="125">
        <f t="shared" si="21"/>
        <v>0</v>
      </c>
      <c r="AN137" s="125">
        <f>AH137*Valores!$C$71</f>
        <v>-20109.359600000003</v>
      </c>
      <c r="AO137" s="125">
        <f>AH137*-Valores!$C$72</f>
        <v>0</v>
      </c>
      <c r="AP137" s="125">
        <f>AH137*Valores!$C$73</f>
        <v>-8226.5562</v>
      </c>
      <c r="AQ137" s="125">
        <f>Valores!$C$100</f>
        <v>-554.86</v>
      </c>
      <c r="AR137" s="125">
        <f>IF($F$5=0,Valores!$C$101,(Valores!$C$101+$F$5*(Valores!$C$101)))</f>
        <v>-550</v>
      </c>
      <c r="AS137" s="125">
        <f aca="true" t="shared" si="24" ref="AS137:AS200">AH137+SUM(AM137:AR137)</f>
        <v>153371.5842</v>
      </c>
      <c r="AT137" s="125">
        <f t="shared" si="18"/>
        <v>-20109.359600000003</v>
      </c>
      <c r="AU137" s="125">
        <f>AH137*Valores!$C$74</f>
        <v>-4935.93372</v>
      </c>
      <c r="AV137" s="125">
        <f>AH137*Valores!$C$75</f>
        <v>-548.43708</v>
      </c>
      <c r="AW137" s="125">
        <f t="shared" si="22"/>
        <v>157218.62960000001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23389.34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8240.22</v>
      </c>
      <c r="N138" s="125">
        <f t="shared" si="19"/>
        <v>0</v>
      </c>
      <c r="O138" s="125">
        <f>Valores!$C$8</f>
        <v>47590.57</v>
      </c>
      <c r="P138" s="125">
        <f>Valores!$D$5</f>
        <v>19410.1</v>
      </c>
      <c r="Q138" s="125">
        <f>Valores!$C$22</f>
        <v>17316.91</v>
      </c>
      <c r="R138" s="125">
        <f>IF($F$4="NO",Valores!$C$44,Valores!$C$44/2)</f>
        <v>13484.02</v>
      </c>
      <c r="S138" s="125">
        <f>Valores!$C$19</f>
        <v>18061.41</v>
      </c>
      <c r="T138" s="125">
        <f t="shared" si="17"/>
        <v>18061.41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Valores!$C$94</f>
        <v>27846.26</v>
      </c>
      <c r="AA138" s="125">
        <f>Valores!$C$25</f>
        <v>793.88</v>
      </c>
      <c r="AB138" s="214">
        <v>0</v>
      </c>
      <c r="AC138" s="125">
        <f t="shared" si="20"/>
        <v>0</v>
      </c>
      <c r="AD138" s="125">
        <f>Valores!$C$26</f>
        <v>793.88</v>
      </c>
      <c r="AE138" s="192">
        <v>0</v>
      </c>
      <c r="AF138" s="125">
        <f>ROUND(AE138*Valores!$C$2,2)</f>
        <v>0</v>
      </c>
      <c r="AG138" s="125">
        <f>ROUND(IF($F$4="NO",Valores!$C$63,Valores!$C$63/2),2)</f>
        <v>9076.17</v>
      </c>
      <c r="AH138" s="125">
        <f t="shared" si="23"/>
        <v>186002.76000000004</v>
      </c>
      <c r="AI138" s="125">
        <f>Valores!$C$31</f>
        <v>0</v>
      </c>
      <c r="AJ138" s="125">
        <f>Valores!$C$87</f>
        <v>0</v>
      </c>
      <c r="AK138" s="125">
        <f>Valores!C$38*B138</f>
        <v>0</v>
      </c>
      <c r="AL138" s="125">
        <f>IF($F$3="NO",0,Valores!$C$56)</f>
        <v>0</v>
      </c>
      <c r="AM138" s="125">
        <f t="shared" si="21"/>
        <v>0</v>
      </c>
      <c r="AN138" s="125">
        <f>AH138*Valores!$C$71</f>
        <v>-20460.303600000003</v>
      </c>
      <c r="AO138" s="125">
        <f>AH138*-Valores!$C$72</f>
        <v>0</v>
      </c>
      <c r="AP138" s="125">
        <f>AH138*Valores!$C$73</f>
        <v>-8370.124200000002</v>
      </c>
      <c r="AQ138" s="125">
        <f>Valores!$C$100</f>
        <v>-554.86</v>
      </c>
      <c r="AR138" s="125">
        <f>IF($F$5=0,Valores!$C$101,(Valores!$C$101+$F$5*(Valores!$C$101)))</f>
        <v>-550</v>
      </c>
      <c r="AS138" s="125">
        <f t="shared" si="24"/>
        <v>156067.47220000002</v>
      </c>
      <c r="AT138" s="125">
        <f t="shared" si="18"/>
        <v>-20460.303600000003</v>
      </c>
      <c r="AU138" s="125">
        <f>AH138*Valores!$C$74</f>
        <v>-5022.074520000001</v>
      </c>
      <c r="AV138" s="125">
        <f>AH138*Valores!$C$75</f>
        <v>-558.0082800000001</v>
      </c>
      <c r="AW138" s="125">
        <f t="shared" si="22"/>
        <v>159962.37360000002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48525.28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11982.91</v>
      </c>
      <c r="N139" s="125">
        <f t="shared" si="19"/>
        <v>0</v>
      </c>
      <c r="O139" s="125">
        <f>Valores!$C$16</f>
        <v>32810.75</v>
      </c>
      <c r="P139" s="125">
        <f>Valores!$D$5</f>
        <v>19410.1</v>
      </c>
      <c r="Q139" s="125">
        <v>0</v>
      </c>
      <c r="R139" s="125">
        <f>IF($F$4="NO",Valores!$C$44,Valores!$C$44/2)</f>
        <v>13484.02</v>
      </c>
      <c r="S139" s="125">
        <f>Valores!$C$20</f>
        <v>17876.75</v>
      </c>
      <c r="T139" s="125">
        <f aca="true" t="shared" si="25" ref="T139:T202">ROUND(S139*(1+$H$2),2)</f>
        <v>17876.75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Valores!$C$94</f>
        <v>27846.26</v>
      </c>
      <c r="AA139" s="125">
        <f>Valores!$C$25</f>
        <v>793.88</v>
      </c>
      <c r="AB139" s="214">
        <v>0</v>
      </c>
      <c r="AC139" s="125">
        <f t="shared" si="20"/>
        <v>0</v>
      </c>
      <c r="AD139" s="125">
        <f>Valores!$C$26</f>
        <v>793.88</v>
      </c>
      <c r="AE139" s="192">
        <v>0</v>
      </c>
      <c r="AF139" s="125">
        <f>ROUND(AE139*Valores!$C$2,2)</f>
        <v>0</v>
      </c>
      <c r="AG139" s="125">
        <f>ROUND(IF($F$4="NO",Valores!$C$63,Valores!$C$63/2),2)</f>
        <v>9076.17</v>
      </c>
      <c r="AH139" s="125">
        <f t="shared" si="23"/>
        <v>182600.00000000003</v>
      </c>
      <c r="AI139" s="125">
        <f>Valores!$C$31</f>
        <v>0</v>
      </c>
      <c r="AJ139" s="125">
        <f>Valores!$C$87</f>
        <v>0</v>
      </c>
      <c r="AK139" s="125">
        <f>Valores!C$38*B139</f>
        <v>0</v>
      </c>
      <c r="AL139" s="125">
        <f>(IF($F$3="NO",0,Valores!$C$58))</f>
        <v>0</v>
      </c>
      <c r="AM139" s="125">
        <f t="shared" si="21"/>
        <v>0</v>
      </c>
      <c r="AN139" s="125">
        <f>AH139*Valores!$C$71</f>
        <v>-20086.000000000004</v>
      </c>
      <c r="AO139" s="125">
        <f>AH139*-Valores!$C$72</f>
        <v>0</v>
      </c>
      <c r="AP139" s="125">
        <f>AH139*Valores!$C$73</f>
        <v>-8217.000000000002</v>
      </c>
      <c r="AQ139" s="125">
        <f>Valores!$C$100</f>
        <v>-554.86</v>
      </c>
      <c r="AR139" s="125">
        <f>IF($F$5=0,Valores!$C$101,(Valores!$C$101+$F$5*(Valores!$C$101)))</f>
        <v>-550</v>
      </c>
      <c r="AS139" s="125">
        <f t="shared" si="24"/>
        <v>153192.14</v>
      </c>
      <c r="AT139" s="125">
        <f t="shared" si="18"/>
        <v>-20086.000000000004</v>
      </c>
      <c r="AU139" s="125">
        <f>AH139*Valores!$C$74</f>
        <v>-4930.200000000001</v>
      </c>
      <c r="AV139" s="125">
        <f>AH139*Valores!$C$75</f>
        <v>-547.8000000000001</v>
      </c>
      <c r="AW139" s="125">
        <f t="shared" si="22"/>
        <v>157036.00000000003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75293.92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16025.9</v>
      </c>
      <c r="N140" s="125">
        <f t="shared" si="19"/>
        <v>0</v>
      </c>
      <c r="O140" s="125">
        <f>Valores!$C$8</f>
        <v>47590.57</v>
      </c>
      <c r="P140" s="125">
        <f>Valores!$D$5</f>
        <v>19410.1</v>
      </c>
      <c r="Q140" s="125">
        <f>Valores!$C$22</f>
        <v>17316.91</v>
      </c>
      <c r="R140" s="125">
        <f>IF($F$4="NO",Valores!$C$44,Valores!$C$44/2)</f>
        <v>13484.02</v>
      </c>
      <c r="S140" s="125">
        <f>Valores!$C$19</f>
        <v>18061.41</v>
      </c>
      <c r="T140" s="125">
        <f t="shared" si="25"/>
        <v>18061.41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Valores!$C$94</f>
        <v>27846.26</v>
      </c>
      <c r="AA140" s="125">
        <f>Valores!$C$25</f>
        <v>793.88</v>
      </c>
      <c r="AB140" s="214">
        <v>0</v>
      </c>
      <c r="AC140" s="125">
        <f t="shared" si="20"/>
        <v>0</v>
      </c>
      <c r="AD140" s="125">
        <f>Valores!$C$26</f>
        <v>793.88</v>
      </c>
      <c r="AE140" s="192">
        <v>94</v>
      </c>
      <c r="AF140" s="125">
        <f>ROUND(AE140*Valores!$C$2,2)</f>
        <v>3569.15</v>
      </c>
      <c r="AG140" s="125">
        <f>ROUND(IF($F$4="NO",Valores!$C$63,Valores!$C$63/2),2)</f>
        <v>9076.17</v>
      </c>
      <c r="AH140" s="125">
        <f t="shared" si="23"/>
        <v>249262.17</v>
      </c>
      <c r="AI140" s="125">
        <f>Valores!$C$31</f>
        <v>0</v>
      </c>
      <c r="AJ140" s="125">
        <f>Valores!$C$87</f>
        <v>0</v>
      </c>
      <c r="AK140" s="125">
        <f>Valores!C$38*B140</f>
        <v>0</v>
      </c>
      <c r="AL140" s="125">
        <f>IF($F$3="NO",0,Valores!$C$56)</f>
        <v>0</v>
      </c>
      <c r="AM140" s="125">
        <f t="shared" si="21"/>
        <v>0</v>
      </c>
      <c r="AN140" s="125">
        <f>AH140*Valores!$C$71</f>
        <v>-27418.8387</v>
      </c>
      <c r="AO140" s="125">
        <f>AH140*-Valores!$C$72</f>
        <v>0</v>
      </c>
      <c r="AP140" s="125">
        <f>AH140*Valores!$C$73</f>
        <v>-11216.79765</v>
      </c>
      <c r="AQ140" s="125">
        <f>Valores!$C$100</f>
        <v>-554.86</v>
      </c>
      <c r="AR140" s="125">
        <f>IF($F$5=0,Valores!$C$101,(Valores!$C$101+$F$5*(Valores!$C$101)))</f>
        <v>-550</v>
      </c>
      <c r="AS140" s="125">
        <f t="shared" si="24"/>
        <v>209521.67365</v>
      </c>
      <c r="AT140" s="125">
        <f t="shared" si="18"/>
        <v>-27418.8387</v>
      </c>
      <c r="AU140" s="125">
        <f>AH140*Valores!$C$74</f>
        <v>-6730.07859</v>
      </c>
      <c r="AV140" s="125">
        <f>AH140*Valores!$C$75</f>
        <v>-747.78651</v>
      </c>
      <c r="AW140" s="125">
        <f t="shared" si="22"/>
        <v>214365.46620000002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52322.25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12552.45</v>
      </c>
      <c r="N141" s="125">
        <f t="shared" si="19"/>
        <v>0</v>
      </c>
      <c r="O141" s="125">
        <f>Valores!$C$16</f>
        <v>32810.75</v>
      </c>
      <c r="P141" s="125">
        <f>Valores!$D$5</f>
        <v>19410.1</v>
      </c>
      <c r="Q141" s="125">
        <f>Valores!$C$22</f>
        <v>17316.91</v>
      </c>
      <c r="R141" s="125">
        <f>IF($F$4="NO",Valores!$C$44,Valores!$C$44/2)</f>
        <v>13484.02</v>
      </c>
      <c r="S141" s="125">
        <f>Valores!$C$20</f>
        <v>17876.75</v>
      </c>
      <c r="T141" s="125">
        <f t="shared" si="25"/>
        <v>17876.75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Valores!$C$94</f>
        <v>27846.26</v>
      </c>
      <c r="AA141" s="125">
        <f>Valores!$C$25</f>
        <v>793.88</v>
      </c>
      <c r="AB141" s="214">
        <v>0</v>
      </c>
      <c r="AC141" s="125">
        <f t="shared" si="20"/>
        <v>0</v>
      </c>
      <c r="AD141" s="125">
        <f>Valores!$C$26</f>
        <v>793.88</v>
      </c>
      <c r="AE141" s="192">
        <v>0</v>
      </c>
      <c r="AF141" s="125">
        <f>ROUND(AE141*Valores!$C$2,2)</f>
        <v>0</v>
      </c>
      <c r="AG141" s="125">
        <f>ROUND(IF($F$4="NO",Valores!$C$63,Valores!$C$63/2),2)</f>
        <v>9076.17</v>
      </c>
      <c r="AH141" s="125">
        <f t="shared" si="23"/>
        <v>204283.42</v>
      </c>
      <c r="AI141" s="125">
        <f>Valores!$C$31</f>
        <v>0</v>
      </c>
      <c r="AJ141" s="125">
        <f>Valores!$C$87</f>
        <v>0</v>
      </c>
      <c r="AK141" s="125">
        <f>Valores!C$38*B141</f>
        <v>0</v>
      </c>
      <c r="AL141" s="125">
        <f>IF($F$3="NO",0,Valores!$C$56)</f>
        <v>0</v>
      </c>
      <c r="AM141" s="125">
        <f t="shared" si="21"/>
        <v>0</v>
      </c>
      <c r="AN141" s="125">
        <f>AH141*Valores!$C$71</f>
        <v>-22471.1762</v>
      </c>
      <c r="AO141" s="125">
        <f>AH141*-Valores!$C$72</f>
        <v>0</v>
      </c>
      <c r="AP141" s="125">
        <f>AH141*Valores!$C$73</f>
        <v>-9192.7539</v>
      </c>
      <c r="AQ141" s="125">
        <f>Valores!$C$100</f>
        <v>-554.86</v>
      </c>
      <c r="AR141" s="125">
        <f>IF($F$5=0,Valores!$C$101,(Valores!$C$101+$F$5*(Valores!$C$101)))</f>
        <v>-550</v>
      </c>
      <c r="AS141" s="125">
        <f t="shared" si="24"/>
        <v>171514.6299</v>
      </c>
      <c r="AT141" s="125">
        <f t="shared" si="18"/>
        <v>-22471.1762</v>
      </c>
      <c r="AU141" s="125">
        <f>AH141*Valores!$C$74</f>
        <v>-5515.652340000001</v>
      </c>
      <c r="AV141" s="125">
        <f>AH141*Valores!$C$75</f>
        <v>-612.85026</v>
      </c>
      <c r="AW141" s="125">
        <f t="shared" si="22"/>
        <v>175683.74120000002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48525.28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12010.61</v>
      </c>
      <c r="N142" s="125">
        <f t="shared" si="19"/>
        <v>0</v>
      </c>
      <c r="O142" s="125">
        <f>Valores!$C$16</f>
        <v>32810.75</v>
      </c>
      <c r="P142" s="125">
        <f>Valores!$D$5</f>
        <v>19410.1</v>
      </c>
      <c r="Q142" s="125">
        <f>Valores!$C$22</f>
        <v>17316.91</v>
      </c>
      <c r="R142" s="125">
        <f>IF($F$4="NO",Valores!$C$44,Valores!$C$44/2)</f>
        <v>13484.02</v>
      </c>
      <c r="S142" s="125">
        <f>Valores!$C$19</f>
        <v>18061.41</v>
      </c>
      <c r="T142" s="125">
        <f t="shared" si="25"/>
        <v>18061.41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Valores!$C$94</f>
        <v>27846.26</v>
      </c>
      <c r="AA142" s="125">
        <f>Valores!$C$25</f>
        <v>793.88</v>
      </c>
      <c r="AB142" s="214">
        <v>0</v>
      </c>
      <c r="AC142" s="125">
        <f t="shared" si="20"/>
        <v>0</v>
      </c>
      <c r="AD142" s="125">
        <f>Valores!$C$26</f>
        <v>793.88</v>
      </c>
      <c r="AE142" s="192">
        <v>0</v>
      </c>
      <c r="AF142" s="125">
        <f>ROUND(AE142*Valores!$C$2,2)</f>
        <v>0</v>
      </c>
      <c r="AG142" s="125">
        <f>ROUND(IF($F$4="NO",Valores!$C$63,Valores!$C$63/2),2)</f>
        <v>9076.17</v>
      </c>
      <c r="AH142" s="125">
        <f t="shared" si="23"/>
        <v>200129.27000000002</v>
      </c>
      <c r="AI142" s="125">
        <f>Valores!$C$31</f>
        <v>0</v>
      </c>
      <c r="AJ142" s="125">
        <f>Valores!$C$87</f>
        <v>0</v>
      </c>
      <c r="AK142" s="125">
        <f>Valores!C$38*B142</f>
        <v>0</v>
      </c>
      <c r="AL142" s="125">
        <f>IF($F$3="NO",0,Valores!$C$56)</f>
        <v>0</v>
      </c>
      <c r="AM142" s="125">
        <f t="shared" si="21"/>
        <v>0</v>
      </c>
      <c r="AN142" s="125">
        <f>AH142*Valores!$C$71</f>
        <v>-22014.2197</v>
      </c>
      <c r="AO142" s="125">
        <f>AH142*-Valores!$C$72</f>
        <v>0</v>
      </c>
      <c r="AP142" s="125">
        <f>AH142*Valores!$C$73</f>
        <v>-9005.81715</v>
      </c>
      <c r="AQ142" s="125">
        <f>Valores!$C$100</f>
        <v>-554.86</v>
      </c>
      <c r="AR142" s="125">
        <f>IF($F$5=0,Valores!$C$101,(Valores!$C$101+$F$5*(Valores!$C$101)))</f>
        <v>-550</v>
      </c>
      <c r="AS142" s="125">
        <f t="shared" si="24"/>
        <v>168004.37315</v>
      </c>
      <c r="AT142" s="125">
        <f t="shared" si="18"/>
        <v>-22014.2197</v>
      </c>
      <c r="AU142" s="125">
        <f>AH142*Valores!$C$74</f>
        <v>-5403.490290000001</v>
      </c>
      <c r="AV142" s="125">
        <f>AH142*Valores!$C$75</f>
        <v>-600.3878100000001</v>
      </c>
      <c r="AW142" s="125">
        <f t="shared" si="22"/>
        <v>172111.17220000003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48525.28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12010.61</v>
      </c>
      <c r="N143" s="125">
        <f t="shared" si="19"/>
        <v>0</v>
      </c>
      <c r="O143" s="125">
        <f>Valores!$C$16</f>
        <v>32810.75</v>
      </c>
      <c r="P143" s="125">
        <f>Valores!$D$5</f>
        <v>19410.1</v>
      </c>
      <c r="Q143" s="125">
        <f>Valores!$C$22</f>
        <v>17316.91</v>
      </c>
      <c r="R143" s="125">
        <f>IF($F$4="NO",Valores!$C$44,Valores!$C$44/2)</f>
        <v>13484.02</v>
      </c>
      <c r="S143" s="125">
        <f>Valores!$C$19</f>
        <v>18061.41</v>
      </c>
      <c r="T143" s="125">
        <f t="shared" si="25"/>
        <v>18061.41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Valores!$C$94</f>
        <v>27846.26</v>
      </c>
      <c r="AA143" s="125">
        <f>Valores!$C$25</f>
        <v>793.88</v>
      </c>
      <c r="AB143" s="214">
        <v>0</v>
      </c>
      <c r="AC143" s="125">
        <f t="shared" si="20"/>
        <v>0</v>
      </c>
      <c r="AD143" s="125">
        <f>Valores!$C$26</f>
        <v>793.88</v>
      </c>
      <c r="AE143" s="192">
        <v>0</v>
      </c>
      <c r="AF143" s="125">
        <f>ROUND(AE143*Valores!$C$2,2)</f>
        <v>0</v>
      </c>
      <c r="AG143" s="125">
        <f>ROUND(IF($F$4="NO",Valores!$C$63,Valores!$C$63/2),2)</f>
        <v>9076.17</v>
      </c>
      <c r="AH143" s="125">
        <f t="shared" si="23"/>
        <v>200129.27000000002</v>
      </c>
      <c r="AI143" s="125">
        <f>Valores!$C$31</f>
        <v>0</v>
      </c>
      <c r="AJ143" s="125">
        <f>Valores!$C$87</f>
        <v>0</v>
      </c>
      <c r="AK143" s="125">
        <f>Valores!C$38*B143</f>
        <v>0</v>
      </c>
      <c r="AL143" s="125">
        <f>IF($F$3="NO",0,Valores!$C$56)</f>
        <v>0</v>
      </c>
      <c r="AM143" s="125">
        <f t="shared" si="21"/>
        <v>0</v>
      </c>
      <c r="AN143" s="125">
        <f>AH143*Valores!$C$71</f>
        <v>-22014.2197</v>
      </c>
      <c r="AO143" s="125">
        <f>AH143*-Valores!$C$72</f>
        <v>0</v>
      </c>
      <c r="AP143" s="125">
        <f>AH143*Valores!$C$73</f>
        <v>-9005.81715</v>
      </c>
      <c r="AQ143" s="125">
        <f>Valores!$C$100</f>
        <v>-554.86</v>
      </c>
      <c r="AR143" s="125">
        <f>IF($F$5=0,Valores!$C$101,(Valores!$C$101+$F$5*(Valores!$C$101)))</f>
        <v>-550</v>
      </c>
      <c r="AS143" s="125">
        <f t="shared" si="24"/>
        <v>168004.37315</v>
      </c>
      <c r="AT143" s="125">
        <f t="shared" si="18"/>
        <v>-22014.2197</v>
      </c>
      <c r="AU143" s="125">
        <f>AH143*Valores!$C$74</f>
        <v>-5403.490290000001</v>
      </c>
      <c r="AV143" s="125">
        <f>AH143*Valores!$C$75</f>
        <v>-600.3878100000001</v>
      </c>
      <c r="AW143" s="125">
        <f t="shared" si="22"/>
        <v>172111.17220000003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48525.28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12010.61</v>
      </c>
      <c r="N144" s="125">
        <f t="shared" si="19"/>
        <v>0</v>
      </c>
      <c r="O144" s="125">
        <f>Valores!$C$16</f>
        <v>32810.75</v>
      </c>
      <c r="P144" s="125">
        <f>Valores!$D$5</f>
        <v>19410.1</v>
      </c>
      <c r="Q144" s="125">
        <f>Valores!$C$22</f>
        <v>17316.91</v>
      </c>
      <c r="R144" s="125">
        <f>IF($F$4="NO",Valores!$C$44,Valores!$C$44/2)</f>
        <v>13484.02</v>
      </c>
      <c r="S144" s="125">
        <f>Valores!$C$19</f>
        <v>18061.41</v>
      </c>
      <c r="T144" s="125">
        <f t="shared" si="25"/>
        <v>18061.41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Valores!$C$94</f>
        <v>27846.26</v>
      </c>
      <c r="AA144" s="125">
        <f>Valores!$C$25</f>
        <v>793.88</v>
      </c>
      <c r="AB144" s="214">
        <v>0</v>
      </c>
      <c r="AC144" s="125">
        <f t="shared" si="20"/>
        <v>0</v>
      </c>
      <c r="AD144" s="125">
        <f>Valores!$C$26</f>
        <v>793.88</v>
      </c>
      <c r="AE144" s="192">
        <v>0</v>
      </c>
      <c r="AF144" s="125">
        <f>ROUND(AE144*Valores!$C$2,2)</f>
        <v>0</v>
      </c>
      <c r="AG144" s="125">
        <f>ROUND(IF($F$4="NO",Valores!$C$63,Valores!$C$63/2),2)</f>
        <v>9076.17</v>
      </c>
      <c r="AH144" s="125">
        <f t="shared" si="23"/>
        <v>200129.27000000002</v>
      </c>
      <c r="AI144" s="125">
        <f>Valores!$C$31</f>
        <v>0</v>
      </c>
      <c r="AJ144" s="125">
        <f>Valores!$C$87</f>
        <v>0</v>
      </c>
      <c r="AK144" s="125">
        <f>Valores!C$38*B144</f>
        <v>0</v>
      </c>
      <c r="AL144" s="125">
        <f>IF($F$3="NO",0,Valores!$C$56)</f>
        <v>0</v>
      </c>
      <c r="AM144" s="125">
        <f t="shared" si="21"/>
        <v>0</v>
      </c>
      <c r="AN144" s="125">
        <f>AH144*Valores!$C$71</f>
        <v>-22014.2197</v>
      </c>
      <c r="AO144" s="125">
        <f>AH144*-Valores!$C$72</f>
        <v>0</v>
      </c>
      <c r="AP144" s="125">
        <f>AH144*Valores!$C$73</f>
        <v>-9005.81715</v>
      </c>
      <c r="AQ144" s="125">
        <f>Valores!$C$100</f>
        <v>-554.86</v>
      </c>
      <c r="AR144" s="125">
        <f>IF($F$5=0,Valores!$C$101,(Valores!$C$101+$F$5*(Valores!$C$101)))</f>
        <v>-550</v>
      </c>
      <c r="AS144" s="125">
        <f t="shared" si="24"/>
        <v>168004.37315</v>
      </c>
      <c r="AT144" s="125">
        <f t="shared" si="18"/>
        <v>-22014.2197</v>
      </c>
      <c r="AU144" s="125">
        <f>AH144*Valores!$C$74</f>
        <v>-5403.490290000001</v>
      </c>
      <c r="AV144" s="125">
        <f>AH144*Valores!$C$75</f>
        <v>-600.3878100000001</v>
      </c>
      <c r="AW144" s="125">
        <f t="shared" si="22"/>
        <v>172111.17220000003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48525.28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12010.61</v>
      </c>
      <c r="N145" s="125">
        <f t="shared" si="19"/>
        <v>0</v>
      </c>
      <c r="O145" s="125">
        <f>Valores!$C$16</f>
        <v>32810.75</v>
      </c>
      <c r="P145" s="125">
        <f>Valores!$D$5</f>
        <v>19410.1</v>
      </c>
      <c r="Q145" s="125">
        <f>Valores!$C$22</f>
        <v>17316.91</v>
      </c>
      <c r="R145" s="125">
        <f>IF($F$4="NO",Valores!$C$44,Valores!$C$44/2)</f>
        <v>13484.02</v>
      </c>
      <c r="S145" s="125">
        <f>Valores!$C$19</f>
        <v>18061.41</v>
      </c>
      <c r="T145" s="125">
        <f t="shared" si="25"/>
        <v>18061.41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Valores!$C$94</f>
        <v>27846.26</v>
      </c>
      <c r="AA145" s="125">
        <f>Valores!$C$25</f>
        <v>793.88</v>
      </c>
      <c r="AB145" s="214">
        <v>0</v>
      </c>
      <c r="AC145" s="125">
        <f t="shared" si="20"/>
        <v>0</v>
      </c>
      <c r="AD145" s="125">
        <f>Valores!$C$26</f>
        <v>793.88</v>
      </c>
      <c r="AE145" s="192">
        <v>94</v>
      </c>
      <c r="AF145" s="125">
        <f>ROUND(AE145*Valores!$C$2,2)</f>
        <v>3569.15</v>
      </c>
      <c r="AG145" s="125">
        <f>ROUND(IF($F$4="NO",Valores!$C$63,Valores!$C$63/2),2)</f>
        <v>9076.17</v>
      </c>
      <c r="AH145" s="125">
        <f t="shared" si="23"/>
        <v>203698.42</v>
      </c>
      <c r="AI145" s="125">
        <f>Valores!$C$31</f>
        <v>0</v>
      </c>
      <c r="AJ145" s="125">
        <f>Valores!$C$87</f>
        <v>0</v>
      </c>
      <c r="AK145" s="125">
        <f>Valores!C$38*B145</f>
        <v>0</v>
      </c>
      <c r="AL145" s="125">
        <f>IF($F$3="NO",0,Valores!$C$56)</f>
        <v>0</v>
      </c>
      <c r="AM145" s="125">
        <f t="shared" si="21"/>
        <v>0</v>
      </c>
      <c r="AN145" s="125">
        <f>AH145*Valores!$C$71</f>
        <v>-22406.826200000003</v>
      </c>
      <c r="AO145" s="125">
        <f>AH145*-Valores!$C$72</f>
        <v>0</v>
      </c>
      <c r="AP145" s="125">
        <f>AH145*Valores!$C$73</f>
        <v>-9166.4289</v>
      </c>
      <c r="AQ145" s="125">
        <f>Valores!$C$100</f>
        <v>-554.86</v>
      </c>
      <c r="AR145" s="125">
        <f>IF($F$5=0,Valores!$C$101,(Valores!$C$101+$F$5*(Valores!$C$101)))</f>
        <v>-550</v>
      </c>
      <c r="AS145" s="125">
        <f t="shared" si="24"/>
        <v>171020.30490000002</v>
      </c>
      <c r="AT145" s="125">
        <f t="shared" si="18"/>
        <v>-22406.826200000003</v>
      </c>
      <c r="AU145" s="125">
        <f>AH145*Valores!$C$74</f>
        <v>-5499.8573400000005</v>
      </c>
      <c r="AV145" s="125">
        <f>AH145*Valores!$C$75</f>
        <v>-611.09526</v>
      </c>
      <c r="AW145" s="125">
        <f t="shared" si="22"/>
        <v>175180.6412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48525.28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12010.61</v>
      </c>
      <c r="N146" s="125">
        <f t="shared" si="19"/>
        <v>0</v>
      </c>
      <c r="O146" s="125">
        <f>Valores!$C$16</f>
        <v>32810.75</v>
      </c>
      <c r="P146" s="125">
        <f>Valores!$D$5</f>
        <v>19410.1</v>
      </c>
      <c r="Q146" s="125">
        <f>Valores!$C$22</f>
        <v>17316.91</v>
      </c>
      <c r="R146" s="125">
        <f>IF($F$4="NO",Valores!$C$44,Valores!$C$44/2)</f>
        <v>13484.02</v>
      </c>
      <c r="S146" s="125">
        <f>Valores!$C$19</f>
        <v>18061.41</v>
      </c>
      <c r="T146" s="125">
        <f t="shared" si="25"/>
        <v>18061.41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Valores!$C$94</f>
        <v>27846.26</v>
      </c>
      <c r="AA146" s="125">
        <f>Valores!$C$25</f>
        <v>793.88</v>
      </c>
      <c r="AB146" s="214">
        <v>0</v>
      </c>
      <c r="AC146" s="125">
        <f t="shared" si="20"/>
        <v>0</v>
      </c>
      <c r="AD146" s="125">
        <f>Valores!$C$26</f>
        <v>793.88</v>
      </c>
      <c r="AE146" s="192">
        <v>0</v>
      </c>
      <c r="AF146" s="125">
        <f>ROUND(AE146*Valores!$C$2,2)</f>
        <v>0</v>
      </c>
      <c r="AG146" s="125">
        <f>ROUND(IF($F$4="NO",Valores!$C$63,Valores!$C$63/2),2)</f>
        <v>9076.17</v>
      </c>
      <c r="AH146" s="125">
        <f t="shared" si="23"/>
        <v>200129.27000000002</v>
      </c>
      <c r="AI146" s="125">
        <f>Valores!$C$31</f>
        <v>0</v>
      </c>
      <c r="AJ146" s="125">
        <f>Valores!$C$87</f>
        <v>0</v>
      </c>
      <c r="AK146" s="125">
        <f>Valores!C$38*B146</f>
        <v>0</v>
      </c>
      <c r="AL146" s="125">
        <f>IF($F$3="NO",0,Valores!$C$56)</f>
        <v>0</v>
      </c>
      <c r="AM146" s="125">
        <f t="shared" si="21"/>
        <v>0</v>
      </c>
      <c r="AN146" s="125">
        <f>AH146*Valores!$C$71</f>
        <v>-22014.2197</v>
      </c>
      <c r="AO146" s="125">
        <f>AH146*-Valores!$C$72</f>
        <v>0</v>
      </c>
      <c r="AP146" s="125">
        <f>AH146*Valores!$C$73</f>
        <v>-9005.81715</v>
      </c>
      <c r="AQ146" s="125">
        <f>Valores!$C$100</f>
        <v>-554.86</v>
      </c>
      <c r="AR146" s="125">
        <f>IF($F$5=0,Valores!$C$101,(Valores!$C$101+$F$5*(Valores!$C$101)))</f>
        <v>-550</v>
      </c>
      <c r="AS146" s="125">
        <f t="shared" si="24"/>
        <v>168004.37315</v>
      </c>
      <c r="AT146" s="125">
        <f t="shared" si="18"/>
        <v>-22014.2197</v>
      </c>
      <c r="AU146" s="125">
        <f>AH146*Valores!$C$74</f>
        <v>-5403.490290000001</v>
      </c>
      <c r="AV146" s="125">
        <f>AH146*Valores!$C$75</f>
        <v>-600.3878100000001</v>
      </c>
      <c r="AW146" s="125">
        <f t="shared" si="22"/>
        <v>172111.17220000003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48525.28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11982.91</v>
      </c>
      <c r="N147" s="125">
        <f t="shared" si="19"/>
        <v>0</v>
      </c>
      <c r="O147" s="125">
        <f>Valores!$C$16</f>
        <v>32810.75</v>
      </c>
      <c r="P147" s="125">
        <f>Valores!$D$5</f>
        <v>19410.1</v>
      </c>
      <c r="Q147" s="125">
        <v>0</v>
      </c>
      <c r="R147" s="125">
        <f>IF($F$4="NO",Valores!$C$44,Valores!$C$44/2)</f>
        <v>13484.02</v>
      </c>
      <c r="S147" s="125">
        <f>Valores!$C$20</f>
        <v>17876.75</v>
      </c>
      <c r="T147" s="125">
        <f t="shared" si="25"/>
        <v>17876.75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Valores!$C$94</f>
        <v>27846.26</v>
      </c>
      <c r="AA147" s="125">
        <f>Valores!$C$25</f>
        <v>793.88</v>
      </c>
      <c r="AB147" s="214">
        <v>0</v>
      </c>
      <c r="AC147" s="125">
        <f t="shared" si="20"/>
        <v>0</v>
      </c>
      <c r="AD147" s="125">
        <f>Valores!$C$26</f>
        <v>793.88</v>
      </c>
      <c r="AE147" s="192">
        <v>0</v>
      </c>
      <c r="AF147" s="125">
        <f>ROUND(AE147*Valores!$C$2,2)</f>
        <v>0</v>
      </c>
      <c r="AG147" s="125">
        <f>ROUND(IF($F$4="NO",Valores!$C$63,Valores!$C$63/2),2)</f>
        <v>9076.17</v>
      </c>
      <c r="AH147" s="125">
        <f t="shared" si="23"/>
        <v>182600.00000000003</v>
      </c>
      <c r="AI147" s="125">
        <f>Valores!$C$31</f>
        <v>0</v>
      </c>
      <c r="AJ147" s="125">
        <f>Valores!$C$87</f>
        <v>0</v>
      </c>
      <c r="AK147" s="125">
        <f>Valores!C$38*B147</f>
        <v>0</v>
      </c>
      <c r="AL147" s="125">
        <f>IF($F$3="NO",0,Valores!$C$56)</f>
        <v>0</v>
      </c>
      <c r="AM147" s="125">
        <f t="shared" si="21"/>
        <v>0</v>
      </c>
      <c r="AN147" s="125">
        <f>AH147*Valores!$C$71</f>
        <v>-20086.000000000004</v>
      </c>
      <c r="AO147" s="125">
        <f>AH147*-Valores!$C$72</f>
        <v>0</v>
      </c>
      <c r="AP147" s="125">
        <f>AH147*Valores!$C$73</f>
        <v>-8217.000000000002</v>
      </c>
      <c r="AQ147" s="125">
        <f>Valores!$C$100</f>
        <v>-554.86</v>
      </c>
      <c r="AR147" s="125">
        <f>IF($F$5=0,Valores!$C$101,(Valores!$C$101+$F$5*(Valores!$C$101)))</f>
        <v>-550</v>
      </c>
      <c r="AS147" s="125">
        <f t="shared" si="24"/>
        <v>153192.14</v>
      </c>
      <c r="AT147" s="125">
        <f t="shared" si="18"/>
        <v>-20086.000000000004</v>
      </c>
      <c r="AU147" s="125">
        <f>AH147*Valores!$C$74</f>
        <v>-4930.200000000001</v>
      </c>
      <c r="AV147" s="125">
        <f>AH147*Valores!$C$75</f>
        <v>-547.8000000000001</v>
      </c>
      <c r="AW147" s="125">
        <f t="shared" si="22"/>
        <v>157036.00000000003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48525.28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11982.91</v>
      </c>
      <c r="N148" s="125">
        <f t="shared" si="19"/>
        <v>0</v>
      </c>
      <c r="O148" s="125">
        <f>Valores!$C$16</f>
        <v>32810.75</v>
      </c>
      <c r="P148" s="125">
        <f>Valores!$D$5</f>
        <v>19410.1</v>
      </c>
      <c r="Q148" s="125">
        <v>0</v>
      </c>
      <c r="R148" s="125">
        <f>IF($F$4="NO",Valores!$C$44,Valores!$C$44/2)</f>
        <v>13484.02</v>
      </c>
      <c r="S148" s="125">
        <f>Valores!$C$20</f>
        <v>17876.75</v>
      </c>
      <c r="T148" s="125">
        <f t="shared" si="25"/>
        <v>17876.75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Valores!$C$94</f>
        <v>27846.26</v>
      </c>
      <c r="AA148" s="125">
        <f>Valores!$C$25</f>
        <v>793.88</v>
      </c>
      <c r="AB148" s="214">
        <v>0</v>
      </c>
      <c r="AC148" s="125">
        <f t="shared" si="20"/>
        <v>0</v>
      </c>
      <c r="AD148" s="125">
        <f>Valores!$C$26</f>
        <v>793.88</v>
      </c>
      <c r="AE148" s="192">
        <v>0</v>
      </c>
      <c r="AF148" s="125">
        <f>ROUND(AE148*Valores!$C$2,2)</f>
        <v>0</v>
      </c>
      <c r="AG148" s="125">
        <f>ROUND(IF($F$4="NO",Valores!$C$63,Valores!$C$63/2),2)</f>
        <v>9076.17</v>
      </c>
      <c r="AH148" s="125">
        <f t="shared" si="23"/>
        <v>182600.00000000003</v>
      </c>
      <c r="AI148" s="125">
        <f>Valores!$C$31</f>
        <v>0</v>
      </c>
      <c r="AJ148" s="125">
        <f>Valores!$C$87</f>
        <v>0</v>
      </c>
      <c r="AK148" s="125">
        <f>Valores!C$38*B148</f>
        <v>0</v>
      </c>
      <c r="AL148" s="125">
        <f>IF($F$3="NO",0,Valores!$C$56)</f>
        <v>0</v>
      </c>
      <c r="AM148" s="125">
        <f t="shared" si="21"/>
        <v>0</v>
      </c>
      <c r="AN148" s="125">
        <f>AH148*Valores!$C$71</f>
        <v>-20086.000000000004</v>
      </c>
      <c r="AO148" s="125">
        <f>AH148*-Valores!$C$72</f>
        <v>0</v>
      </c>
      <c r="AP148" s="125">
        <f>AH148*Valores!$C$73</f>
        <v>-8217.000000000002</v>
      </c>
      <c r="AQ148" s="125">
        <f>Valores!$C$100</f>
        <v>-554.86</v>
      </c>
      <c r="AR148" s="125">
        <f>IF($F$5=0,Valores!$C$101,(Valores!$C$101+$F$5*(Valores!$C$101)))</f>
        <v>-550</v>
      </c>
      <c r="AS148" s="125">
        <f t="shared" si="24"/>
        <v>153192.14</v>
      </c>
      <c r="AT148" s="125">
        <f t="shared" si="18"/>
        <v>-20086.000000000004</v>
      </c>
      <c r="AU148" s="125">
        <f>AH148*Valores!$C$74</f>
        <v>-4930.200000000001</v>
      </c>
      <c r="AV148" s="125">
        <f>AH148*Valores!$C$75</f>
        <v>-547.8000000000001</v>
      </c>
      <c r="AW148" s="125">
        <f t="shared" si="22"/>
        <v>157036.00000000003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40247.88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10769</v>
      </c>
      <c r="N149" s="125">
        <f t="shared" si="19"/>
        <v>0</v>
      </c>
      <c r="O149" s="125">
        <f>Valores!$C$16</f>
        <v>32810.75</v>
      </c>
      <c r="P149" s="125">
        <f>Valores!$D$5</f>
        <v>19410.1</v>
      </c>
      <c r="Q149" s="125">
        <f>Valores!$C$22</f>
        <v>17316.91</v>
      </c>
      <c r="R149" s="125">
        <f>IF($F$4="NO",Valores!$C$44,Valores!$C$44/2)</f>
        <v>13484.02</v>
      </c>
      <c r="S149" s="125">
        <f>Valores!$C$19</f>
        <v>18061.41</v>
      </c>
      <c r="T149" s="125">
        <f t="shared" si="25"/>
        <v>18061.41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Valores!$C$94</f>
        <v>27846.26</v>
      </c>
      <c r="AA149" s="125">
        <f>Valores!$C$25</f>
        <v>793.88</v>
      </c>
      <c r="AB149" s="214">
        <v>0</v>
      </c>
      <c r="AC149" s="125">
        <f t="shared" si="20"/>
        <v>0</v>
      </c>
      <c r="AD149" s="125">
        <f>Valores!$C$26</f>
        <v>793.88</v>
      </c>
      <c r="AE149" s="192">
        <v>0</v>
      </c>
      <c r="AF149" s="125">
        <f>ROUND(AE149*Valores!$C$2,2)</f>
        <v>0</v>
      </c>
      <c r="AG149" s="125">
        <f>ROUND(IF($F$4="NO",Valores!$C$63,Valores!$C$63/2),2)</f>
        <v>9076.17</v>
      </c>
      <c r="AH149" s="125">
        <f t="shared" si="23"/>
        <v>190610.26000000004</v>
      </c>
      <c r="AI149" s="125">
        <f>Valores!$C$31</f>
        <v>0</v>
      </c>
      <c r="AJ149" s="125">
        <f>Valores!$C$87</f>
        <v>0</v>
      </c>
      <c r="AK149" s="125">
        <f>Valores!C$38*B149</f>
        <v>0</v>
      </c>
      <c r="AL149" s="125">
        <f>IF($F$3="NO",0,Valores!$C$56)</f>
        <v>0</v>
      </c>
      <c r="AM149" s="125">
        <f t="shared" si="21"/>
        <v>0</v>
      </c>
      <c r="AN149" s="125">
        <f>AH149*Valores!$C$71</f>
        <v>-20967.128600000004</v>
      </c>
      <c r="AO149" s="125">
        <f>AH149*-Valores!$C$72</f>
        <v>0</v>
      </c>
      <c r="AP149" s="125">
        <f>AH149*Valores!$C$73</f>
        <v>-8577.461700000002</v>
      </c>
      <c r="AQ149" s="125">
        <f>Valores!$C$100</f>
        <v>-554.86</v>
      </c>
      <c r="AR149" s="125">
        <f>IF($F$5=0,Valores!$C$101,(Valores!$C$101+$F$5*(Valores!$C$101)))</f>
        <v>-550</v>
      </c>
      <c r="AS149" s="125">
        <f t="shared" si="24"/>
        <v>159960.80970000004</v>
      </c>
      <c r="AT149" s="125">
        <f t="shared" si="18"/>
        <v>-20967.128600000004</v>
      </c>
      <c r="AU149" s="125">
        <f>AH149*Valores!$C$74</f>
        <v>-5146.477020000001</v>
      </c>
      <c r="AV149" s="125">
        <f>AH149*Valores!$C$75</f>
        <v>-571.8307800000001</v>
      </c>
      <c r="AW149" s="125">
        <f t="shared" si="22"/>
        <v>163924.82360000003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48525.28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11982.91</v>
      </c>
      <c r="N150" s="125">
        <f t="shared" si="19"/>
        <v>0</v>
      </c>
      <c r="O150" s="125">
        <f>Valores!$C$16</f>
        <v>32810.75</v>
      </c>
      <c r="P150" s="125">
        <f>Valores!$D$5</f>
        <v>19410.1</v>
      </c>
      <c r="Q150" s="125">
        <f>Valores!$C$22</f>
        <v>17316.91</v>
      </c>
      <c r="R150" s="125">
        <f>IF($F$4="NO",Valores!$C$44,Valores!$C$44/2)</f>
        <v>13484.02</v>
      </c>
      <c r="S150" s="125">
        <f>Valores!$C$20</f>
        <v>17876.75</v>
      </c>
      <c r="T150" s="125">
        <f t="shared" si="25"/>
        <v>17876.75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Valores!$C$94</f>
        <v>27846.26</v>
      </c>
      <c r="AA150" s="125">
        <f>Valores!$C$25</f>
        <v>793.88</v>
      </c>
      <c r="AB150" s="214">
        <v>0</v>
      </c>
      <c r="AC150" s="125">
        <f t="shared" si="20"/>
        <v>0</v>
      </c>
      <c r="AD150" s="125">
        <f>Valores!$C$26</f>
        <v>793.88</v>
      </c>
      <c r="AE150" s="192">
        <v>0</v>
      </c>
      <c r="AF150" s="125">
        <f>ROUND(AE150*Valores!$C$2,2)</f>
        <v>0</v>
      </c>
      <c r="AG150" s="125">
        <f>ROUND(IF($F$4="NO",Valores!$C$63,Valores!$C$63/2),2)</f>
        <v>9076.17</v>
      </c>
      <c r="AH150" s="125">
        <f t="shared" si="23"/>
        <v>199916.91000000003</v>
      </c>
      <c r="AI150" s="125">
        <f>Valores!$C$31</f>
        <v>0</v>
      </c>
      <c r="AJ150" s="125">
        <f>Valores!$C$87</f>
        <v>0</v>
      </c>
      <c r="AK150" s="125">
        <f>Valores!C$38*B150</f>
        <v>0</v>
      </c>
      <c r="AL150" s="125">
        <f>IF($F$3="NO",0,Valores!$C$56)</f>
        <v>0</v>
      </c>
      <c r="AM150" s="125">
        <f t="shared" si="21"/>
        <v>0</v>
      </c>
      <c r="AN150" s="125">
        <f>AH150*Valores!$C$71</f>
        <v>-21990.860100000005</v>
      </c>
      <c r="AO150" s="125">
        <f>AH150*-Valores!$C$72</f>
        <v>0</v>
      </c>
      <c r="AP150" s="125">
        <f>AH150*Valores!$C$73</f>
        <v>-8996.260950000002</v>
      </c>
      <c r="AQ150" s="125">
        <f>Valores!$C$100</f>
        <v>-554.86</v>
      </c>
      <c r="AR150" s="125">
        <f>IF($F$5=0,Valores!$C$101,(Valores!$C$101+$F$5*(Valores!$C$101)))</f>
        <v>-550</v>
      </c>
      <c r="AS150" s="125">
        <f t="shared" si="24"/>
        <v>167824.92895000003</v>
      </c>
      <c r="AT150" s="125">
        <f t="shared" si="18"/>
        <v>-21990.860100000005</v>
      </c>
      <c r="AU150" s="125">
        <f>AH150*Valores!$C$74</f>
        <v>-5397.7565700000005</v>
      </c>
      <c r="AV150" s="125">
        <f>AH150*Valores!$C$75</f>
        <v>-599.7507300000001</v>
      </c>
      <c r="AW150" s="125">
        <f t="shared" si="22"/>
        <v>171928.54260000002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48525.28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12010.61</v>
      </c>
      <c r="N151" s="125">
        <f t="shared" si="19"/>
        <v>0</v>
      </c>
      <c r="O151" s="125">
        <f>Valores!$C$16</f>
        <v>32810.75</v>
      </c>
      <c r="P151" s="125">
        <f>Valores!$D$5</f>
        <v>19410.1</v>
      </c>
      <c r="Q151" s="125">
        <f>Valores!$C$22</f>
        <v>17316.91</v>
      </c>
      <c r="R151" s="125">
        <f>IF($F$4="NO",Valores!$C$44,Valores!$C$44/2)</f>
        <v>13484.02</v>
      </c>
      <c r="S151" s="125">
        <f>Valores!$C$19</f>
        <v>18061.41</v>
      </c>
      <c r="T151" s="125">
        <f t="shared" si="25"/>
        <v>18061.41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Valores!$C$94</f>
        <v>27846.26</v>
      </c>
      <c r="AA151" s="125">
        <f>Valores!$C$25</f>
        <v>793.88</v>
      </c>
      <c r="AB151" s="214">
        <v>0</v>
      </c>
      <c r="AC151" s="125">
        <f t="shared" si="20"/>
        <v>0</v>
      </c>
      <c r="AD151" s="125">
        <f>Valores!$C$26</f>
        <v>793.88</v>
      </c>
      <c r="AE151" s="192">
        <v>0</v>
      </c>
      <c r="AF151" s="125">
        <f>ROUND(AE151*Valores!$C$2,2)</f>
        <v>0</v>
      </c>
      <c r="AG151" s="125">
        <f>ROUND(IF($F$4="NO",Valores!$C$63,Valores!$C$63/2),2)</f>
        <v>9076.17</v>
      </c>
      <c r="AH151" s="125">
        <f t="shared" si="23"/>
        <v>200129.27000000002</v>
      </c>
      <c r="AI151" s="125">
        <f>Valores!$C$31</f>
        <v>0</v>
      </c>
      <c r="AJ151" s="125">
        <f>Valores!$C$87</f>
        <v>0</v>
      </c>
      <c r="AK151" s="125">
        <f>Valores!C$38*B151</f>
        <v>0</v>
      </c>
      <c r="AL151" s="125">
        <f>IF($F$3="NO",0,Valores!$C$56)</f>
        <v>0</v>
      </c>
      <c r="AM151" s="125">
        <f t="shared" si="21"/>
        <v>0</v>
      </c>
      <c r="AN151" s="125">
        <f>AH151*Valores!$C$71</f>
        <v>-22014.2197</v>
      </c>
      <c r="AO151" s="125">
        <f>AH151*-Valores!$C$72</f>
        <v>0</v>
      </c>
      <c r="AP151" s="125">
        <f>AH151*Valores!$C$73</f>
        <v>-9005.81715</v>
      </c>
      <c r="AQ151" s="125">
        <f>Valores!$C$100</f>
        <v>-554.86</v>
      </c>
      <c r="AR151" s="125">
        <f>IF($F$5=0,Valores!$C$101,(Valores!$C$101+$F$5*(Valores!$C$101)))</f>
        <v>-550</v>
      </c>
      <c r="AS151" s="125">
        <f t="shared" si="24"/>
        <v>168004.37315</v>
      </c>
      <c r="AT151" s="125">
        <f t="shared" si="18"/>
        <v>-22014.2197</v>
      </c>
      <c r="AU151" s="125">
        <f>AH151*Valores!$C$74</f>
        <v>-5403.490290000001</v>
      </c>
      <c r="AV151" s="125">
        <f>AH151*Valores!$C$75</f>
        <v>-600.3878100000001</v>
      </c>
      <c r="AW151" s="125">
        <f t="shared" si="22"/>
        <v>172111.17220000003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40437.73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10683.51</v>
      </c>
      <c r="N152" s="125">
        <f t="shared" si="19"/>
        <v>0</v>
      </c>
      <c r="O152" s="125">
        <f>Valores!$C$16</f>
        <v>32810.75</v>
      </c>
      <c r="P152" s="125">
        <f>Valores!$D$5</f>
        <v>19410.1</v>
      </c>
      <c r="Q152" s="125">
        <f>Valores!$C$23</f>
        <v>16117.43</v>
      </c>
      <c r="R152" s="125">
        <f>IF($F$4="NO",Valores!$C$43,Valores!$C$43/2)</f>
        <v>12724.28</v>
      </c>
      <c r="S152" s="125">
        <f>Valores!$C$19</f>
        <v>18061.41</v>
      </c>
      <c r="T152" s="125">
        <f t="shared" si="25"/>
        <v>18061.41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Valores!$C$94</f>
        <v>27846.26</v>
      </c>
      <c r="AA152" s="125">
        <f>Valores!$C$25</f>
        <v>793.88</v>
      </c>
      <c r="AB152" s="214">
        <v>0</v>
      </c>
      <c r="AC152" s="125">
        <f t="shared" si="20"/>
        <v>0</v>
      </c>
      <c r="AD152" s="125">
        <f>Valores!$C$26</f>
        <v>793.88</v>
      </c>
      <c r="AE152" s="192">
        <v>0</v>
      </c>
      <c r="AF152" s="125">
        <f>ROUND(AE152*Valores!$C$2,2)</f>
        <v>0</v>
      </c>
      <c r="AG152" s="125">
        <f>ROUND(IF($F$4="NO",Valores!$C$63,Valores!$C$63/2),2)</f>
        <v>9076.17</v>
      </c>
      <c r="AH152" s="125">
        <f t="shared" si="23"/>
        <v>188755.40000000002</v>
      </c>
      <c r="AI152" s="125">
        <f>Valores!$C$31</f>
        <v>0</v>
      </c>
      <c r="AJ152" s="125">
        <f>Valores!$C$87</f>
        <v>0</v>
      </c>
      <c r="AK152" s="125">
        <f>Valores!C$38*B152</f>
        <v>0</v>
      </c>
      <c r="AL152" s="125">
        <f>IF($F$3="NO",0,Valores!$C$56)</f>
        <v>0</v>
      </c>
      <c r="AM152" s="125">
        <f t="shared" si="21"/>
        <v>0</v>
      </c>
      <c r="AN152" s="125">
        <f>AH152*Valores!$C$71</f>
        <v>-20763.094</v>
      </c>
      <c r="AO152" s="125">
        <f>AH152*-Valores!$C$72</f>
        <v>0</v>
      </c>
      <c r="AP152" s="125">
        <f>AH152*Valores!$C$73</f>
        <v>-8493.993</v>
      </c>
      <c r="AQ152" s="125">
        <f>Valores!$C$100</f>
        <v>-554.86</v>
      </c>
      <c r="AR152" s="125">
        <f>IF($F$5=0,Valores!$C$101,(Valores!$C$101+$F$5*(Valores!$C$101)))</f>
        <v>-550</v>
      </c>
      <c r="AS152" s="125">
        <f t="shared" si="24"/>
        <v>158393.45300000004</v>
      </c>
      <c r="AT152" s="125">
        <f t="shared" si="18"/>
        <v>-20763.094</v>
      </c>
      <c r="AU152" s="125">
        <f>AH152*Valores!$C$74</f>
        <v>-5096.3958</v>
      </c>
      <c r="AV152" s="125">
        <f>AH152*Valores!$C$75</f>
        <v>-566.2662</v>
      </c>
      <c r="AW152" s="125">
        <f t="shared" si="22"/>
        <v>162329.64400000003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35957.31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10011.45</v>
      </c>
      <c r="N153" s="125">
        <f t="shared" si="19"/>
        <v>0</v>
      </c>
      <c r="O153" s="125">
        <f>Valores!$C$16</f>
        <v>32810.75</v>
      </c>
      <c r="P153" s="125">
        <f>Valores!$D$5</f>
        <v>19410.1</v>
      </c>
      <c r="Q153" s="125">
        <f>Valores!$C$23</f>
        <v>16117.43</v>
      </c>
      <c r="R153" s="125">
        <f>IF($F$4="NO",Valores!$C$43,Valores!$C$43/2)</f>
        <v>12724.28</v>
      </c>
      <c r="S153" s="125">
        <f>Valores!$C$19</f>
        <v>18061.41</v>
      </c>
      <c r="T153" s="125">
        <f t="shared" si="25"/>
        <v>18061.41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Valores!$C$94</f>
        <v>27846.26</v>
      </c>
      <c r="AA153" s="125">
        <f>Valores!$C$25</f>
        <v>793.88</v>
      </c>
      <c r="AB153" s="214">
        <v>0</v>
      </c>
      <c r="AC153" s="125">
        <f t="shared" si="20"/>
        <v>0</v>
      </c>
      <c r="AD153" s="125">
        <f>Valores!$C$26</f>
        <v>793.88</v>
      </c>
      <c r="AE153" s="192">
        <v>0</v>
      </c>
      <c r="AF153" s="125">
        <f>ROUND(AE153*Valores!$C$2,2)</f>
        <v>0</v>
      </c>
      <c r="AG153" s="125">
        <f>ROUND(IF($F$4="NO",Valores!$C$63,Valores!$C$63/2),2)</f>
        <v>9076.17</v>
      </c>
      <c r="AH153" s="125">
        <f t="shared" si="23"/>
        <v>183602.92</v>
      </c>
      <c r="AI153" s="125">
        <f>Valores!$C$31</f>
        <v>0</v>
      </c>
      <c r="AJ153" s="125">
        <f>Valores!$C$87</f>
        <v>0</v>
      </c>
      <c r="AK153" s="125">
        <f>Valores!C$38*B153</f>
        <v>0</v>
      </c>
      <c r="AL153" s="125">
        <f>IF($F$3="NO",0,Valores!$C$56)</f>
        <v>0</v>
      </c>
      <c r="AM153" s="125">
        <f t="shared" si="21"/>
        <v>0</v>
      </c>
      <c r="AN153" s="125">
        <f>AH153*Valores!$C$71</f>
        <v>-20196.321200000002</v>
      </c>
      <c r="AO153" s="125">
        <f>AH153*-Valores!$C$72</f>
        <v>0</v>
      </c>
      <c r="AP153" s="125">
        <f>AH153*Valores!$C$73</f>
        <v>-8262.1314</v>
      </c>
      <c r="AQ153" s="125">
        <f>Valores!$C$100</f>
        <v>-554.86</v>
      </c>
      <c r="AR153" s="125">
        <f>IF($F$5=0,Valores!$C$101,(Valores!$C$101+$F$5*(Valores!$C$101)))</f>
        <v>-550</v>
      </c>
      <c r="AS153" s="125">
        <f t="shared" si="24"/>
        <v>154039.6074</v>
      </c>
      <c r="AT153" s="125">
        <f t="shared" si="18"/>
        <v>-20196.321200000002</v>
      </c>
      <c r="AU153" s="125">
        <f>AH153*Valores!$C$74</f>
        <v>-4957.27884</v>
      </c>
      <c r="AV153" s="125">
        <f>AH153*Valores!$C$75</f>
        <v>-550.80876</v>
      </c>
      <c r="AW153" s="125">
        <f t="shared" si="22"/>
        <v>157898.5112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68345.46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16004.74</v>
      </c>
      <c r="N154" s="125">
        <f t="shared" si="19"/>
        <v>0</v>
      </c>
      <c r="O154" s="125">
        <f>Valores!$C$8</f>
        <v>47590.57</v>
      </c>
      <c r="P154" s="125">
        <f>Valores!$D$5</f>
        <v>19410.1</v>
      </c>
      <c r="Q154" s="125">
        <f>Valores!$C$22</f>
        <v>17316.91</v>
      </c>
      <c r="R154" s="125">
        <f>IF($F$4="NO",Valores!$C$47,Valores!$C$47/2)</f>
        <v>20291.4</v>
      </c>
      <c r="S154" s="125">
        <f>Valores!$C$19</f>
        <v>18061.41</v>
      </c>
      <c r="T154" s="125">
        <f t="shared" si="25"/>
        <v>18061.41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Valores!$C$96</f>
        <v>55692.53</v>
      </c>
      <c r="AA154" s="125">
        <f>Valores!$C$25</f>
        <v>793.88</v>
      </c>
      <c r="AB154" s="214">
        <v>0</v>
      </c>
      <c r="AC154" s="125">
        <f t="shared" si="20"/>
        <v>0</v>
      </c>
      <c r="AD154" s="125">
        <f>Valores!$C$26</f>
        <v>793.88</v>
      </c>
      <c r="AE154" s="192">
        <v>0</v>
      </c>
      <c r="AF154" s="125">
        <f>ROUND(AE154*Valores!$C$2,2)</f>
        <v>0</v>
      </c>
      <c r="AG154" s="125">
        <f>ROUND(IF($F$4="NO",Valores!$C$63,Valores!$C$63/2),2)</f>
        <v>9076.17</v>
      </c>
      <c r="AH154" s="125">
        <f t="shared" si="23"/>
        <v>273377.05</v>
      </c>
      <c r="AI154" s="125">
        <f>Valores!$C$31</f>
        <v>0</v>
      </c>
      <c r="AJ154" s="125">
        <f>Valores!$C$89</f>
        <v>0</v>
      </c>
      <c r="AK154" s="125">
        <f>Valores!C$38*B154</f>
        <v>0</v>
      </c>
      <c r="AL154" s="125">
        <f>IF($F$3="NO",0,Valores!$C$56)</f>
        <v>0</v>
      </c>
      <c r="AM154" s="125">
        <f t="shared" si="21"/>
        <v>0</v>
      </c>
      <c r="AN154" s="125">
        <f>AH154*Valores!$C$71</f>
        <v>-30071.4755</v>
      </c>
      <c r="AO154" s="125">
        <f>AH154*-Valores!$C$72</f>
        <v>0</v>
      </c>
      <c r="AP154" s="125">
        <f>AH154*Valores!$C$73</f>
        <v>-12301.96725</v>
      </c>
      <c r="AQ154" s="125">
        <f>Valores!$C$100</f>
        <v>-554.86</v>
      </c>
      <c r="AR154" s="125">
        <f>IF($F$5=0,Valores!$C$101,(Valores!$C$101+$F$5*(Valores!$C$101)))</f>
        <v>-550</v>
      </c>
      <c r="AS154" s="125">
        <f t="shared" si="24"/>
        <v>229898.74725</v>
      </c>
      <c r="AT154" s="125">
        <f t="shared" si="18"/>
        <v>-30071.4755</v>
      </c>
      <c r="AU154" s="125">
        <f>AH154*Valores!$C$74</f>
        <v>-7381.18035</v>
      </c>
      <c r="AV154" s="125">
        <f>AH154*Valores!$C$75</f>
        <v>-820.1311499999999</v>
      </c>
      <c r="AW154" s="125">
        <f t="shared" si="22"/>
        <v>235104.26299999998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48525.28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12010.61</v>
      </c>
      <c r="N155" s="125">
        <f t="shared" si="19"/>
        <v>0</v>
      </c>
      <c r="O155" s="125">
        <f>Valores!$C$8</f>
        <v>47590.57</v>
      </c>
      <c r="P155" s="125">
        <f>Valores!$D$5</f>
        <v>19410.1</v>
      </c>
      <c r="Q155" s="125">
        <f>Valores!$C$22</f>
        <v>17316.91</v>
      </c>
      <c r="R155" s="125">
        <f>IF($F$4="NO",Valores!$C$44,Valores!$C$44/2)</f>
        <v>13484.02</v>
      </c>
      <c r="S155" s="125">
        <f>Valores!$C$19</f>
        <v>18061.41</v>
      </c>
      <c r="T155" s="125">
        <f t="shared" si="25"/>
        <v>18061.41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Valores!$C$94</f>
        <v>27846.26</v>
      </c>
      <c r="AA155" s="125">
        <f>Valores!$C$25</f>
        <v>793.88</v>
      </c>
      <c r="AB155" s="214">
        <v>0</v>
      </c>
      <c r="AC155" s="125">
        <f t="shared" si="20"/>
        <v>0</v>
      </c>
      <c r="AD155" s="125">
        <f>Valores!$C$26</f>
        <v>793.88</v>
      </c>
      <c r="AE155" s="192">
        <v>0</v>
      </c>
      <c r="AF155" s="125">
        <f>ROUND(AE155*Valores!$C$2,2)</f>
        <v>0</v>
      </c>
      <c r="AG155" s="125">
        <f>ROUND(IF($F$4="NO",Valores!$C$63,Valores!$C$63/2),2)</f>
        <v>9076.17</v>
      </c>
      <c r="AH155" s="125">
        <f t="shared" si="23"/>
        <v>214909.09000000003</v>
      </c>
      <c r="AI155" s="125">
        <f>Valores!$C$31</f>
        <v>0</v>
      </c>
      <c r="AJ155" s="125">
        <f>Valores!$C$87</f>
        <v>0</v>
      </c>
      <c r="AK155" s="125">
        <f>Valores!C$38*B155</f>
        <v>0</v>
      </c>
      <c r="AL155" s="125">
        <f>IF($F$3="NO",0,Valores!$C$56)</f>
        <v>0</v>
      </c>
      <c r="AM155" s="125">
        <f t="shared" si="21"/>
        <v>0</v>
      </c>
      <c r="AN155" s="125">
        <f>AH155*Valores!$C$71</f>
        <v>-23639.999900000003</v>
      </c>
      <c r="AO155" s="125">
        <f>AH155*-Valores!$C$72</f>
        <v>0</v>
      </c>
      <c r="AP155" s="125">
        <f>AH155*Valores!$C$73</f>
        <v>-9670.90905</v>
      </c>
      <c r="AQ155" s="125">
        <f>Valores!$C$100</f>
        <v>-554.86</v>
      </c>
      <c r="AR155" s="125">
        <f>IF($F$5=0,Valores!$C$101,(Valores!$C$101+$F$5*(Valores!$C$101)))</f>
        <v>-550</v>
      </c>
      <c r="AS155" s="125">
        <f t="shared" si="24"/>
        <v>180493.32105000003</v>
      </c>
      <c r="AT155" s="125">
        <f t="shared" si="18"/>
        <v>-23639.999900000003</v>
      </c>
      <c r="AU155" s="125">
        <f>AH155*Valores!$C$74</f>
        <v>-5802.545430000001</v>
      </c>
      <c r="AV155" s="125">
        <f>AH155*Valores!$C$75</f>
        <v>-644.7272700000001</v>
      </c>
      <c r="AW155" s="125">
        <f t="shared" si="22"/>
        <v>184821.81740000003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46095.22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11646.1</v>
      </c>
      <c r="N156" s="125">
        <f t="shared" si="19"/>
        <v>0</v>
      </c>
      <c r="O156" s="125">
        <f>Valores!$C$16</f>
        <v>32810.75</v>
      </c>
      <c r="P156" s="125">
        <f>Valores!$D$5</f>
        <v>19410.1</v>
      </c>
      <c r="Q156" s="125">
        <f>Valores!$C$22</f>
        <v>17316.91</v>
      </c>
      <c r="R156" s="125">
        <f>IF($F$4="NO",Valores!$C$44,Valores!$C$44/2)</f>
        <v>13484.02</v>
      </c>
      <c r="S156" s="125">
        <f>Valores!$C$19</f>
        <v>18061.41</v>
      </c>
      <c r="T156" s="125">
        <f t="shared" si="25"/>
        <v>18061.41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Valores!$C$94</f>
        <v>27846.26</v>
      </c>
      <c r="AA156" s="125">
        <f>Valores!$C$25</f>
        <v>793.88</v>
      </c>
      <c r="AB156" s="214">
        <v>0</v>
      </c>
      <c r="AC156" s="125">
        <f t="shared" si="20"/>
        <v>0</v>
      </c>
      <c r="AD156" s="125">
        <f>Valores!$C$26</f>
        <v>793.88</v>
      </c>
      <c r="AE156" s="192">
        <v>0</v>
      </c>
      <c r="AF156" s="125">
        <f>ROUND(AE156*Valores!$C$2,2)</f>
        <v>0</v>
      </c>
      <c r="AG156" s="125">
        <f>ROUND(IF($F$4="NO",Valores!$C$63,Valores!$C$63/2),2)</f>
        <v>9076.17</v>
      </c>
      <c r="AH156" s="125">
        <f t="shared" si="23"/>
        <v>197334.70000000004</v>
      </c>
      <c r="AI156" s="125">
        <f>Valores!$C$31</f>
        <v>0</v>
      </c>
      <c r="AJ156" s="125">
        <f>Valores!$C$87</f>
        <v>0</v>
      </c>
      <c r="AK156" s="125">
        <f>Valores!C$38*B156</f>
        <v>0</v>
      </c>
      <c r="AL156" s="125">
        <f>IF($F$3="NO",0,Valores!$C$56)</f>
        <v>0</v>
      </c>
      <c r="AM156" s="125">
        <f t="shared" si="21"/>
        <v>0</v>
      </c>
      <c r="AN156" s="125">
        <f>AH156*Valores!$C$71</f>
        <v>-21706.817000000006</v>
      </c>
      <c r="AO156" s="125">
        <f>AH156*-Valores!$C$72</f>
        <v>0</v>
      </c>
      <c r="AP156" s="125">
        <f>AH156*Valores!$C$73</f>
        <v>-8880.061500000002</v>
      </c>
      <c r="AQ156" s="125">
        <f>Valores!$C$100</f>
        <v>-554.86</v>
      </c>
      <c r="AR156" s="125">
        <f>IF($F$5=0,Valores!$C$101,(Valores!$C$101+$F$5*(Valores!$C$101)))</f>
        <v>-550</v>
      </c>
      <c r="AS156" s="125">
        <f t="shared" si="24"/>
        <v>165642.96150000003</v>
      </c>
      <c r="AT156" s="125">
        <f t="shared" si="18"/>
        <v>-21706.817000000006</v>
      </c>
      <c r="AU156" s="125">
        <f>AH156*Valores!$C$74</f>
        <v>-5328.036900000001</v>
      </c>
      <c r="AV156" s="125">
        <f>AH156*Valores!$C$75</f>
        <v>-592.0041000000001</v>
      </c>
      <c r="AW156" s="125">
        <f t="shared" si="22"/>
        <v>169707.84200000003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44956.12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11447.53</v>
      </c>
      <c r="N157" s="125">
        <f t="shared" si="19"/>
        <v>0</v>
      </c>
      <c r="O157" s="125">
        <f>Valores!$C$16</f>
        <v>32810.75</v>
      </c>
      <c r="P157" s="125">
        <f>Valores!$D$5</f>
        <v>19410.1</v>
      </c>
      <c r="Q157" s="125">
        <v>0</v>
      </c>
      <c r="R157" s="125">
        <f>IF($F$4="NO",Valores!$C$44,Valores!$C$44/2)</f>
        <v>13484.02</v>
      </c>
      <c r="S157" s="125">
        <f>Valores!$C$20</f>
        <v>17876.75</v>
      </c>
      <c r="T157" s="125">
        <f t="shared" si="25"/>
        <v>17876.75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Valores!$C$94</f>
        <v>27846.26</v>
      </c>
      <c r="AA157" s="125">
        <f>Valores!$C$25</f>
        <v>793.88</v>
      </c>
      <c r="AB157" s="214">
        <v>0</v>
      </c>
      <c r="AC157" s="125">
        <f t="shared" si="20"/>
        <v>0</v>
      </c>
      <c r="AD157" s="125">
        <f>Valores!$C$26</f>
        <v>793.88</v>
      </c>
      <c r="AE157" s="192">
        <v>0</v>
      </c>
      <c r="AF157" s="125">
        <f>ROUND(AE157*Valores!$C$2,2)</f>
        <v>0</v>
      </c>
      <c r="AG157" s="125">
        <f>ROUND(IF($F$4="NO",Valores!$C$63,Valores!$C$63/2),2)</f>
        <v>9076.17</v>
      </c>
      <c r="AH157" s="125">
        <f t="shared" si="23"/>
        <v>178495.46000000005</v>
      </c>
      <c r="AI157" s="125">
        <f>Valores!$C$31</f>
        <v>0</v>
      </c>
      <c r="AJ157" s="125">
        <f>Valores!$C$87</f>
        <v>0</v>
      </c>
      <c r="AK157" s="125">
        <f>Valores!C$38*B157</f>
        <v>0</v>
      </c>
      <c r="AL157" s="125">
        <f>IF($F$3="NO",0,Valores!$C$56)</f>
        <v>0</v>
      </c>
      <c r="AM157" s="125">
        <f t="shared" si="21"/>
        <v>0</v>
      </c>
      <c r="AN157" s="125">
        <f>AH157*Valores!$C$71</f>
        <v>-19634.500600000007</v>
      </c>
      <c r="AO157" s="125">
        <f>AH157*-Valores!$C$72</f>
        <v>0</v>
      </c>
      <c r="AP157" s="125">
        <f>AH157*Valores!$C$73</f>
        <v>-8032.295700000002</v>
      </c>
      <c r="AQ157" s="125">
        <f>Valores!$C$100</f>
        <v>-554.86</v>
      </c>
      <c r="AR157" s="125">
        <f>IF($F$5=0,Valores!$C$101,(Valores!$C$101+$F$5*(Valores!$C$101)))</f>
        <v>-550</v>
      </c>
      <c r="AS157" s="125">
        <f t="shared" si="24"/>
        <v>149723.80370000005</v>
      </c>
      <c r="AT157" s="125">
        <f t="shared" si="18"/>
        <v>-19634.500600000007</v>
      </c>
      <c r="AU157" s="125">
        <f>AH157*Valores!$C$74</f>
        <v>-4819.377420000002</v>
      </c>
      <c r="AV157" s="125">
        <f>AH157*Valores!$C$75</f>
        <v>-535.4863800000002</v>
      </c>
      <c r="AW157" s="125">
        <f t="shared" si="22"/>
        <v>153506.09560000006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36868.58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10148.14</v>
      </c>
      <c r="N158" s="125">
        <f t="shared" si="19"/>
        <v>0</v>
      </c>
      <c r="O158" s="125">
        <f>Valores!$C$16</f>
        <v>32810.75</v>
      </c>
      <c r="P158" s="125">
        <f>Valores!$D$5</f>
        <v>19410.1</v>
      </c>
      <c r="Q158" s="125">
        <f>Valores!$C$23</f>
        <v>16117.43</v>
      </c>
      <c r="R158" s="125">
        <f>IF($F$4="NO",Valores!$C$43,Valores!$C$43/2)</f>
        <v>12724.28</v>
      </c>
      <c r="S158" s="125">
        <f>Valores!$C$19</f>
        <v>18061.41</v>
      </c>
      <c r="T158" s="125">
        <f t="shared" si="25"/>
        <v>18061.41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Valores!$C$94</f>
        <v>27846.26</v>
      </c>
      <c r="AA158" s="125">
        <f>Valores!$C$25</f>
        <v>793.88</v>
      </c>
      <c r="AB158" s="214">
        <v>0</v>
      </c>
      <c r="AC158" s="125">
        <f t="shared" si="20"/>
        <v>0</v>
      </c>
      <c r="AD158" s="125">
        <f>Valores!$C$25</f>
        <v>793.88</v>
      </c>
      <c r="AE158" s="192">
        <v>0</v>
      </c>
      <c r="AF158" s="125">
        <f>ROUND(AE158*Valores!$C$2,2)</f>
        <v>0</v>
      </c>
      <c r="AG158" s="125">
        <f>ROUND(IF($F$4="NO",Valores!$C$63,Valores!$C$63/2),2)</f>
        <v>9076.17</v>
      </c>
      <c r="AH158" s="125">
        <f t="shared" si="23"/>
        <v>184650.88000000003</v>
      </c>
      <c r="AI158" s="125">
        <f>Valores!$C$31</f>
        <v>0</v>
      </c>
      <c r="AJ158" s="125">
        <f>Valores!$C$87</f>
        <v>0</v>
      </c>
      <c r="AK158" s="125">
        <f>Valores!C$38*B158</f>
        <v>0</v>
      </c>
      <c r="AL158" s="125">
        <f>(IF($F$3="NO",0,Valores!$C$58))</f>
        <v>0</v>
      </c>
      <c r="AM158" s="125">
        <f t="shared" si="21"/>
        <v>0</v>
      </c>
      <c r="AN158" s="125">
        <f>AH158*Valores!$C$71</f>
        <v>-20311.596800000003</v>
      </c>
      <c r="AO158" s="125">
        <f>AH158*-Valores!$C$72</f>
        <v>0</v>
      </c>
      <c r="AP158" s="125">
        <f>AH158*Valores!$C$73</f>
        <v>-8309.289600000002</v>
      </c>
      <c r="AQ158" s="125">
        <f>Valores!$C$100</f>
        <v>-554.86</v>
      </c>
      <c r="AR158" s="125">
        <f>IF($F$5=0,Valores!$C$101,(Valores!$C$101+$F$5*(Valores!$C$101)))</f>
        <v>-550</v>
      </c>
      <c r="AS158" s="125">
        <f t="shared" si="24"/>
        <v>154925.13360000003</v>
      </c>
      <c r="AT158" s="125">
        <f t="shared" si="18"/>
        <v>-20311.596800000003</v>
      </c>
      <c r="AU158" s="125">
        <f>AH158*Valores!$C$74</f>
        <v>-4985.573760000001</v>
      </c>
      <c r="AV158" s="125">
        <f>AH158*Valores!$C$75</f>
        <v>-553.9526400000001</v>
      </c>
      <c r="AW158" s="125">
        <f t="shared" si="22"/>
        <v>158799.75680000003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36868.58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13561.39</v>
      </c>
      <c r="N159" s="125">
        <f t="shared" si="19"/>
        <v>0</v>
      </c>
      <c r="O159" s="125">
        <f>Valores!$C$16</f>
        <v>32810.75</v>
      </c>
      <c r="P159" s="125">
        <f>Valores!$D$5</f>
        <v>19410.1</v>
      </c>
      <c r="Q159" s="125">
        <f>Valores!$C$23</f>
        <v>16117.43</v>
      </c>
      <c r="R159" s="125">
        <f>IF($F$4="NO",Valores!$C$47,Valores!$C$47/2)</f>
        <v>20291.4</v>
      </c>
      <c r="S159" s="125">
        <f>Valores!$C$19</f>
        <v>18061.41</v>
      </c>
      <c r="T159" s="125">
        <f t="shared" si="25"/>
        <v>18061.41</v>
      </c>
      <c r="U159" s="125">
        <v>0</v>
      </c>
      <c r="V159" s="125">
        <v>0</v>
      </c>
      <c r="W159" s="192">
        <v>400</v>
      </c>
      <c r="X159" s="125">
        <f>ROUND(W159*Valores!$C$2,2)</f>
        <v>15187.88</v>
      </c>
      <c r="Y159" s="125">
        <f>ROUND(SUM(J159,H159,F159,R159)*Valores!$C$3,2)</f>
        <v>8574</v>
      </c>
      <c r="Z159" s="125">
        <f>Valores!$C$94</f>
        <v>27846.26</v>
      </c>
      <c r="AA159" s="125">
        <f>Valores!$C$25</f>
        <v>793.88</v>
      </c>
      <c r="AB159" s="214">
        <v>0</v>
      </c>
      <c r="AC159" s="125">
        <f t="shared" si="20"/>
        <v>0</v>
      </c>
      <c r="AD159" s="125">
        <f>Valores!$C$25</f>
        <v>793.88</v>
      </c>
      <c r="AE159" s="192">
        <v>94</v>
      </c>
      <c r="AF159" s="125">
        <f>ROUND(AE159*Valores!$C$2,2)</f>
        <v>3569.15</v>
      </c>
      <c r="AG159" s="125">
        <f>ROUND(IF($F$4="NO",Valores!$C$63,Valores!$C$63/2),2)</f>
        <v>9076.17</v>
      </c>
      <c r="AH159" s="125">
        <f t="shared" si="23"/>
        <v>222962.28000000003</v>
      </c>
      <c r="AI159" s="125">
        <f>Valores!$C$31</f>
        <v>0</v>
      </c>
      <c r="AJ159" s="125">
        <f>Valores!$C$87</f>
        <v>0</v>
      </c>
      <c r="AK159" s="125">
        <f>Valores!C$38*B159</f>
        <v>0</v>
      </c>
      <c r="AL159" s="125">
        <f>(IF($F$3="NO",0,Valores!$C$58))</f>
        <v>0</v>
      </c>
      <c r="AM159" s="125">
        <f t="shared" si="21"/>
        <v>0</v>
      </c>
      <c r="AN159" s="125">
        <f>AH159*Valores!$C$71</f>
        <v>-24525.850800000004</v>
      </c>
      <c r="AO159" s="125">
        <f>AH159*-Valores!$C$72</f>
        <v>0</v>
      </c>
      <c r="AP159" s="125">
        <f>AH159*Valores!$C$73</f>
        <v>-10033.3026</v>
      </c>
      <c r="AQ159" s="125">
        <f>Valores!$C$100</f>
        <v>-554.86</v>
      </c>
      <c r="AR159" s="125">
        <f>IF($F$5=0,Valores!$C$101,(Valores!$C$101+$F$5*(Valores!$C$101)))</f>
        <v>-550</v>
      </c>
      <c r="AS159" s="125">
        <f t="shared" si="24"/>
        <v>187298.26660000003</v>
      </c>
      <c r="AT159" s="125">
        <f t="shared" si="18"/>
        <v>-24525.850800000004</v>
      </c>
      <c r="AU159" s="125">
        <f>AH159*Valores!$C$74</f>
        <v>-6019.981560000001</v>
      </c>
      <c r="AV159" s="125">
        <f>AH159*Valores!$C$75</f>
        <v>-668.8868400000001</v>
      </c>
      <c r="AW159" s="125">
        <f t="shared" si="22"/>
        <v>191747.56080000004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30755.46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9203.47</v>
      </c>
      <c r="N160" s="125">
        <f t="shared" si="19"/>
        <v>0</v>
      </c>
      <c r="O160" s="125">
        <f>Valores!$C$16</f>
        <v>32810.75</v>
      </c>
      <c r="P160" s="125">
        <f>Valores!$D$5</f>
        <v>19410.1</v>
      </c>
      <c r="Q160" s="125">
        <f>Valores!$C$23</f>
        <v>16117.43</v>
      </c>
      <c r="R160" s="125">
        <f>IF($F$4="NO",Valores!$C$43,Valores!$C$43/2)</f>
        <v>12724.28</v>
      </c>
      <c r="S160" s="125">
        <f>Valores!$C$20</f>
        <v>17876.75</v>
      </c>
      <c r="T160" s="125">
        <f t="shared" si="25"/>
        <v>17876.75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Valores!$C$94</f>
        <v>27846.26</v>
      </c>
      <c r="AA160" s="125">
        <f>Valores!$C$25</f>
        <v>793.88</v>
      </c>
      <c r="AB160" s="214">
        <v>0</v>
      </c>
      <c r="AC160" s="125">
        <f t="shared" si="20"/>
        <v>0</v>
      </c>
      <c r="AD160" s="125">
        <f>Valores!$C$26</f>
        <v>793.88</v>
      </c>
      <c r="AE160" s="192">
        <v>0</v>
      </c>
      <c r="AF160" s="125">
        <f>ROUND(AE160*Valores!$C$2,2)</f>
        <v>0</v>
      </c>
      <c r="AG160" s="125">
        <f>ROUND(IF($F$4="NO",Valores!$C$63,Valores!$C$63/2),2)</f>
        <v>9076.17</v>
      </c>
      <c r="AH160" s="125">
        <f t="shared" si="23"/>
        <v>177408.43000000002</v>
      </c>
      <c r="AI160" s="125">
        <f>Valores!$C$31</f>
        <v>0</v>
      </c>
      <c r="AJ160" s="125">
        <f>Valores!$C$87</f>
        <v>0</v>
      </c>
      <c r="AK160" s="125">
        <f>Valores!C$38*B160</f>
        <v>0</v>
      </c>
      <c r="AL160" s="125">
        <f>IF($F$3="NO",0,Valores!$C$56)</f>
        <v>0</v>
      </c>
      <c r="AM160" s="125">
        <f t="shared" si="21"/>
        <v>0</v>
      </c>
      <c r="AN160" s="125">
        <f>AH160*Valores!$C$71</f>
        <v>-19514.927300000003</v>
      </c>
      <c r="AO160" s="125">
        <f>AH160*-Valores!$C$72</f>
        <v>0</v>
      </c>
      <c r="AP160" s="125">
        <f>AH160*Valores!$C$73</f>
        <v>-7983.379350000001</v>
      </c>
      <c r="AQ160" s="125">
        <f>Valores!$C$100</f>
        <v>-554.86</v>
      </c>
      <c r="AR160" s="125">
        <f>IF($F$5=0,Valores!$C$101,(Valores!$C$101+$F$5*(Valores!$C$101)))</f>
        <v>-550</v>
      </c>
      <c r="AS160" s="125">
        <f t="shared" si="24"/>
        <v>148805.26335000002</v>
      </c>
      <c r="AT160" s="125">
        <f t="shared" si="18"/>
        <v>-19514.927300000003</v>
      </c>
      <c r="AU160" s="125">
        <f>AH160*Valores!$C$74</f>
        <v>-4790.02761</v>
      </c>
      <c r="AV160" s="125">
        <f>AH160*Valores!$C$75</f>
        <v>-532.2252900000001</v>
      </c>
      <c r="AW160" s="125">
        <f t="shared" si="22"/>
        <v>152571.24980000002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40437.73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10683.51</v>
      </c>
      <c r="N161" s="125">
        <f t="shared" si="19"/>
        <v>0</v>
      </c>
      <c r="O161" s="125">
        <f>Valores!$C$16</f>
        <v>32810.75</v>
      </c>
      <c r="P161" s="125">
        <f>Valores!$D$5</f>
        <v>19410.1</v>
      </c>
      <c r="Q161" s="125">
        <f>Valores!$C$23</f>
        <v>16117.43</v>
      </c>
      <c r="R161" s="125">
        <f>IF($F$4="NO",Valores!$C$43,Valores!$C$43/2)</f>
        <v>12724.28</v>
      </c>
      <c r="S161" s="125">
        <f>Valores!$C$19</f>
        <v>18061.41</v>
      </c>
      <c r="T161" s="125">
        <f t="shared" si="25"/>
        <v>18061.41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Valores!$C$94</f>
        <v>27846.26</v>
      </c>
      <c r="AA161" s="125">
        <f>Valores!$C$25</f>
        <v>793.88</v>
      </c>
      <c r="AB161" s="214">
        <v>0</v>
      </c>
      <c r="AC161" s="125">
        <f t="shared" si="20"/>
        <v>0</v>
      </c>
      <c r="AD161" s="125">
        <f>Valores!$C$26</f>
        <v>793.88</v>
      </c>
      <c r="AE161" s="192">
        <v>0</v>
      </c>
      <c r="AF161" s="125">
        <f>ROUND(AE161*Valores!$C$2,2)</f>
        <v>0</v>
      </c>
      <c r="AG161" s="125">
        <f>ROUND(IF($F$4="NO",Valores!$C$63,Valores!$C$63/2),2)</f>
        <v>9076.17</v>
      </c>
      <c r="AH161" s="125">
        <f t="shared" si="23"/>
        <v>188755.40000000002</v>
      </c>
      <c r="AI161" s="125">
        <f>Valores!$C$31</f>
        <v>0</v>
      </c>
      <c r="AJ161" s="125">
        <f>Valores!$C$87</f>
        <v>0</v>
      </c>
      <c r="AK161" s="125">
        <f>Valores!C$38*B161</f>
        <v>0</v>
      </c>
      <c r="AL161" s="125">
        <f>IF($F$3="NO",0,Valores!$C$56)</f>
        <v>0</v>
      </c>
      <c r="AM161" s="125">
        <f t="shared" si="21"/>
        <v>0</v>
      </c>
      <c r="AN161" s="125">
        <f>AH161*Valores!$C$71</f>
        <v>-20763.094</v>
      </c>
      <c r="AO161" s="125">
        <f>AH161*-Valores!$C$72</f>
        <v>0</v>
      </c>
      <c r="AP161" s="125">
        <f>AH161*Valores!$C$73</f>
        <v>-8493.993</v>
      </c>
      <c r="AQ161" s="125">
        <f>Valores!$C$100</f>
        <v>-554.86</v>
      </c>
      <c r="AR161" s="125">
        <f>IF($F$5=0,Valores!$C$101,(Valores!$C$101+$F$5*(Valores!$C$101)))</f>
        <v>-550</v>
      </c>
      <c r="AS161" s="125">
        <f t="shared" si="24"/>
        <v>158393.45300000004</v>
      </c>
      <c r="AT161" s="125">
        <f t="shared" si="18"/>
        <v>-20763.094</v>
      </c>
      <c r="AU161" s="125">
        <f>AH161*Valores!$C$74</f>
        <v>-5096.3958</v>
      </c>
      <c r="AV161" s="125">
        <f>AH161*Valores!$C$75</f>
        <v>-566.2662</v>
      </c>
      <c r="AW161" s="125">
        <f t="shared" si="22"/>
        <v>162329.64400000003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40437.73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10683.51</v>
      </c>
      <c r="N162" s="125">
        <f t="shared" si="19"/>
        <v>0</v>
      </c>
      <c r="O162" s="125">
        <f>Valores!$C$16</f>
        <v>32810.75</v>
      </c>
      <c r="P162" s="125">
        <f>Valores!$D$5</f>
        <v>19410.1</v>
      </c>
      <c r="Q162" s="125">
        <f>Valores!$C$23</f>
        <v>16117.43</v>
      </c>
      <c r="R162" s="125">
        <f>IF($F$4="NO",Valores!$C$43,Valores!$C$43/2)</f>
        <v>12724.28</v>
      </c>
      <c r="S162" s="125">
        <f>Valores!$C$19</f>
        <v>18061.41</v>
      </c>
      <c r="T162" s="125">
        <f t="shared" si="25"/>
        <v>18061.41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Valores!$C$94</f>
        <v>27846.26</v>
      </c>
      <c r="AA162" s="125">
        <f>Valores!$C$25</f>
        <v>793.88</v>
      </c>
      <c r="AB162" s="214">
        <v>0</v>
      </c>
      <c r="AC162" s="125">
        <f t="shared" si="20"/>
        <v>0</v>
      </c>
      <c r="AD162" s="125">
        <f>Valores!$C$26</f>
        <v>793.88</v>
      </c>
      <c r="AE162" s="192">
        <v>94</v>
      </c>
      <c r="AF162" s="125">
        <f>ROUND(AE162*Valores!$C$2,2)</f>
        <v>3569.15</v>
      </c>
      <c r="AG162" s="125">
        <f>ROUND(IF($F$4="NO",Valores!$C$63,Valores!$C$63/2),2)</f>
        <v>9076.17</v>
      </c>
      <c r="AH162" s="125">
        <f t="shared" si="23"/>
        <v>192324.55000000002</v>
      </c>
      <c r="AI162" s="125">
        <f>Valores!$C$31</f>
        <v>0</v>
      </c>
      <c r="AJ162" s="125">
        <f>Valores!$C$87</f>
        <v>0</v>
      </c>
      <c r="AK162" s="125">
        <f>Valores!C$38*B162</f>
        <v>0</v>
      </c>
      <c r="AL162" s="125">
        <f>IF($F$3="NO",0,Valores!$C$56)</f>
        <v>0</v>
      </c>
      <c r="AM162" s="125">
        <f t="shared" si="21"/>
        <v>0</v>
      </c>
      <c r="AN162" s="125">
        <f>AH162*Valores!$C$71</f>
        <v>-21155.700500000003</v>
      </c>
      <c r="AO162" s="125">
        <f>AH162*-Valores!$C$72</f>
        <v>0</v>
      </c>
      <c r="AP162" s="125">
        <f>AH162*Valores!$C$73</f>
        <v>-8654.60475</v>
      </c>
      <c r="AQ162" s="125">
        <f>Valores!$C$100</f>
        <v>-554.86</v>
      </c>
      <c r="AR162" s="125">
        <f>IF($F$5=0,Valores!$C$101,(Valores!$C$101+$F$5*(Valores!$C$101)))</f>
        <v>-550</v>
      </c>
      <c r="AS162" s="125">
        <f t="shared" si="24"/>
        <v>161409.38475000003</v>
      </c>
      <c r="AT162" s="125">
        <f t="shared" si="18"/>
        <v>-21155.700500000003</v>
      </c>
      <c r="AU162" s="125">
        <f>AH162*Valores!$C$74</f>
        <v>-5192.76285</v>
      </c>
      <c r="AV162" s="125">
        <f>AH162*Valores!$C$75</f>
        <v>-576.97365</v>
      </c>
      <c r="AW162" s="125">
        <f t="shared" si="22"/>
        <v>165399.113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3721.03</v>
      </c>
      <c r="G163" s="192">
        <v>2686</v>
      </c>
      <c r="H163" s="125">
        <f>ROUND(G163*Valores!$C$2,2)</f>
        <v>101986.61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25595.89</v>
      </c>
      <c r="N163" s="125">
        <f t="shared" si="19"/>
        <v>0</v>
      </c>
      <c r="O163" s="125">
        <f>Valores!$C$8</f>
        <v>47590.57</v>
      </c>
      <c r="P163" s="125">
        <f>Valores!$D$5</f>
        <v>19410.1</v>
      </c>
      <c r="Q163" s="125">
        <f>Valores!$C$22</f>
        <v>17316.91</v>
      </c>
      <c r="R163" s="125">
        <f>IF($F$4="NO",Valores!$C$47,Valores!$C$47/2)</f>
        <v>20291.4</v>
      </c>
      <c r="S163" s="125">
        <f>Valores!$C$19</f>
        <v>18061.41</v>
      </c>
      <c r="T163" s="125">
        <f t="shared" si="25"/>
        <v>18061.41</v>
      </c>
      <c r="U163" s="125">
        <v>0</v>
      </c>
      <c r="V163" s="125">
        <v>0</v>
      </c>
      <c r="W163" s="192">
        <v>700</v>
      </c>
      <c r="X163" s="125">
        <f>ROUND(W163*Valores!$C$2,2)</f>
        <v>26578.79</v>
      </c>
      <c r="Y163" s="125">
        <f>ROUND(SUM(J163,H163,F163,R163)*Valores!$C$3,2)</f>
        <v>18899.86</v>
      </c>
      <c r="Z163" s="125">
        <f>Valores!$C$96</f>
        <v>55692.53</v>
      </c>
      <c r="AA163" s="125">
        <f>Valores!$C$25</f>
        <v>793.88</v>
      </c>
      <c r="AB163" s="214">
        <v>0</v>
      </c>
      <c r="AC163" s="125">
        <f t="shared" si="20"/>
        <v>0</v>
      </c>
      <c r="AD163" s="125">
        <f>Valores!$C$26</f>
        <v>793.88</v>
      </c>
      <c r="AE163" s="192">
        <v>94</v>
      </c>
      <c r="AF163" s="125">
        <f>ROUND(AE163*Valores!$C$2,2)</f>
        <v>3569.15</v>
      </c>
      <c r="AG163" s="125">
        <f>ROUND(IF($F$4="NO",Valores!$C$63,Valores!$C$63/2),2)</f>
        <v>9076.17</v>
      </c>
      <c r="AH163" s="125">
        <f t="shared" si="23"/>
        <v>369378.18</v>
      </c>
      <c r="AI163" s="125">
        <f>Valores!$C$31</f>
        <v>0</v>
      </c>
      <c r="AJ163" s="125">
        <f>Valores!$C$89</f>
        <v>0</v>
      </c>
      <c r="AK163" s="125">
        <f>Valores!C$38*B163</f>
        <v>0</v>
      </c>
      <c r="AL163" s="125">
        <f>IF($F$3="NO",0,224.5)</f>
        <v>0</v>
      </c>
      <c r="AM163" s="125">
        <f t="shared" si="21"/>
        <v>0</v>
      </c>
      <c r="AN163" s="125">
        <f>AH163*Valores!$C$71</f>
        <v>-40631.599799999996</v>
      </c>
      <c r="AO163" s="125">
        <f>AH163*-Valores!$C$72</f>
        <v>0</v>
      </c>
      <c r="AP163" s="125">
        <f>AH163*Valores!$C$73</f>
        <v>-16622.018099999998</v>
      </c>
      <c r="AQ163" s="125">
        <f>Valores!$C$100</f>
        <v>-554.86</v>
      </c>
      <c r="AR163" s="125">
        <f>IF($F$5=0,Valores!$C$101,(Valores!$C$101+$F$5*(Valores!$C$101)))</f>
        <v>-550</v>
      </c>
      <c r="AS163" s="125">
        <f t="shared" si="24"/>
        <v>311019.7021</v>
      </c>
      <c r="AT163" s="125">
        <f t="shared" si="18"/>
        <v>-40631.599799999996</v>
      </c>
      <c r="AU163" s="125">
        <f>AH163*Valores!$C$74</f>
        <v>-9973.21086</v>
      </c>
      <c r="AV163" s="125">
        <f>AH163*Valores!$C$75</f>
        <v>-1108.13454</v>
      </c>
      <c r="AW163" s="125">
        <f t="shared" si="22"/>
        <v>317665.2348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3531.18</v>
      </c>
      <c r="G164" s="192">
        <v>2547</v>
      </c>
      <c r="H164" s="125">
        <f>ROUND(G164*Valores!$C$2,2)</f>
        <v>96708.83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24775.74</v>
      </c>
      <c r="N164" s="125">
        <f t="shared" si="19"/>
        <v>0</v>
      </c>
      <c r="O164" s="125">
        <f>Valores!$C$16</f>
        <v>32810.75</v>
      </c>
      <c r="P164" s="125">
        <f>Valores!$D$5</f>
        <v>19410.1</v>
      </c>
      <c r="Q164" s="125">
        <f>Valores!$C$22</f>
        <v>17316.91</v>
      </c>
      <c r="R164" s="125">
        <f>IF($F$4="NO",Valores!$C$47,Valores!$C$47/2)</f>
        <v>20291.4</v>
      </c>
      <c r="S164" s="125">
        <f>Valores!$C$19</f>
        <v>18061.41</v>
      </c>
      <c r="T164" s="125">
        <f t="shared" si="25"/>
        <v>18061.41</v>
      </c>
      <c r="U164" s="125">
        <v>0</v>
      </c>
      <c r="V164" s="125">
        <v>0</v>
      </c>
      <c r="W164" s="192">
        <v>700</v>
      </c>
      <c r="X164" s="125">
        <f>ROUND(W164*Valores!$C$2,2)</f>
        <v>26578.79</v>
      </c>
      <c r="Y164" s="125">
        <f>ROUND(SUM(J164,H164,F164,R164)*Valores!$C$3,2)</f>
        <v>18079.71</v>
      </c>
      <c r="Z164" s="125">
        <f>Valores!$C$96</f>
        <v>55692.53</v>
      </c>
      <c r="AA164" s="125">
        <f>Valores!$C$25</f>
        <v>793.88</v>
      </c>
      <c r="AB164" s="214">
        <v>0</v>
      </c>
      <c r="AC164" s="125">
        <f t="shared" si="20"/>
        <v>0</v>
      </c>
      <c r="AD164" s="125">
        <f>Valores!$C$26</f>
        <v>793.88</v>
      </c>
      <c r="AE164" s="192">
        <v>94</v>
      </c>
      <c r="AF164" s="125">
        <f>ROUND(AE164*Valores!$C$2,2)</f>
        <v>3569.15</v>
      </c>
      <c r="AG164" s="125">
        <f>ROUND(IF($F$4="NO",Valores!$C$63,Valores!$C$63/2),2)</f>
        <v>9076.17</v>
      </c>
      <c r="AH164" s="125">
        <f t="shared" si="23"/>
        <v>347490.43</v>
      </c>
      <c r="AI164" s="125">
        <f>Valores!$C$31</f>
        <v>0</v>
      </c>
      <c r="AJ164" s="125">
        <f>Valores!$C$89</f>
        <v>0</v>
      </c>
      <c r="AK164" s="125">
        <f>Valores!C$38*B164</f>
        <v>0</v>
      </c>
      <c r="AL164" s="125">
        <f>IF($F$3="NO",0,224.5)</f>
        <v>0</v>
      </c>
      <c r="AM164" s="125">
        <f t="shared" si="21"/>
        <v>0</v>
      </c>
      <c r="AN164" s="125">
        <f>AH164*Valores!$C$71</f>
        <v>-38223.9473</v>
      </c>
      <c r="AO164" s="125">
        <f>AH164*-Valores!$C$72</f>
        <v>0</v>
      </c>
      <c r="AP164" s="125">
        <f>AH164*Valores!$C$73</f>
        <v>-15637.06935</v>
      </c>
      <c r="AQ164" s="125">
        <f>Valores!$C$100</f>
        <v>-554.86</v>
      </c>
      <c r="AR164" s="125">
        <f>IF($F$5=0,Valores!$C$101,(Valores!$C$101+$F$5*(Valores!$C$101)))</f>
        <v>-550</v>
      </c>
      <c r="AS164" s="125">
        <f t="shared" si="24"/>
        <v>292524.55335</v>
      </c>
      <c r="AT164" s="125">
        <f t="shared" si="18"/>
        <v>-38223.9473</v>
      </c>
      <c r="AU164" s="125">
        <f>AH164*Valores!$C$74</f>
        <v>-9382.24161</v>
      </c>
      <c r="AV164" s="125">
        <f>AH164*Valores!$C$75</f>
        <v>-1042.47129</v>
      </c>
      <c r="AW164" s="125">
        <f t="shared" si="22"/>
        <v>298841.7698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3379.3</v>
      </c>
      <c r="G165" s="192">
        <v>2251</v>
      </c>
      <c r="H165" s="125">
        <f>ROUND(G165*Valores!$C$2,2)</f>
        <v>85469.79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23067.1</v>
      </c>
      <c r="N165" s="125">
        <f t="shared" si="19"/>
        <v>0</v>
      </c>
      <c r="O165" s="125">
        <f>Valores!$C$16</f>
        <v>32810.75</v>
      </c>
      <c r="P165" s="125">
        <f>Valores!$D$5</f>
        <v>19410.1</v>
      </c>
      <c r="Q165" s="125">
        <f>Valores!$C$22</f>
        <v>17316.91</v>
      </c>
      <c r="R165" s="125">
        <f>IF($F$4="NO",Valores!$C$47,Valores!$C$47/2)</f>
        <v>20291.4</v>
      </c>
      <c r="S165" s="125">
        <f>Valores!$C$19</f>
        <v>18061.41</v>
      </c>
      <c r="T165" s="125">
        <f t="shared" si="25"/>
        <v>18061.41</v>
      </c>
      <c r="U165" s="125">
        <v>0</v>
      </c>
      <c r="V165" s="125">
        <v>0</v>
      </c>
      <c r="W165" s="192">
        <v>700</v>
      </c>
      <c r="X165" s="125">
        <f>ROUND(W165*Valores!$C$2,2)</f>
        <v>26578.79</v>
      </c>
      <c r="Y165" s="125">
        <f>ROUND(SUM(J165,H165,F165,R165)*Valores!$C$3,2)</f>
        <v>16371.07</v>
      </c>
      <c r="Z165" s="125">
        <f>Valores!$C$96</f>
        <v>55692.53</v>
      </c>
      <c r="AA165" s="125">
        <f>Valores!$C$25</f>
        <v>793.88</v>
      </c>
      <c r="AB165" s="214">
        <v>0</v>
      </c>
      <c r="AC165" s="125">
        <f t="shared" si="20"/>
        <v>0</v>
      </c>
      <c r="AD165" s="125">
        <f>Valores!$C$26</f>
        <v>793.88</v>
      </c>
      <c r="AE165" s="192">
        <v>94</v>
      </c>
      <c r="AF165" s="125">
        <f>ROUND(AE165*Valores!$C$2,2)</f>
        <v>3569.15</v>
      </c>
      <c r="AG165" s="125">
        <f>ROUND(IF($F$4="NO",Valores!$C$63,Valores!$C$63/2),2)</f>
        <v>9076.17</v>
      </c>
      <c r="AH165" s="125">
        <f t="shared" si="23"/>
        <v>332682.23000000004</v>
      </c>
      <c r="AI165" s="125">
        <f>Valores!$C$31</f>
        <v>0</v>
      </c>
      <c r="AJ165" s="125">
        <f>Valores!$C$89</f>
        <v>0</v>
      </c>
      <c r="AK165" s="125">
        <f>Valores!C$38*B165</f>
        <v>0</v>
      </c>
      <c r="AL165" s="125">
        <f>IF($F$3="NO",0,224.5)</f>
        <v>0</v>
      </c>
      <c r="AM165" s="125">
        <f t="shared" si="21"/>
        <v>0</v>
      </c>
      <c r="AN165" s="125">
        <f>AH165*Valores!$C$71</f>
        <v>-36595.045300000005</v>
      </c>
      <c r="AO165" s="125">
        <f>AH165*-Valores!$C$72</f>
        <v>0</v>
      </c>
      <c r="AP165" s="125">
        <f>AH165*Valores!$C$73</f>
        <v>-14970.700350000001</v>
      </c>
      <c r="AQ165" s="125">
        <f>Valores!$C$100</f>
        <v>-554.86</v>
      </c>
      <c r="AR165" s="125">
        <f>IF($F$5=0,Valores!$C$101,(Valores!$C$101+$F$5*(Valores!$C$101)))</f>
        <v>-550</v>
      </c>
      <c r="AS165" s="125">
        <f t="shared" si="24"/>
        <v>280011.62435000006</v>
      </c>
      <c r="AT165" s="125">
        <f t="shared" si="18"/>
        <v>-36595.045300000005</v>
      </c>
      <c r="AU165" s="125">
        <f>AH165*Valores!$C$74</f>
        <v>-8982.42021</v>
      </c>
      <c r="AV165" s="125">
        <f>AH165*Valores!$C$75</f>
        <v>-998.0466900000001</v>
      </c>
      <c r="AW165" s="125">
        <f t="shared" si="22"/>
        <v>286106.71780000004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3151.49</v>
      </c>
      <c r="G166" s="192">
        <v>2352</v>
      </c>
      <c r="H166" s="125">
        <f>ROUND(G166*Valores!$C$2,2)</f>
        <v>89304.73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23608.17</v>
      </c>
      <c r="N166" s="125">
        <f t="shared" si="19"/>
        <v>0</v>
      </c>
      <c r="O166" s="125">
        <f>Valores!$C$16</f>
        <v>32810.75</v>
      </c>
      <c r="P166" s="125">
        <f>Valores!$D$5</f>
        <v>19410.1</v>
      </c>
      <c r="Q166" s="125">
        <v>0</v>
      </c>
      <c r="R166" s="125">
        <f>IF($F$4="NO",Valores!$C$47,Valores!$C$47/2)</f>
        <v>20291.4</v>
      </c>
      <c r="S166" s="125">
        <f>Valores!$C$19</f>
        <v>18061.41</v>
      </c>
      <c r="T166" s="125">
        <f t="shared" si="25"/>
        <v>18061.41</v>
      </c>
      <c r="U166" s="125">
        <v>0</v>
      </c>
      <c r="V166" s="125">
        <v>0</v>
      </c>
      <c r="W166" s="192">
        <v>700</v>
      </c>
      <c r="X166" s="125">
        <f>ROUND(W166*Valores!$C$2,2)</f>
        <v>26578.79</v>
      </c>
      <c r="Y166" s="125">
        <f>ROUND(SUM(J166,H166,F166,R166)*Valores!$C$3,2)</f>
        <v>16912.14</v>
      </c>
      <c r="Z166" s="125">
        <f>Valores!$C$96</f>
        <v>55692.53</v>
      </c>
      <c r="AA166" s="125">
        <f>Valores!$C$25</f>
        <v>793.88</v>
      </c>
      <c r="AB166" s="214">
        <v>0</v>
      </c>
      <c r="AC166" s="125">
        <f t="shared" si="20"/>
        <v>0</v>
      </c>
      <c r="AD166" s="125">
        <f>Valores!$C$26</f>
        <v>793.88</v>
      </c>
      <c r="AE166" s="192">
        <v>94</v>
      </c>
      <c r="AF166" s="125">
        <f>ROUND(AE166*Valores!$C$2,2)</f>
        <v>3569.15</v>
      </c>
      <c r="AG166" s="125">
        <f>ROUND(IF($F$4="NO",Valores!$C$63,Valores!$C$63/2),2)</f>
        <v>9076.17</v>
      </c>
      <c r="AH166" s="125">
        <f t="shared" si="23"/>
        <v>320054.59</v>
      </c>
      <c r="AI166" s="125">
        <f>Valores!$C$31</f>
        <v>0</v>
      </c>
      <c r="AJ166" s="125">
        <f>Valores!$C$89</f>
        <v>0</v>
      </c>
      <c r="AK166" s="125">
        <f>Valores!C$38*B166</f>
        <v>0</v>
      </c>
      <c r="AL166" s="125">
        <v>0</v>
      </c>
      <c r="AM166" s="125">
        <f t="shared" si="21"/>
        <v>0</v>
      </c>
      <c r="AN166" s="125">
        <f>AH166*Valores!$C$71</f>
        <v>-35206.0049</v>
      </c>
      <c r="AO166" s="125">
        <f>AH166*-Valores!$C$72</f>
        <v>0</v>
      </c>
      <c r="AP166" s="125">
        <f>AH166*Valores!$C$73</f>
        <v>-14402.45655</v>
      </c>
      <c r="AQ166" s="125">
        <f>Valores!$C$100</f>
        <v>-554.86</v>
      </c>
      <c r="AR166" s="125">
        <f>IF($F$5=0,Valores!$C$101,(Valores!$C$101+$F$5*(Valores!$C$101)))</f>
        <v>-550</v>
      </c>
      <c r="AS166" s="125">
        <f t="shared" si="24"/>
        <v>269341.26855000004</v>
      </c>
      <c r="AT166" s="125">
        <f t="shared" si="18"/>
        <v>-35206.0049</v>
      </c>
      <c r="AU166" s="125">
        <f>AH166*Valores!$C$74</f>
        <v>-8641.47393</v>
      </c>
      <c r="AV166" s="125">
        <f>AH166*Valores!$C$75</f>
        <v>-960.1637700000001</v>
      </c>
      <c r="AW166" s="125">
        <f t="shared" si="22"/>
        <v>275246.9474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3151.49</v>
      </c>
      <c r="G167" s="192">
        <v>2092</v>
      </c>
      <c r="H167" s="125">
        <f>ROUND(G167*Valores!$C$2,2)</f>
        <v>79432.61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22127.36</v>
      </c>
      <c r="N167" s="125">
        <f t="shared" si="19"/>
        <v>0</v>
      </c>
      <c r="O167" s="125">
        <f>Valores!$C$16</f>
        <v>32810.75</v>
      </c>
      <c r="P167" s="125">
        <f>Valores!$D$5</f>
        <v>19410.1</v>
      </c>
      <c r="Q167" s="125">
        <v>0</v>
      </c>
      <c r="R167" s="125">
        <f>IF($F$4="NO",Valores!$C$47,Valores!$C$47/2)</f>
        <v>20291.4</v>
      </c>
      <c r="S167" s="125">
        <f>Valores!$C$19</f>
        <v>18061.41</v>
      </c>
      <c r="T167" s="125">
        <f t="shared" si="25"/>
        <v>18061.41</v>
      </c>
      <c r="U167" s="125">
        <v>0</v>
      </c>
      <c r="V167" s="125">
        <v>0</v>
      </c>
      <c r="W167" s="192">
        <v>700</v>
      </c>
      <c r="X167" s="125">
        <f>ROUND(W167*Valores!$C$2,2)</f>
        <v>26578.79</v>
      </c>
      <c r="Y167" s="125">
        <f>ROUND(SUM(J167,H167,F167,R167)*Valores!$C$3,2)</f>
        <v>15431.33</v>
      </c>
      <c r="Z167" s="125">
        <f>Valores!$C$96</f>
        <v>55692.53</v>
      </c>
      <c r="AA167" s="125">
        <f>Valores!$C$25</f>
        <v>793.88</v>
      </c>
      <c r="AB167" s="214">
        <v>0</v>
      </c>
      <c r="AC167" s="125">
        <f t="shared" si="20"/>
        <v>0</v>
      </c>
      <c r="AD167" s="125">
        <f>Valores!$C$26</f>
        <v>793.88</v>
      </c>
      <c r="AE167" s="192">
        <v>94</v>
      </c>
      <c r="AF167" s="125">
        <f>ROUND(AE167*Valores!$C$2,2)</f>
        <v>3569.15</v>
      </c>
      <c r="AG167" s="125">
        <f>ROUND(IF($F$4="NO",Valores!$C$63,Valores!$C$63/2),2)</f>
        <v>9076.17</v>
      </c>
      <c r="AH167" s="125">
        <f t="shared" si="23"/>
        <v>307220.85000000003</v>
      </c>
      <c r="AI167" s="125">
        <f>Valores!$C$31</f>
        <v>0</v>
      </c>
      <c r="AJ167" s="125">
        <f>Valores!$C$89</f>
        <v>0</v>
      </c>
      <c r="AK167" s="125">
        <f>Valores!C$38*B167</f>
        <v>0</v>
      </c>
      <c r="AL167" s="125">
        <v>0</v>
      </c>
      <c r="AM167" s="125">
        <f t="shared" si="21"/>
        <v>0</v>
      </c>
      <c r="AN167" s="125">
        <f>AH167*Valores!$C$71</f>
        <v>-33794.29350000001</v>
      </c>
      <c r="AO167" s="125">
        <f>AH167*-Valores!$C$72</f>
        <v>0</v>
      </c>
      <c r="AP167" s="125">
        <f>AH167*Valores!$C$73</f>
        <v>-13824.938250000001</v>
      </c>
      <c r="AQ167" s="125">
        <f>Valores!$C$100</f>
        <v>-554.86</v>
      </c>
      <c r="AR167" s="125">
        <f>IF($F$5=0,Valores!$C$101,(Valores!$C$101+$F$5*(Valores!$C$101)))</f>
        <v>-550</v>
      </c>
      <c r="AS167" s="125">
        <f t="shared" si="24"/>
        <v>258496.75825</v>
      </c>
      <c r="AT167" s="125">
        <f t="shared" si="18"/>
        <v>-33794.29350000001</v>
      </c>
      <c r="AU167" s="125">
        <f>AH167*Valores!$C$74</f>
        <v>-8294.962950000001</v>
      </c>
      <c r="AV167" s="125">
        <f>AH167*Valores!$C$75</f>
        <v>-921.6625500000001</v>
      </c>
      <c r="AW167" s="125">
        <f t="shared" si="22"/>
        <v>264209.93100000004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3113.52</v>
      </c>
      <c r="G168" s="192">
        <v>1941</v>
      </c>
      <c r="H168" s="125">
        <f>ROUND(G168*Valores!$C$2,2)</f>
        <v>73699.19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21261.65</v>
      </c>
      <c r="N168" s="125">
        <f t="shared" si="19"/>
        <v>0</v>
      </c>
      <c r="O168" s="125">
        <f>Valores!$C$16</f>
        <v>32810.75</v>
      </c>
      <c r="P168" s="125">
        <f>Valores!$D$5</f>
        <v>19410.1</v>
      </c>
      <c r="Q168" s="125">
        <v>0</v>
      </c>
      <c r="R168" s="125">
        <f>IF($F$4="NO",Valores!$C$47,Valores!$C$47/2)</f>
        <v>20291.4</v>
      </c>
      <c r="S168" s="125">
        <f>Valores!$C$19</f>
        <v>18061.41</v>
      </c>
      <c r="T168" s="125">
        <f t="shared" si="25"/>
        <v>18061.41</v>
      </c>
      <c r="U168" s="125">
        <v>0</v>
      </c>
      <c r="V168" s="125">
        <v>0</v>
      </c>
      <c r="W168" s="192">
        <v>700</v>
      </c>
      <c r="X168" s="125">
        <f>ROUND(W168*Valores!$C$2,2)</f>
        <v>26578.79</v>
      </c>
      <c r="Y168" s="125">
        <f>ROUND(SUM(J168,H168,F168,R168)*Valores!$C$3,2)</f>
        <v>14565.62</v>
      </c>
      <c r="Z168" s="125">
        <f>Valores!$C$96</f>
        <v>55692.53</v>
      </c>
      <c r="AA168" s="125">
        <f>Valores!$C$25</f>
        <v>793.88</v>
      </c>
      <c r="AB168" s="214">
        <v>0</v>
      </c>
      <c r="AC168" s="125">
        <f t="shared" si="20"/>
        <v>0</v>
      </c>
      <c r="AD168" s="125">
        <f>Valores!$C$26</f>
        <v>793.88</v>
      </c>
      <c r="AE168" s="192">
        <v>94</v>
      </c>
      <c r="AF168" s="125">
        <f>ROUND(AE168*Valores!$C$2,2)</f>
        <v>3569.15</v>
      </c>
      <c r="AG168" s="125">
        <f>ROUND(IF($F$4="NO",Valores!$C$63,Valores!$C$63/2),2)</f>
        <v>9076.17</v>
      </c>
      <c r="AH168" s="125">
        <f t="shared" si="23"/>
        <v>299718.04000000004</v>
      </c>
      <c r="AI168" s="125">
        <f>Valores!$C$31</f>
        <v>0</v>
      </c>
      <c r="AJ168" s="125">
        <f>Valores!$C$89</f>
        <v>0</v>
      </c>
      <c r="AK168" s="125">
        <f>Valores!C$38*B168</f>
        <v>0</v>
      </c>
      <c r="AL168" s="125">
        <v>0</v>
      </c>
      <c r="AM168" s="125">
        <f t="shared" si="21"/>
        <v>0</v>
      </c>
      <c r="AN168" s="125">
        <f>AH168*Valores!$C$71</f>
        <v>-32968.9844</v>
      </c>
      <c r="AO168" s="125">
        <f>AH168*-Valores!$C$72</f>
        <v>0</v>
      </c>
      <c r="AP168" s="125">
        <f>AH168*Valores!$C$73</f>
        <v>-13487.311800000001</v>
      </c>
      <c r="AQ168" s="125">
        <f>Valores!$C$100</f>
        <v>-554.86</v>
      </c>
      <c r="AR168" s="125">
        <f>IF($F$5=0,Valores!$C$101,(Valores!$C$101+$F$5*(Valores!$C$101)))</f>
        <v>-550</v>
      </c>
      <c r="AS168" s="125">
        <f t="shared" si="24"/>
        <v>252156.88380000004</v>
      </c>
      <c r="AT168" s="125">
        <f t="shared" si="18"/>
        <v>-32968.9844</v>
      </c>
      <c r="AU168" s="125">
        <f>AH168*Valores!$C$74</f>
        <v>-8092.387080000001</v>
      </c>
      <c r="AV168" s="125">
        <f>AH168*Valores!$C$75</f>
        <v>-899.1541200000001</v>
      </c>
      <c r="AW168" s="125">
        <f t="shared" si="22"/>
        <v>257757.51440000004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2999.61</v>
      </c>
      <c r="G169" s="192">
        <v>2161</v>
      </c>
      <c r="H169" s="125">
        <f>ROUND(G169*Valores!$C$2,2)</f>
        <v>82052.52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22497.56</v>
      </c>
      <c r="N169" s="125">
        <f t="shared" si="19"/>
        <v>0</v>
      </c>
      <c r="O169" s="125">
        <f>Valores!$C$16</f>
        <v>32810.75</v>
      </c>
      <c r="P169" s="125">
        <f>Valores!$D$5</f>
        <v>19410.1</v>
      </c>
      <c r="Q169" s="125">
        <v>0</v>
      </c>
      <c r="R169" s="125">
        <f>IF($F$4="NO",Valores!$C$47,Valores!$C$47/2)</f>
        <v>20291.4</v>
      </c>
      <c r="S169" s="125">
        <f>Valores!$C$19</f>
        <v>18061.41</v>
      </c>
      <c r="T169" s="125">
        <f t="shared" si="25"/>
        <v>18061.41</v>
      </c>
      <c r="U169" s="125">
        <v>0</v>
      </c>
      <c r="V169" s="125">
        <v>0</v>
      </c>
      <c r="W169" s="192">
        <v>700</v>
      </c>
      <c r="X169" s="125">
        <f>ROUND(W169*Valores!$C$2,2)</f>
        <v>26578.79</v>
      </c>
      <c r="Y169" s="125">
        <f>ROUND(SUM(J169,H169,F169,R169)*Valores!$C$3,2)</f>
        <v>15801.53</v>
      </c>
      <c r="Z169" s="125">
        <f>Valores!$C$96</f>
        <v>55692.53</v>
      </c>
      <c r="AA169" s="125">
        <f>Valores!$C$25</f>
        <v>793.88</v>
      </c>
      <c r="AB169" s="214">
        <v>0</v>
      </c>
      <c r="AC169" s="125">
        <f t="shared" si="20"/>
        <v>0</v>
      </c>
      <c r="AD169" s="125">
        <f>Valores!$C$26</f>
        <v>793.88</v>
      </c>
      <c r="AE169" s="192">
        <v>94</v>
      </c>
      <c r="AF169" s="125">
        <f>ROUND(AE169*Valores!$C$2,2)</f>
        <v>3569.15</v>
      </c>
      <c r="AG169" s="125">
        <f>ROUND(IF($F$4="NO",Valores!$C$63,Valores!$C$63/2),2)</f>
        <v>9076.17</v>
      </c>
      <c r="AH169" s="125">
        <f t="shared" si="23"/>
        <v>310429.28</v>
      </c>
      <c r="AI169" s="125">
        <f>Valores!$C$31</f>
        <v>0</v>
      </c>
      <c r="AJ169" s="125">
        <f>Valores!$C$89</f>
        <v>0</v>
      </c>
      <c r="AK169" s="125">
        <f>Valores!C$38*B169</f>
        <v>0</v>
      </c>
      <c r="AL169" s="125">
        <v>0</v>
      </c>
      <c r="AM169" s="125">
        <f t="shared" si="21"/>
        <v>0</v>
      </c>
      <c r="AN169" s="125">
        <f>AH169*Valores!$C$71</f>
        <v>-34147.2208</v>
      </c>
      <c r="AO169" s="125">
        <f>AH169*-Valores!$C$72</f>
        <v>0</v>
      </c>
      <c r="AP169" s="125">
        <f>AH169*Valores!$C$73</f>
        <v>-13969.3176</v>
      </c>
      <c r="AQ169" s="125">
        <f>Valores!$C$100</f>
        <v>-554.86</v>
      </c>
      <c r="AR169" s="125">
        <f>IF($F$5=0,Valores!$C$101,(Valores!$C$101+$F$5*(Valores!$C$101)))</f>
        <v>-550</v>
      </c>
      <c r="AS169" s="125">
        <f t="shared" si="24"/>
        <v>261207.88160000002</v>
      </c>
      <c r="AT169" s="125">
        <f t="shared" si="18"/>
        <v>-34147.2208</v>
      </c>
      <c r="AU169" s="125">
        <f>AH169*Valores!$C$74</f>
        <v>-8381.59056</v>
      </c>
      <c r="AV169" s="125">
        <f>AH169*Valores!$C$75</f>
        <v>-931.2878400000001</v>
      </c>
      <c r="AW169" s="125">
        <f t="shared" si="22"/>
        <v>266969.18080000003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3721.03</v>
      </c>
      <c r="G170" s="192">
        <v>2686</v>
      </c>
      <c r="H170" s="125">
        <f>ROUND(G170*Valores!$C$2,2)</f>
        <v>101986.61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25595.89</v>
      </c>
      <c r="N170" s="125">
        <f t="shared" si="19"/>
        <v>0</v>
      </c>
      <c r="O170" s="125">
        <f>Valores!$C$16</f>
        <v>32810.75</v>
      </c>
      <c r="P170" s="125">
        <f>Valores!$D$5</f>
        <v>19410.1</v>
      </c>
      <c r="Q170" s="125">
        <v>0</v>
      </c>
      <c r="R170" s="125">
        <f>IF($F$4="NO",Valores!$C$47,Valores!$C$47/2)</f>
        <v>20291.4</v>
      </c>
      <c r="S170" s="125">
        <f>Valores!$C$19</f>
        <v>18061.41</v>
      </c>
      <c r="T170" s="125">
        <f t="shared" si="25"/>
        <v>18061.41</v>
      </c>
      <c r="U170" s="125">
        <v>0</v>
      </c>
      <c r="V170" s="125">
        <v>0</v>
      </c>
      <c r="W170" s="192">
        <v>700</v>
      </c>
      <c r="X170" s="125">
        <f>ROUND(W170*Valores!$C$2,2)</f>
        <v>26578.79</v>
      </c>
      <c r="Y170" s="125">
        <f>ROUND(SUM(J170,H170,F170,R170)*Valores!$C$3,2)</f>
        <v>18899.86</v>
      </c>
      <c r="Z170" s="125">
        <f>Valores!$C$96</f>
        <v>55692.53</v>
      </c>
      <c r="AA170" s="125">
        <f>Valores!$C$25</f>
        <v>793.88</v>
      </c>
      <c r="AB170" s="214">
        <v>0</v>
      </c>
      <c r="AC170" s="125">
        <f t="shared" si="20"/>
        <v>0</v>
      </c>
      <c r="AD170" s="125">
        <f>Valores!$C$26</f>
        <v>793.88</v>
      </c>
      <c r="AE170" s="192">
        <v>0</v>
      </c>
      <c r="AF170" s="125">
        <f>ROUND(AE170*Valores!$C$2,2)</f>
        <v>0</v>
      </c>
      <c r="AG170" s="125">
        <f>ROUND(IF($F$4="NO",Valores!$C$63,Valores!$C$63/2),2)</f>
        <v>9076.17</v>
      </c>
      <c r="AH170" s="125">
        <f t="shared" si="23"/>
        <v>333712.3</v>
      </c>
      <c r="AI170" s="125">
        <f>Valores!$C$31</f>
        <v>0</v>
      </c>
      <c r="AJ170" s="125">
        <f>Valores!$C$89</f>
        <v>0</v>
      </c>
      <c r="AK170" s="125">
        <f>Valores!C$38*B170</f>
        <v>0</v>
      </c>
      <c r="AL170" s="125">
        <v>0</v>
      </c>
      <c r="AM170" s="125">
        <f t="shared" si="21"/>
        <v>0</v>
      </c>
      <c r="AN170" s="125">
        <f>AH170*Valores!$C$71</f>
        <v>-36708.352999999996</v>
      </c>
      <c r="AO170" s="125">
        <f>AH170*-Valores!$C$72</f>
        <v>0</v>
      </c>
      <c r="AP170" s="125">
        <f>AH170*Valores!$C$73</f>
        <v>-15017.053499999998</v>
      </c>
      <c r="AQ170" s="125">
        <f>Valores!$C$100</f>
        <v>-554.86</v>
      </c>
      <c r="AR170" s="125">
        <f>IF($F$5=0,Valores!$C$101,(Valores!$C$101+$F$5*(Valores!$C$101)))</f>
        <v>-550</v>
      </c>
      <c r="AS170" s="125">
        <f t="shared" si="24"/>
        <v>280882.0335</v>
      </c>
      <c r="AT170" s="125">
        <f t="shared" si="18"/>
        <v>-36708.352999999996</v>
      </c>
      <c r="AU170" s="125">
        <f>AH170*Valores!$C$74</f>
        <v>-9010.2321</v>
      </c>
      <c r="AV170" s="125">
        <f>AH170*Valores!$C$75</f>
        <v>-1001.1369</v>
      </c>
      <c r="AW170" s="125">
        <f t="shared" si="22"/>
        <v>286992.578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3531.18</v>
      </c>
      <c r="G171" s="192">
        <v>2547</v>
      </c>
      <c r="H171" s="125">
        <f>ROUND(G171*Valores!$C$2,2)</f>
        <v>96708.83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24775.74</v>
      </c>
      <c r="N171" s="125">
        <f t="shared" si="19"/>
        <v>0</v>
      </c>
      <c r="O171" s="125">
        <f>Valores!$C$16</f>
        <v>32810.75</v>
      </c>
      <c r="P171" s="125">
        <f>Valores!$D$5</f>
        <v>19410.1</v>
      </c>
      <c r="Q171" s="125">
        <v>0</v>
      </c>
      <c r="R171" s="125">
        <f>IF($F$4="NO",Valores!$C$47,Valores!$C$47/2)</f>
        <v>20291.4</v>
      </c>
      <c r="S171" s="125">
        <f>Valores!$C$19</f>
        <v>18061.41</v>
      </c>
      <c r="T171" s="125">
        <f t="shared" si="25"/>
        <v>18061.41</v>
      </c>
      <c r="U171" s="125">
        <v>0</v>
      </c>
      <c r="V171" s="125">
        <v>0</v>
      </c>
      <c r="W171" s="192">
        <v>700</v>
      </c>
      <c r="X171" s="125">
        <f>ROUND(W171*Valores!$C$2,2)</f>
        <v>26578.79</v>
      </c>
      <c r="Y171" s="125">
        <f>ROUND(SUM(J171,H171,F171,R171)*Valores!$C$3,2)</f>
        <v>18079.71</v>
      </c>
      <c r="Z171" s="125">
        <f>Valores!$C$96</f>
        <v>55692.53</v>
      </c>
      <c r="AA171" s="125">
        <f>Valores!$C$25</f>
        <v>793.88</v>
      </c>
      <c r="AB171" s="214">
        <v>0</v>
      </c>
      <c r="AC171" s="125">
        <f t="shared" si="20"/>
        <v>0</v>
      </c>
      <c r="AD171" s="125">
        <f>Valores!$C$26</f>
        <v>793.88</v>
      </c>
      <c r="AE171" s="192">
        <v>0</v>
      </c>
      <c r="AF171" s="125">
        <f>ROUND(AE171*Valores!$C$2,2)</f>
        <v>0</v>
      </c>
      <c r="AG171" s="125">
        <f>ROUND(IF($F$4="NO",Valores!$C$63,Valores!$C$63/2),2)</f>
        <v>9076.17</v>
      </c>
      <c r="AH171" s="125">
        <f t="shared" si="23"/>
        <v>326604.37</v>
      </c>
      <c r="AI171" s="125">
        <f>Valores!$C$31</f>
        <v>0</v>
      </c>
      <c r="AJ171" s="125">
        <f>Valores!$C$89</f>
        <v>0</v>
      </c>
      <c r="AK171" s="125">
        <f>Valores!C$38*B171</f>
        <v>0</v>
      </c>
      <c r="AL171" s="125">
        <v>0</v>
      </c>
      <c r="AM171" s="125">
        <f t="shared" si="21"/>
        <v>0</v>
      </c>
      <c r="AN171" s="125">
        <f>AH171*Valores!$C$71</f>
        <v>-35926.4807</v>
      </c>
      <c r="AO171" s="125">
        <f>AH171*-Valores!$C$72</f>
        <v>0</v>
      </c>
      <c r="AP171" s="125">
        <f>AH171*Valores!$C$73</f>
        <v>-14697.19665</v>
      </c>
      <c r="AQ171" s="125">
        <f>Valores!$C$100</f>
        <v>-554.86</v>
      </c>
      <c r="AR171" s="125">
        <f>IF($F$5=0,Valores!$C$101,(Valores!$C$101+$F$5*(Valores!$C$101)))</f>
        <v>-550</v>
      </c>
      <c r="AS171" s="125">
        <f t="shared" si="24"/>
        <v>274875.83265</v>
      </c>
      <c r="AT171" s="125">
        <f t="shared" si="18"/>
        <v>-35926.4807</v>
      </c>
      <c r="AU171" s="125">
        <f>AH171*Valores!$C$74</f>
        <v>-8818.31799</v>
      </c>
      <c r="AV171" s="125">
        <f>AH171*Valores!$C$75</f>
        <v>-979.81311</v>
      </c>
      <c r="AW171" s="125">
        <f t="shared" si="22"/>
        <v>280879.7582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48525.28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18157.62</v>
      </c>
      <c r="N172" s="125">
        <f t="shared" si="19"/>
        <v>0</v>
      </c>
      <c r="O172" s="125">
        <f>Valores!$C$16</f>
        <v>32810.75</v>
      </c>
      <c r="P172" s="125">
        <f>Valores!$D$5</f>
        <v>19410.1</v>
      </c>
      <c r="Q172" s="125">
        <v>0</v>
      </c>
      <c r="R172" s="125">
        <f>IF($F$4="NO",Valores!$C$47,Valores!$C$47/2)</f>
        <v>20291.4</v>
      </c>
      <c r="S172" s="125">
        <f>Valores!$C$19</f>
        <v>18061.41</v>
      </c>
      <c r="T172" s="125">
        <f t="shared" si="25"/>
        <v>18061.41</v>
      </c>
      <c r="U172" s="125">
        <v>0</v>
      </c>
      <c r="V172" s="125">
        <v>0</v>
      </c>
      <c r="W172" s="192">
        <v>900</v>
      </c>
      <c r="X172" s="125">
        <f>ROUND(W172*Valores!$C$2,2)</f>
        <v>34172.73</v>
      </c>
      <c r="Y172" s="125">
        <f>ROUND(SUM(J172,H172,F172,R172)*Valores!$C$3,2)</f>
        <v>10322.5</v>
      </c>
      <c r="Z172" s="125">
        <f>Valores!$C$96</f>
        <v>55692.53</v>
      </c>
      <c r="AA172" s="125">
        <f>Valores!$C$25</f>
        <v>793.88</v>
      </c>
      <c r="AB172" s="214">
        <v>0</v>
      </c>
      <c r="AC172" s="125">
        <f t="shared" si="20"/>
        <v>0</v>
      </c>
      <c r="AD172" s="125">
        <f>Valores!$C$26</f>
        <v>793.88</v>
      </c>
      <c r="AE172" s="192">
        <v>94</v>
      </c>
      <c r="AF172" s="125">
        <f>ROUND(AE172*Valores!$C$2,2)</f>
        <v>3569.15</v>
      </c>
      <c r="AG172" s="125">
        <f>ROUND(IF($F$4="NO",Valores!$C$63,Valores!$C$63/2),2)</f>
        <v>9076.17</v>
      </c>
      <c r="AH172" s="125">
        <f t="shared" si="23"/>
        <v>271677.4</v>
      </c>
      <c r="AI172" s="125">
        <f>Valores!$C$31</f>
        <v>0</v>
      </c>
      <c r="AJ172" s="125">
        <f>Valores!$C$89</f>
        <v>0</v>
      </c>
      <c r="AK172" s="125">
        <f>Valores!C$38*B172</f>
        <v>0</v>
      </c>
      <c r="AL172" s="125">
        <f>IF($F$3="NO",0,Valores!$C$55)</f>
        <v>0</v>
      </c>
      <c r="AM172" s="125">
        <f t="shared" si="21"/>
        <v>0</v>
      </c>
      <c r="AN172" s="125">
        <f>AH172*Valores!$C$71</f>
        <v>-29884.514000000003</v>
      </c>
      <c r="AO172" s="125">
        <f>AH172*-Valores!$C$72</f>
        <v>0</v>
      </c>
      <c r="AP172" s="125">
        <f>AH172*Valores!$C$73</f>
        <v>-12225.483</v>
      </c>
      <c r="AQ172" s="125">
        <f>Valores!$C$100</f>
        <v>-554.86</v>
      </c>
      <c r="AR172" s="125">
        <f>IF($F$5=0,Valores!$C$101,(Valores!$C$101+$F$5*(Valores!$C$101)))</f>
        <v>-550</v>
      </c>
      <c r="AS172" s="125">
        <f t="shared" si="24"/>
        <v>228462.543</v>
      </c>
      <c r="AT172" s="125">
        <f t="shared" si="18"/>
        <v>-29884.514000000003</v>
      </c>
      <c r="AU172" s="125">
        <f>AH172*Valores!$C$74</f>
        <v>-7335.2898000000005</v>
      </c>
      <c r="AV172" s="125">
        <f>AH172*Valores!$C$75</f>
        <v>-815.0322000000001</v>
      </c>
      <c r="AW172" s="125">
        <f t="shared" si="22"/>
        <v>233642.564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8239.42</v>
      </c>
      <c r="G173" s="192">
        <f>2245</f>
        <v>2245</v>
      </c>
      <c r="H173" s="125">
        <f>ROUND(G173*Valores!$C$2,2)</f>
        <v>85241.98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49360.61</v>
      </c>
      <c r="M173" s="125">
        <f>ROUND(IF($H$2=0,IF(AND(A173&lt;&gt;"13-930",A173&lt;&gt;"13-940"),(SUM(F173,H173,J173,L173,X173,T173,R173)*Valores!$C$4),0),0),2)</f>
        <v>27179.22</v>
      </c>
      <c r="N173" s="125">
        <f t="shared" si="19"/>
        <v>0</v>
      </c>
      <c r="O173" s="125">
        <f>Valores!$C$9</f>
        <v>47713.55</v>
      </c>
      <c r="P173" s="125">
        <f>Valores!$D$5</f>
        <v>19410.1</v>
      </c>
      <c r="Q173" s="125">
        <f>Valores!$C$22</f>
        <v>17316.91</v>
      </c>
      <c r="R173" s="125">
        <f>IF($F$4="NO",Valores!$C$47,Valores!$C$47/2)</f>
        <v>20291.4</v>
      </c>
      <c r="S173" s="125">
        <f>Valores!$C$19</f>
        <v>18061.41</v>
      </c>
      <c r="T173" s="125">
        <f t="shared" si="25"/>
        <v>18061.41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Valores!$C$96</f>
        <v>55692.53</v>
      </c>
      <c r="AA173" s="125">
        <f>Valores!$C$25</f>
        <v>793.88</v>
      </c>
      <c r="AB173" s="214">
        <v>0</v>
      </c>
      <c r="AC173" s="125">
        <f t="shared" si="20"/>
        <v>0</v>
      </c>
      <c r="AD173" s="125">
        <f>Valores!$C$26</f>
        <v>793.88</v>
      </c>
      <c r="AE173" s="192">
        <v>0</v>
      </c>
      <c r="AF173" s="125">
        <f>ROUND(AE173*Valores!$C$2,2)</f>
        <v>0</v>
      </c>
      <c r="AG173" s="125">
        <f>ROUND(IF($F$4="NO",Valores!$C$63,Valores!$C$63/2),2)</f>
        <v>9076.17</v>
      </c>
      <c r="AH173" s="125">
        <f t="shared" si="23"/>
        <v>359171.06</v>
      </c>
      <c r="AI173" s="125">
        <f>Valores!$C$31</f>
        <v>0</v>
      </c>
      <c r="AJ173" s="125">
        <f>Valores!$C$89</f>
        <v>0</v>
      </c>
      <c r="AK173" s="125">
        <f>Valores!C$38*B173</f>
        <v>0</v>
      </c>
      <c r="AL173" s="125">
        <f>IF($F$3="NO",0,Valores!$C$55)</f>
        <v>0</v>
      </c>
      <c r="AM173" s="125">
        <f t="shared" si="21"/>
        <v>0</v>
      </c>
      <c r="AN173" s="125">
        <f>AH173*Valores!$C$71</f>
        <v>-39508.8166</v>
      </c>
      <c r="AO173" s="125">
        <f>AH173*-Valores!$C$72</f>
        <v>0</v>
      </c>
      <c r="AP173" s="125">
        <f>AH173*Valores!$C$73</f>
        <v>-16162.697699999999</v>
      </c>
      <c r="AQ173" s="125">
        <f>Valores!$C$100</f>
        <v>-554.86</v>
      </c>
      <c r="AR173" s="125">
        <f>IF($F$5=0,Valores!$C$101,(Valores!$C$101+$F$5*(Valores!$C$101)))</f>
        <v>-550</v>
      </c>
      <c r="AS173" s="125">
        <f t="shared" si="24"/>
        <v>302394.68570000003</v>
      </c>
      <c r="AT173" s="125">
        <f t="shared" si="18"/>
        <v>-39508.8166</v>
      </c>
      <c r="AU173" s="125">
        <f>AH173*Valores!$C$74</f>
        <v>-9697.61862</v>
      </c>
      <c r="AV173" s="125">
        <f>AH173*Valores!$C$75</f>
        <v>-1077.51318</v>
      </c>
      <c r="AW173" s="125">
        <f t="shared" si="22"/>
        <v>308887.1116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7024.39</v>
      </c>
      <c r="G174" s="192">
        <f>1835</f>
        <v>1835</v>
      </c>
      <c r="H174" s="125">
        <f>ROUND(G174*Valores!$C$2,2)</f>
        <v>69674.4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49360.61</v>
      </c>
      <c r="M174" s="125">
        <f>ROUND(IF($H$2=0,IF(AND(A174&lt;&gt;"13-930",A174&lt;&gt;"13-940"),(SUM(F174,H174,J174,L174,X174,T174,R174)*Valores!$C$4),0),0),2)</f>
        <v>24661.83</v>
      </c>
      <c r="N174" s="125">
        <f t="shared" si="19"/>
        <v>0</v>
      </c>
      <c r="O174" s="125">
        <f>Valores!$C$9</f>
        <v>47713.55</v>
      </c>
      <c r="P174" s="125">
        <f>Valores!$D$5</f>
        <v>19410.1</v>
      </c>
      <c r="Q174" s="125">
        <f>Valores!$C$22</f>
        <v>17316.91</v>
      </c>
      <c r="R174" s="125">
        <f>IF($F$4="NO",Valores!$C$47,Valores!$C$47/2)</f>
        <v>20291.4</v>
      </c>
      <c r="S174" s="125">
        <f>Valores!$C$19</f>
        <v>18061.41</v>
      </c>
      <c r="T174" s="125">
        <f t="shared" si="25"/>
        <v>18061.41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Valores!$C$96</f>
        <v>55692.53</v>
      </c>
      <c r="AA174" s="125">
        <f>Valores!$C$25</f>
        <v>793.88</v>
      </c>
      <c r="AB174" s="214">
        <v>0</v>
      </c>
      <c r="AC174" s="125">
        <f t="shared" si="20"/>
        <v>0</v>
      </c>
      <c r="AD174" s="125">
        <f>Valores!$C$26</f>
        <v>793.88</v>
      </c>
      <c r="AE174" s="192">
        <v>0</v>
      </c>
      <c r="AF174" s="125">
        <f>ROUND(AE174*Valores!$C$2,2)</f>
        <v>0</v>
      </c>
      <c r="AG174" s="125">
        <f>ROUND(IF($F$4="NO",Valores!$C$63,Valores!$C$63/2),2)</f>
        <v>9076.17</v>
      </c>
      <c r="AH174" s="125">
        <f t="shared" si="23"/>
        <v>339871.06</v>
      </c>
      <c r="AI174" s="125">
        <f>Valores!$C$31</f>
        <v>0</v>
      </c>
      <c r="AJ174" s="125">
        <f>Valores!$C$89</f>
        <v>0</v>
      </c>
      <c r="AK174" s="125">
        <f>Valores!C$38*B174</f>
        <v>0</v>
      </c>
      <c r="AL174" s="125">
        <f>IF($F$3="NO",0,Valores!$C$55)</f>
        <v>0</v>
      </c>
      <c r="AM174" s="125">
        <f t="shared" si="21"/>
        <v>0</v>
      </c>
      <c r="AN174" s="125">
        <f>AH174*Valores!$C$71</f>
        <v>-37385.8166</v>
      </c>
      <c r="AO174" s="125">
        <f>AH174*-Valores!$C$72</f>
        <v>0</v>
      </c>
      <c r="AP174" s="125">
        <f>AH174*Valores!$C$73</f>
        <v>-15294.197699999999</v>
      </c>
      <c r="AQ174" s="125">
        <f>Valores!$C$100</f>
        <v>-554.86</v>
      </c>
      <c r="AR174" s="125">
        <f>IF($F$5=0,Valores!$C$101,(Valores!$C$101+$F$5*(Valores!$C$101)))</f>
        <v>-550</v>
      </c>
      <c r="AS174" s="125">
        <f t="shared" si="24"/>
        <v>286086.18570000003</v>
      </c>
      <c r="AT174" s="125">
        <f t="shared" si="18"/>
        <v>-37385.8166</v>
      </c>
      <c r="AU174" s="125">
        <f>AH174*Valores!$C$74</f>
        <v>-9176.51862</v>
      </c>
      <c r="AV174" s="125">
        <f>AH174*Valores!$C$75</f>
        <v>-1019.61318</v>
      </c>
      <c r="AW174" s="125">
        <f t="shared" si="22"/>
        <v>292289.1116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6075.15</v>
      </c>
      <c r="G175" s="192">
        <f>1484</f>
        <v>1484</v>
      </c>
      <c r="H175" s="125">
        <f>ROUND(G175*Valores!$C$2,2)</f>
        <v>56347.03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49360.61</v>
      </c>
      <c r="M175" s="125">
        <f>ROUND(IF($H$2=0,IF(AND(A175&lt;&gt;"13-930",A175&lt;&gt;"13-940"),(SUM(F175,H175,J175,L175,X175,T175,R175)*Valores!$C$4),0),0),2)</f>
        <v>22520.34</v>
      </c>
      <c r="N175" s="125">
        <f t="shared" si="19"/>
        <v>0</v>
      </c>
      <c r="O175" s="125">
        <f>Valores!$C$9</f>
        <v>47713.55</v>
      </c>
      <c r="P175" s="125">
        <f>Valores!$D$5</f>
        <v>19410.1</v>
      </c>
      <c r="Q175" s="125">
        <f>Valores!$C$22</f>
        <v>17316.91</v>
      </c>
      <c r="R175" s="125">
        <f>IF($F$4="NO",Valores!$C$47,Valores!$C$47/2)</f>
        <v>20291.4</v>
      </c>
      <c r="S175" s="125">
        <f>Valores!$C$19</f>
        <v>18061.41</v>
      </c>
      <c r="T175" s="125">
        <f t="shared" si="25"/>
        <v>18061.41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Valores!$C$96</f>
        <v>55692.53</v>
      </c>
      <c r="AA175" s="125">
        <f>Valores!$C$25</f>
        <v>793.88</v>
      </c>
      <c r="AB175" s="214">
        <v>0</v>
      </c>
      <c r="AC175" s="125">
        <f t="shared" si="20"/>
        <v>0</v>
      </c>
      <c r="AD175" s="125">
        <f>Valores!$C$26</f>
        <v>793.88</v>
      </c>
      <c r="AE175" s="192">
        <v>0</v>
      </c>
      <c r="AF175" s="125">
        <f>ROUND(AE175*Valores!$C$2,2)</f>
        <v>0</v>
      </c>
      <c r="AG175" s="125">
        <f>ROUND(IF($F$4="NO",Valores!$C$63,Valores!$C$63/2),2)</f>
        <v>9076.17</v>
      </c>
      <c r="AH175" s="125">
        <f t="shared" si="23"/>
        <v>323452.96</v>
      </c>
      <c r="AI175" s="125">
        <f>Valores!$C$31</f>
        <v>0</v>
      </c>
      <c r="AJ175" s="125">
        <f>Valores!$C$89</f>
        <v>0</v>
      </c>
      <c r="AK175" s="125">
        <f>Valores!C$38*B175</f>
        <v>0</v>
      </c>
      <c r="AL175" s="125">
        <f>IF($F$3="NO",0,Valores!$C$55)</f>
        <v>0</v>
      </c>
      <c r="AM175" s="125">
        <f t="shared" si="21"/>
        <v>0</v>
      </c>
      <c r="AN175" s="125">
        <f>AH175*Valores!$C$71</f>
        <v>-35579.825600000004</v>
      </c>
      <c r="AO175" s="125">
        <f>AH175*-Valores!$C$72</f>
        <v>0</v>
      </c>
      <c r="AP175" s="125">
        <f>AH175*Valores!$C$73</f>
        <v>-14555.3832</v>
      </c>
      <c r="AQ175" s="125">
        <f>Valores!$C$100</f>
        <v>-554.86</v>
      </c>
      <c r="AR175" s="125">
        <f>IF($F$5=0,Valores!$C$101,(Valores!$C$101+$F$5*(Valores!$C$101)))</f>
        <v>-550</v>
      </c>
      <c r="AS175" s="125">
        <f t="shared" si="24"/>
        <v>272212.8912</v>
      </c>
      <c r="AT175" s="125">
        <f t="shared" si="18"/>
        <v>-35579.825600000004</v>
      </c>
      <c r="AU175" s="125">
        <f>AH175*Valores!$C$74</f>
        <v>-8733.22992</v>
      </c>
      <c r="AV175" s="125">
        <f>AH175*Valores!$C$75</f>
        <v>-970.3588800000001</v>
      </c>
      <c r="AW175" s="125">
        <f t="shared" si="22"/>
        <v>278169.5456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6758.61</v>
      </c>
      <c r="G176" s="192">
        <f>1842</f>
        <v>1842</v>
      </c>
      <c r="H176" s="125">
        <f>ROUND(G176*Valores!$C$2,2)</f>
        <v>69940.19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49360.61</v>
      </c>
      <c r="M176" s="125">
        <f>ROUND(IF($H$2=0,IF(AND(A176&lt;&gt;"13-930",A176&lt;&gt;"13-940"),(SUM(F176,H176,J176,L176,X176,T176,R176)*Valores!$C$4),0),0),2)</f>
        <v>24661.83</v>
      </c>
      <c r="N176" s="125">
        <f t="shared" si="19"/>
        <v>0</v>
      </c>
      <c r="O176" s="125">
        <f>Valores!$C$9</f>
        <v>47713.55</v>
      </c>
      <c r="P176" s="125">
        <f>Valores!$D$5</f>
        <v>19410.1</v>
      </c>
      <c r="Q176" s="125">
        <f>Valores!$C$22</f>
        <v>17316.91</v>
      </c>
      <c r="R176" s="125">
        <f>IF($F$4="NO",Valores!$C$47,Valores!$C$47/2)</f>
        <v>20291.4</v>
      </c>
      <c r="S176" s="125">
        <f>Valores!$C$19</f>
        <v>18061.41</v>
      </c>
      <c r="T176" s="125">
        <f t="shared" si="25"/>
        <v>18061.41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Valores!$C$96</f>
        <v>55692.53</v>
      </c>
      <c r="AA176" s="125">
        <f>Valores!$C$25</f>
        <v>793.88</v>
      </c>
      <c r="AB176" s="214">
        <v>0</v>
      </c>
      <c r="AC176" s="125">
        <f t="shared" si="20"/>
        <v>0</v>
      </c>
      <c r="AD176" s="125">
        <f>Valores!$C$26</f>
        <v>793.88</v>
      </c>
      <c r="AE176" s="192">
        <v>0</v>
      </c>
      <c r="AF176" s="125">
        <f>ROUND(AE176*Valores!$C$2,2)</f>
        <v>0</v>
      </c>
      <c r="AG176" s="125">
        <f>ROUND(IF($F$4="NO",Valores!$C$63,Valores!$C$63/2),2)</f>
        <v>9076.17</v>
      </c>
      <c r="AH176" s="125">
        <f t="shared" si="23"/>
        <v>339871.07</v>
      </c>
      <c r="AI176" s="125">
        <f>Valores!$C$31</f>
        <v>0</v>
      </c>
      <c r="AJ176" s="125">
        <f>Valores!$C$89</f>
        <v>0</v>
      </c>
      <c r="AK176" s="125">
        <f>Valores!C$38*B176</f>
        <v>0</v>
      </c>
      <c r="AL176" s="125">
        <f>IF($F$3="NO",0,Valores!$C$55)</f>
        <v>0</v>
      </c>
      <c r="AM176" s="125">
        <f t="shared" si="21"/>
        <v>0</v>
      </c>
      <c r="AN176" s="125">
        <f>AH176*Valores!$C$71</f>
        <v>-37385.8177</v>
      </c>
      <c r="AO176" s="125">
        <f>AH176*-Valores!$C$72</f>
        <v>0</v>
      </c>
      <c r="AP176" s="125">
        <f>AH176*Valores!$C$73</f>
        <v>-15294.19815</v>
      </c>
      <c r="AQ176" s="125">
        <f>Valores!$C$100</f>
        <v>-554.86</v>
      </c>
      <c r="AR176" s="125">
        <f>IF($F$5=0,Valores!$C$101,(Valores!$C$101+$F$5*(Valores!$C$101)))</f>
        <v>-550</v>
      </c>
      <c r="AS176" s="125">
        <f t="shared" si="24"/>
        <v>286086.19415</v>
      </c>
      <c r="AT176" s="125">
        <f t="shared" si="18"/>
        <v>-37385.8177</v>
      </c>
      <c r="AU176" s="125">
        <f>AH176*Valores!$C$74</f>
        <v>-9176.51889</v>
      </c>
      <c r="AV176" s="125">
        <f>AH176*Valores!$C$75</f>
        <v>-1019.6132100000001</v>
      </c>
      <c r="AW176" s="125">
        <f t="shared" si="22"/>
        <v>292289.1202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48525.28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45563.64</v>
      </c>
      <c r="M177" s="125">
        <f>ROUND(IF($H$2=0,IF(AND(A177&lt;&gt;"13-930",A177&lt;&gt;"13-940"),(SUM(F177,H177,J177,L177,X177,T177,R177)*Valores!$C$4),0),0),2)</f>
        <v>19866.26</v>
      </c>
      <c r="N177" s="125">
        <f t="shared" si="19"/>
        <v>0</v>
      </c>
      <c r="O177" s="125">
        <f>Valores!$C$16</f>
        <v>32810.75</v>
      </c>
      <c r="P177" s="125">
        <f>Valores!$D$5</f>
        <v>19410.1</v>
      </c>
      <c r="Q177" s="125">
        <f>Valores!$C$22</f>
        <v>17316.91</v>
      </c>
      <c r="R177" s="125">
        <f>IF($F$4="NO",Valores!$C$47,Valores!$C$47/2)</f>
        <v>20291.4</v>
      </c>
      <c r="S177" s="125">
        <f>Valores!$C$19</f>
        <v>18061.41</v>
      </c>
      <c r="T177" s="125">
        <f t="shared" si="25"/>
        <v>18061.41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Valores!$C$96</f>
        <v>55692.53</v>
      </c>
      <c r="AA177" s="125">
        <f>Valores!$C$25</f>
        <v>793.88</v>
      </c>
      <c r="AB177" s="214">
        <v>0</v>
      </c>
      <c r="AC177" s="125">
        <f t="shared" si="20"/>
        <v>0</v>
      </c>
      <c r="AD177" s="125">
        <f>Valores!$C$26</f>
        <v>793.88</v>
      </c>
      <c r="AE177" s="192">
        <v>0</v>
      </c>
      <c r="AF177" s="125">
        <f>ROUND(AE177*Valores!$C$2,2)</f>
        <v>0</v>
      </c>
      <c r="AG177" s="125">
        <f>ROUND(IF($F$4="NO",Valores!$C$63,Valores!$C$63/2),2)</f>
        <v>9076.17</v>
      </c>
      <c r="AH177" s="125">
        <f t="shared" si="23"/>
        <v>288202.21</v>
      </c>
      <c r="AI177" s="125">
        <f>Valores!$C$31</f>
        <v>0</v>
      </c>
      <c r="AJ177" s="125">
        <f>Valores!$C$89</f>
        <v>0</v>
      </c>
      <c r="AK177" s="125">
        <f>Valores!C$38*B177</f>
        <v>0</v>
      </c>
      <c r="AL177" s="125">
        <f>IF($F$3="NO",0,Valores!$C$55)</f>
        <v>0</v>
      </c>
      <c r="AM177" s="125">
        <f t="shared" si="21"/>
        <v>0</v>
      </c>
      <c r="AN177" s="125">
        <f>AH177*Valores!$C$71</f>
        <v>-31702.243100000003</v>
      </c>
      <c r="AO177" s="125">
        <f>AH177*-Valores!$C$72</f>
        <v>0</v>
      </c>
      <c r="AP177" s="125">
        <f>AH177*Valores!$C$73</f>
        <v>-12969.09945</v>
      </c>
      <c r="AQ177" s="125">
        <f>Valores!$C$100</f>
        <v>-554.86</v>
      </c>
      <c r="AR177" s="125">
        <f>IF($F$5=0,Valores!$C$101,(Valores!$C$101+$F$5*(Valores!$C$101)))</f>
        <v>-550</v>
      </c>
      <c r="AS177" s="125">
        <f t="shared" si="24"/>
        <v>242426.00745000003</v>
      </c>
      <c r="AT177" s="125">
        <f t="shared" si="18"/>
        <v>-31702.243100000003</v>
      </c>
      <c r="AU177" s="125">
        <f>AH177*Valores!$C$74</f>
        <v>-7781.45967</v>
      </c>
      <c r="AV177" s="125">
        <f>AH177*Valores!$C$75</f>
        <v>-864.6066300000001</v>
      </c>
      <c r="AW177" s="125">
        <f t="shared" si="22"/>
        <v>247853.90060000002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36868.58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25060</v>
      </c>
      <c r="M178" s="125">
        <f>ROUND(IF($H$2=0,IF(AND(A178&lt;&gt;"13-930",A178&lt;&gt;"13-940"),(SUM(F178,H178,J178,L178,X178,T178,R178)*Valores!$C$4),0),0),2)</f>
        <v>15042.21</v>
      </c>
      <c r="N178" s="125">
        <f t="shared" si="19"/>
        <v>0</v>
      </c>
      <c r="O178" s="125">
        <f>Valores!$C$16</f>
        <v>32810.75</v>
      </c>
      <c r="P178" s="125">
        <f>Valores!$D$5</f>
        <v>19410.1</v>
      </c>
      <c r="Q178" s="125">
        <f>Valores!$C$22</f>
        <v>17316.91</v>
      </c>
      <c r="R178" s="125">
        <f>IF($F$4="NO",Valores!$C$47,Valores!$C$47/2)</f>
        <v>20291.4</v>
      </c>
      <c r="S178" s="125">
        <f>Valores!$C$19</f>
        <v>18061.41</v>
      </c>
      <c r="T178" s="125">
        <f t="shared" si="25"/>
        <v>18061.41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Valores!$C$96</f>
        <v>55692.53</v>
      </c>
      <c r="AA178" s="125">
        <f>Valores!$C$25</f>
        <v>793.88</v>
      </c>
      <c r="AB178" s="214">
        <v>0</v>
      </c>
      <c r="AC178" s="125">
        <f t="shared" si="20"/>
        <v>0</v>
      </c>
      <c r="AD178" s="125">
        <f>Valores!$C$26</f>
        <v>793.88</v>
      </c>
      <c r="AE178" s="192">
        <v>0</v>
      </c>
      <c r="AF178" s="125">
        <f>ROUND(AE178*Valores!$C$2,2)</f>
        <v>0</v>
      </c>
      <c r="AG178" s="125">
        <f>ROUND(IF($F$4="NO",Valores!$C$63,Valores!$C$63/2),2)</f>
        <v>9076.17</v>
      </c>
      <c r="AH178" s="125">
        <f t="shared" si="23"/>
        <v>251217.82000000004</v>
      </c>
      <c r="AI178" s="125">
        <f>Valores!$C$31</f>
        <v>0</v>
      </c>
      <c r="AJ178" s="125">
        <f>Valores!$C$89</f>
        <v>0</v>
      </c>
      <c r="AK178" s="125">
        <f>Valores!C$38*B178</f>
        <v>0</v>
      </c>
      <c r="AL178" s="125">
        <f>IF($F$3="NO",0,Valores!$C$55)</f>
        <v>0</v>
      </c>
      <c r="AM178" s="125">
        <f t="shared" si="21"/>
        <v>0</v>
      </c>
      <c r="AN178" s="125">
        <f>AH178*Valores!$C$71</f>
        <v>-27633.960200000005</v>
      </c>
      <c r="AO178" s="125">
        <f>AH178*-Valores!$C$72</f>
        <v>0</v>
      </c>
      <c r="AP178" s="125">
        <f>AH178*Valores!$C$73</f>
        <v>-11304.8019</v>
      </c>
      <c r="AQ178" s="125">
        <f>Valores!$C$100</f>
        <v>-554.86</v>
      </c>
      <c r="AR178" s="125">
        <f>IF($F$5=0,Valores!$C$101,(Valores!$C$101+$F$5*(Valores!$C$101)))</f>
        <v>-550</v>
      </c>
      <c r="AS178" s="125">
        <f t="shared" si="24"/>
        <v>211174.19790000003</v>
      </c>
      <c r="AT178" s="125">
        <f t="shared" si="18"/>
        <v>-27633.960200000005</v>
      </c>
      <c r="AU178" s="125">
        <f>AH178*Valores!$C$74</f>
        <v>-6782.881140000001</v>
      </c>
      <c r="AV178" s="125">
        <f>AH178*Valores!$C$75</f>
        <v>-753.6534600000001</v>
      </c>
      <c r="AW178" s="125">
        <f t="shared" si="22"/>
        <v>216047.32520000002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8087.55</v>
      </c>
      <c r="G179" s="192">
        <f>1835</f>
        <v>1835</v>
      </c>
      <c r="H179" s="125">
        <f>ROUND(G179*Valores!$C$2,2)</f>
        <v>69674.4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49360.61</v>
      </c>
      <c r="M179" s="125">
        <f>ROUND(IF($H$2=0,IF(AND(A179&lt;&gt;"13-930",A179&lt;&gt;"13-940"),(SUM(F179,H179,J179,L179,X179,T179,R179)*Valores!$C$4),0),0),2)</f>
        <v>24821.31</v>
      </c>
      <c r="N179" s="125">
        <f t="shared" si="19"/>
        <v>0</v>
      </c>
      <c r="O179" s="125">
        <f>Valores!$C$9</f>
        <v>47713.55</v>
      </c>
      <c r="P179" s="125">
        <f>Valores!$D$5</f>
        <v>19410.1</v>
      </c>
      <c r="Q179" s="125">
        <f>Valores!$C$22</f>
        <v>17316.91</v>
      </c>
      <c r="R179" s="125">
        <f>IF($F$4="NO",Valores!$C$47,Valores!$C$47/2)</f>
        <v>20291.4</v>
      </c>
      <c r="S179" s="125">
        <f>Valores!$C$19</f>
        <v>18061.41</v>
      </c>
      <c r="T179" s="125">
        <f t="shared" si="25"/>
        <v>18061.41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Valores!$C$96</f>
        <v>55692.53</v>
      </c>
      <c r="AA179" s="125">
        <f>Valores!$C$25</f>
        <v>793.88</v>
      </c>
      <c r="AB179" s="214">
        <v>0</v>
      </c>
      <c r="AC179" s="125">
        <f t="shared" si="20"/>
        <v>0</v>
      </c>
      <c r="AD179" s="125">
        <f>Valores!$C$26</f>
        <v>793.88</v>
      </c>
      <c r="AE179" s="192">
        <v>0</v>
      </c>
      <c r="AF179" s="125">
        <f>ROUND(AE179*Valores!$C$2,2)</f>
        <v>0</v>
      </c>
      <c r="AG179" s="125">
        <f>ROUND(IF($F$4="NO",Valores!$C$63,Valores!$C$63/2),2)</f>
        <v>9076.17</v>
      </c>
      <c r="AH179" s="125">
        <f t="shared" si="23"/>
        <v>341093.7</v>
      </c>
      <c r="AI179" s="125">
        <f>Valores!$C$31</f>
        <v>0</v>
      </c>
      <c r="AJ179" s="125">
        <f>Valores!$C$89</f>
        <v>0</v>
      </c>
      <c r="AK179" s="125">
        <f>Valores!C$38*B179</f>
        <v>0</v>
      </c>
      <c r="AL179" s="125">
        <f>IF($F$3="NO",0,Valores!$C$55)</f>
        <v>0</v>
      </c>
      <c r="AM179" s="125">
        <f t="shared" si="21"/>
        <v>0</v>
      </c>
      <c r="AN179" s="125">
        <f>AH179*Valores!$C$71</f>
        <v>-37520.307</v>
      </c>
      <c r="AO179" s="125">
        <f>AH179*-Valores!$C$72</f>
        <v>0</v>
      </c>
      <c r="AP179" s="125">
        <f>AH179*Valores!$C$73</f>
        <v>-15349.2165</v>
      </c>
      <c r="AQ179" s="125">
        <f>Valores!$C$100</f>
        <v>-554.86</v>
      </c>
      <c r="AR179" s="125">
        <f>IF($F$5=0,Valores!$C$101,(Valores!$C$101+$F$5*(Valores!$C$101)))</f>
        <v>-550</v>
      </c>
      <c r="AS179" s="125">
        <f t="shared" si="24"/>
        <v>287119.3165</v>
      </c>
      <c r="AT179" s="125">
        <f t="shared" si="18"/>
        <v>-37520.307</v>
      </c>
      <c r="AU179" s="125">
        <f>AH179*Valores!$C$74</f>
        <v>-9209.5299</v>
      </c>
      <c r="AV179" s="125">
        <f>AH179*Valores!$C$75</f>
        <v>-1023.2811</v>
      </c>
      <c r="AW179" s="125">
        <f t="shared" si="22"/>
        <v>293340.582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7024.39</v>
      </c>
      <c r="G180" s="192">
        <f>1835</f>
        <v>1835</v>
      </c>
      <c r="H180" s="125">
        <f>ROUND(G180*Valores!$C$2,2)</f>
        <v>69674.4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49360.61</v>
      </c>
      <c r="M180" s="125">
        <f>ROUND(IF($H$2=0,IF(AND(A180&lt;&gt;"13-930",A180&lt;&gt;"13-940"),(SUM(F180,H180,J180,L180,X180,T180,R180)*Valores!$C$4),0),0),2)</f>
        <v>24661.83</v>
      </c>
      <c r="N180" s="125">
        <f t="shared" si="19"/>
        <v>0</v>
      </c>
      <c r="O180" s="125">
        <f>Valores!$C$9</f>
        <v>47713.55</v>
      </c>
      <c r="P180" s="125">
        <f>Valores!$D$5</f>
        <v>19410.1</v>
      </c>
      <c r="Q180" s="125">
        <f>Valores!$C$22</f>
        <v>17316.91</v>
      </c>
      <c r="R180" s="125">
        <f>IF($F$4="NO",Valores!$C$47,Valores!$C$47/2)</f>
        <v>20291.4</v>
      </c>
      <c r="S180" s="125">
        <f>Valores!$C$19</f>
        <v>18061.41</v>
      </c>
      <c r="T180" s="125">
        <f t="shared" si="25"/>
        <v>18061.41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Valores!$C$96</f>
        <v>55692.53</v>
      </c>
      <c r="AA180" s="125">
        <f>Valores!$C$25</f>
        <v>793.88</v>
      </c>
      <c r="AB180" s="214">
        <v>0</v>
      </c>
      <c r="AC180" s="125">
        <f t="shared" si="20"/>
        <v>0</v>
      </c>
      <c r="AD180" s="125">
        <f>Valores!$C$26</f>
        <v>793.88</v>
      </c>
      <c r="AE180" s="192">
        <v>0</v>
      </c>
      <c r="AF180" s="125">
        <f>ROUND(AE180*Valores!$C$2,2)</f>
        <v>0</v>
      </c>
      <c r="AG180" s="125">
        <f>ROUND(IF($F$4="NO",Valores!$C$63,Valores!$C$63/2),2)</f>
        <v>9076.17</v>
      </c>
      <c r="AH180" s="125">
        <f t="shared" si="23"/>
        <v>339871.06</v>
      </c>
      <c r="AI180" s="125">
        <f>Valores!$C$31</f>
        <v>0</v>
      </c>
      <c r="AJ180" s="125">
        <f>Valores!$C$89</f>
        <v>0</v>
      </c>
      <c r="AK180" s="125">
        <f>Valores!C$38*B180</f>
        <v>0</v>
      </c>
      <c r="AL180" s="125">
        <f>IF($F$3="NO",0,Valores!$C$55)</f>
        <v>0</v>
      </c>
      <c r="AM180" s="125">
        <f t="shared" si="21"/>
        <v>0</v>
      </c>
      <c r="AN180" s="125">
        <f>AH180*Valores!$C$71</f>
        <v>-37385.8166</v>
      </c>
      <c r="AO180" s="125">
        <f>AH180*-Valores!$C$72</f>
        <v>0</v>
      </c>
      <c r="AP180" s="125">
        <f>AH180*Valores!$C$73</f>
        <v>-15294.197699999999</v>
      </c>
      <c r="AQ180" s="125">
        <f>Valores!$C$100</f>
        <v>-554.86</v>
      </c>
      <c r="AR180" s="125">
        <f>IF($F$5=0,Valores!$C$101,(Valores!$C$101+$F$5*(Valores!$C$101)))</f>
        <v>-550</v>
      </c>
      <c r="AS180" s="125">
        <f t="shared" si="24"/>
        <v>286086.18570000003</v>
      </c>
      <c r="AT180" s="125">
        <f t="shared" si="18"/>
        <v>-37385.8166</v>
      </c>
      <c r="AU180" s="125">
        <f>AH180*Valores!$C$74</f>
        <v>-9176.51862</v>
      </c>
      <c r="AV180" s="125">
        <f>AH180*Valores!$C$75</f>
        <v>-1019.61318</v>
      </c>
      <c r="AW180" s="125">
        <f t="shared" si="22"/>
        <v>292289.1116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6075.15</v>
      </c>
      <c r="G181" s="192">
        <f>1484</f>
        <v>1484</v>
      </c>
      <c r="H181" s="125">
        <f>ROUND(G181*Valores!$C$2,2)</f>
        <v>56347.03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49360.61</v>
      </c>
      <c r="M181" s="125">
        <f>ROUND(IF($H$2=0,IF(AND(A181&lt;&gt;"13-930",A181&lt;&gt;"13-940"),(SUM(F181,H181,J181,L181,X181,T181,R181)*Valores!$C$4),0),0),2)</f>
        <v>22520.34</v>
      </c>
      <c r="N181" s="125">
        <f t="shared" si="19"/>
        <v>0</v>
      </c>
      <c r="O181" s="125">
        <f>Valores!$C$9</f>
        <v>47713.55</v>
      </c>
      <c r="P181" s="125">
        <f>Valores!$D$5</f>
        <v>19410.1</v>
      </c>
      <c r="Q181" s="125">
        <f>Valores!$C$22</f>
        <v>17316.91</v>
      </c>
      <c r="R181" s="125">
        <f>IF($F$4="NO",Valores!$C$47,Valores!$C$47/2)</f>
        <v>20291.4</v>
      </c>
      <c r="S181" s="125">
        <f>Valores!$C$19</f>
        <v>18061.41</v>
      </c>
      <c r="T181" s="125">
        <f t="shared" si="25"/>
        <v>18061.41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Valores!$C$96</f>
        <v>55692.53</v>
      </c>
      <c r="AA181" s="125">
        <f>Valores!$C$25</f>
        <v>793.88</v>
      </c>
      <c r="AB181" s="214">
        <v>0</v>
      </c>
      <c r="AC181" s="125">
        <f t="shared" si="20"/>
        <v>0</v>
      </c>
      <c r="AD181" s="125">
        <f>Valores!$C$26</f>
        <v>793.88</v>
      </c>
      <c r="AE181" s="192">
        <v>0</v>
      </c>
      <c r="AF181" s="125">
        <f>ROUND(AE181*Valores!$C$2,2)</f>
        <v>0</v>
      </c>
      <c r="AG181" s="125">
        <f>ROUND(IF($F$4="NO",Valores!$C$63,Valores!$C$63/2),2)</f>
        <v>9076.17</v>
      </c>
      <c r="AH181" s="125">
        <f t="shared" si="23"/>
        <v>323452.96</v>
      </c>
      <c r="AI181" s="125">
        <f>Valores!$C$31</f>
        <v>0</v>
      </c>
      <c r="AJ181" s="125">
        <f>Valores!$C$89</f>
        <v>0</v>
      </c>
      <c r="AK181" s="125">
        <f>Valores!C$38*B181</f>
        <v>0</v>
      </c>
      <c r="AL181" s="125">
        <f>IF($F$3="NO",0,Valores!$C$55)</f>
        <v>0</v>
      </c>
      <c r="AM181" s="125">
        <f t="shared" si="21"/>
        <v>0</v>
      </c>
      <c r="AN181" s="125">
        <f>AH181*Valores!$C$71</f>
        <v>-35579.825600000004</v>
      </c>
      <c r="AO181" s="125">
        <f>AH181*-Valores!$C$72</f>
        <v>0</v>
      </c>
      <c r="AP181" s="125">
        <f>AH181*Valores!$C$73</f>
        <v>-14555.3832</v>
      </c>
      <c r="AQ181" s="125">
        <f>Valores!$C$100</f>
        <v>-554.86</v>
      </c>
      <c r="AR181" s="125">
        <f>IF($F$5=0,Valores!$C$101,(Valores!$C$101+$F$5*(Valores!$C$101)))</f>
        <v>-550</v>
      </c>
      <c r="AS181" s="125">
        <f t="shared" si="24"/>
        <v>272212.8912</v>
      </c>
      <c r="AT181" s="125">
        <f t="shared" si="18"/>
        <v>-35579.825600000004</v>
      </c>
      <c r="AU181" s="125">
        <f>AH181*Valores!$C$74</f>
        <v>-8733.22992</v>
      </c>
      <c r="AV181" s="125">
        <f>AH181*Valores!$C$75</f>
        <v>-970.3588800000001</v>
      </c>
      <c r="AW181" s="125">
        <f t="shared" si="22"/>
        <v>278169.5456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48525.28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45563.64</v>
      </c>
      <c r="M182" s="125">
        <f>ROUND(IF($H$2=0,IF(AND(A182&lt;&gt;"13-930",A182&lt;&gt;"13-940"),(SUM(F182,H182,J182,L182,X182,T182,R182)*Valores!$C$4),0),0),2)</f>
        <v>19866.26</v>
      </c>
      <c r="N182" s="125">
        <f t="shared" si="19"/>
        <v>0</v>
      </c>
      <c r="O182" s="125">
        <f>Valores!$C$16</f>
        <v>32810.75</v>
      </c>
      <c r="P182" s="125">
        <f>Valores!$D$5</f>
        <v>19410.1</v>
      </c>
      <c r="Q182" s="125">
        <f>Valores!$C$22</f>
        <v>17316.91</v>
      </c>
      <c r="R182" s="125">
        <f>IF($F$4="NO",Valores!$C$47,Valores!$C$47/2)</f>
        <v>20291.4</v>
      </c>
      <c r="S182" s="125">
        <f>Valores!$C$19</f>
        <v>18061.41</v>
      </c>
      <c r="T182" s="125">
        <f t="shared" si="25"/>
        <v>18061.41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Valores!$C$96</f>
        <v>55692.53</v>
      </c>
      <c r="AA182" s="125">
        <f>Valores!$C$25</f>
        <v>793.88</v>
      </c>
      <c r="AB182" s="214">
        <v>0</v>
      </c>
      <c r="AC182" s="125">
        <f t="shared" si="20"/>
        <v>0</v>
      </c>
      <c r="AD182" s="125">
        <f>Valores!$C$26</f>
        <v>793.88</v>
      </c>
      <c r="AE182" s="192">
        <v>0</v>
      </c>
      <c r="AF182" s="125">
        <f>ROUND(AE182*Valores!$C$2,2)</f>
        <v>0</v>
      </c>
      <c r="AG182" s="125">
        <f>ROUND(IF($F$4="NO",Valores!$C$63,Valores!$C$63/2),2)</f>
        <v>9076.17</v>
      </c>
      <c r="AH182" s="125">
        <f t="shared" si="23"/>
        <v>288202.21</v>
      </c>
      <c r="AI182" s="125">
        <f>Valores!$C$31</f>
        <v>0</v>
      </c>
      <c r="AJ182" s="125">
        <f>Valores!$C$89</f>
        <v>0</v>
      </c>
      <c r="AK182" s="125">
        <f>Valores!C$38*B182</f>
        <v>0</v>
      </c>
      <c r="AL182" s="125">
        <f>IF($F$3="NO",0,Valores!$C$55)</f>
        <v>0</v>
      </c>
      <c r="AM182" s="125">
        <f t="shared" si="21"/>
        <v>0</v>
      </c>
      <c r="AN182" s="125">
        <f>AH182*Valores!$C$71</f>
        <v>-31702.243100000003</v>
      </c>
      <c r="AO182" s="125">
        <f>AH182*-Valores!$C$72</f>
        <v>0</v>
      </c>
      <c r="AP182" s="125">
        <f>AH182*Valores!$C$73</f>
        <v>-12969.09945</v>
      </c>
      <c r="AQ182" s="125">
        <f>Valores!$C$100</f>
        <v>-554.86</v>
      </c>
      <c r="AR182" s="125">
        <f>IF($F$5=0,Valores!$C$101,(Valores!$C$101+$F$5*(Valores!$C$101)))</f>
        <v>-550</v>
      </c>
      <c r="AS182" s="125">
        <f t="shared" si="24"/>
        <v>242426.00745000003</v>
      </c>
      <c r="AT182" s="125">
        <f t="shared" si="18"/>
        <v>-31702.243100000003</v>
      </c>
      <c r="AU182" s="125">
        <f>AH182*Valores!$C$74</f>
        <v>-7781.45967</v>
      </c>
      <c r="AV182" s="125">
        <f>AH182*Valores!$C$75</f>
        <v>-864.6066300000001</v>
      </c>
      <c r="AW182" s="125">
        <f t="shared" si="22"/>
        <v>247853.90060000002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36868.58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25060</v>
      </c>
      <c r="M183" s="125">
        <f>ROUND(IF($H$2=0,IF(AND(A183&lt;&gt;"13-930",A183&lt;&gt;"13-940"),(SUM(F183,H183,J183,L183,X183,T183,R183)*Valores!$C$4),0),0),2)</f>
        <v>15042.21</v>
      </c>
      <c r="N183" s="125">
        <f t="shared" si="19"/>
        <v>0</v>
      </c>
      <c r="O183" s="125">
        <f>Valores!$C$16</f>
        <v>32810.75</v>
      </c>
      <c r="P183" s="125">
        <f>Valores!$D$5</f>
        <v>19410.1</v>
      </c>
      <c r="Q183" s="125">
        <f>Valores!$C$23</f>
        <v>16117.43</v>
      </c>
      <c r="R183" s="125">
        <f>IF($F$4="NO",Valores!$C$47,Valores!$C$47/2)</f>
        <v>20291.4</v>
      </c>
      <c r="S183" s="125">
        <f>Valores!$C$19</f>
        <v>18061.41</v>
      </c>
      <c r="T183" s="125">
        <f t="shared" si="25"/>
        <v>18061.41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Valores!$C$96</f>
        <v>55692.53</v>
      </c>
      <c r="AA183" s="125">
        <f>Valores!$C$25</f>
        <v>793.88</v>
      </c>
      <c r="AB183" s="214">
        <v>0</v>
      </c>
      <c r="AC183" s="125">
        <f t="shared" si="20"/>
        <v>0</v>
      </c>
      <c r="AD183" s="125">
        <f>Valores!$C$26</f>
        <v>793.88</v>
      </c>
      <c r="AE183" s="192">
        <v>0</v>
      </c>
      <c r="AF183" s="125">
        <f>ROUND(AE183*Valores!$C$2,2)</f>
        <v>0</v>
      </c>
      <c r="AG183" s="125">
        <f>ROUND(IF($F$4="NO",Valores!$C$63,Valores!$C$63/2),2)</f>
        <v>9076.17</v>
      </c>
      <c r="AH183" s="125">
        <f t="shared" si="23"/>
        <v>250018.34000000003</v>
      </c>
      <c r="AI183" s="125">
        <f>Valores!$C$31</f>
        <v>0</v>
      </c>
      <c r="AJ183" s="125">
        <f>Valores!$C$89</f>
        <v>0</v>
      </c>
      <c r="AK183" s="125">
        <f>Valores!C$38*B183</f>
        <v>0</v>
      </c>
      <c r="AL183" s="125">
        <f>IF($F$3="NO",0,Valores!$C$55)</f>
        <v>0</v>
      </c>
      <c r="AM183" s="125">
        <f t="shared" si="21"/>
        <v>0</v>
      </c>
      <c r="AN183" s="125">
        <f>AH183*Valores!$C$71</f>
        <v>-27502.017400000004</v>
      </c>
      <c r="AO183" s="125">
        <f>AH183*-Valores!$C$72</f>
        <v>0</v>
      </c>
      <c r="AP183" s="125">
        <f>AH183*Valores!$C$73</f>
        <v>-11250.8253</v>
      </c>
      <c r="AQ183" s="125">
        <f>Valores!$C$100</f>
        <v>-554.86</v>
      </c>
      <c r="AR183" s="125">
        <f>IF($F$5=0,Valores!$C$101,(Valores!$C$101+$F$5*(Valores!$C$101)))</f>
        <v>-550</v>
      </c>
      <c r="AS183" s="125">
        <f t="shared" si="24"/>
        <v>210160.6373</v>
      </c>
      <c r="AT183" s="125">
        <f t="shared" si="18"/>
        <v>-27502.017400000004</v>
      </c>
      <c r="AU183" s="125">
        <f>AH183*Valores!$C$74</f>
        <v>-6750.495180000001</v>
      </c>
      <c r="AV183" s="125">
        <f>AH183*Valores!$C$75</f>
        <v>-750.0550200000001</v>
      </c>
      <c r="AW183" s="125">
        <f t="shared" si="22"/>
        <v>215015.77240000002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6796.58</v>
      </c>
      <c r="G184" s="192">
        <f>1323</f>
        <v>1323</v>
      </c>
      <c r="H184" s="125">
        <f>ROUND(G184*Valores!$C$2,2)</f>
        <v>50233.91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49360.61</v>
      </c>
      <c r="M184" s="125">
        <f>ROUND(IF($H$2=0,IF(AND(A184&lt;&gt;"13-930",A184&lt;&gt;"13-940"),(SUM(F184,H184,J184,L184,X184,T184,R184)*Valores!$C$4),0),0),2)</f>
        <v>21711.59</v>
      </c>
      <c r="N184" s="125">
        <f t="shared" si="19"/>
        <v>0</v>
      </c>
      <c r="O184" s="125">
        <f>Valores!$C$9</f>
        <v>47713.55</v>
      </c>
      <c r="P184" s="125">
        <f>Valores!$D$5</f>
        <v>19410.1</v>
      </c>
      <c r="Q184" s="125">
        <f>Valores!$C$22</f>
        <v>17316.91</v>
      </c>
      <c r="R184" s="125">
        <f>IF($F$4="NO",Valores!$C$47,Valores!$C$47/2)</f>
        <v>20291.4</v>
      </c>
      <c r="S184" s="125">
        <f>Valores!$C$19</f>
        <v>18061.41</v>
      </c>
      <c r="T184" s="125">
        <f t="shared" si="25"/>
        <v>18061.41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Valores!$C$96</f>
        <v>55692.53</v>
      </c>
      <c r="AA184" s="125">
        <f>Valores!$C$25</f>
        <v>793.88</v>
      </c>
      <c r="AB184" s="214">
        <v>0</v>
      </c>
      <c r="AC184" s="125">
        <f t="shared" si="20"/>
        <v>0</v>
      </c>
      <c r="AD184" s="125">
        <f>Valores!$C$26</f>
        <v>793.88</v>
      </c>
      <c r="AE184" s="192">
        <v>0</v>
      </c>
      <c r="AF184" s="125">
        <f>ROUND(AE184*Valores!$C$2,2)</f>
        <v>0</v>
      </c>
      <c r="AG184" s="125">
        <f>ROUND(IF($F$4="NO",Valores!$C$63,Valores!$C$63/2),2)</f>
        <v>9076.17</v>
      </c>
      <c r="AH184" s="125">
        <f t="shared" si="23"/>
        <v>317252.51999999996</v>
      </c>
      <c r="AI184" s="125">
        <f>Valores!$C$31</f>
        <v>0</v>
      </c>
      <c r="AJ184" s="125">
        <f>Valores!$C$89</f>
        <v>0</v>
      </c>
      <c r="AK184" s="125">
        <f>Valores!C$38*B184</f>
        <v>0</v>
      </c>
      <c r="AL184" s="125">
        <v>0</v>
      </c>
      <c r="AM184" s="125">
        <f t="shared" si="21"/>
        <v>0</v>
      </c>
      <c r="AN184" s="125">
        <f>AH184*Valores!$C$71</f>
        <v>-34897.7772</v>
      </c>
      <c r="AO184" s="125">
        <f>AH184*-Valores!$C$72</f>
        <v>0</v>
      </c>
      <c r="AP184" s="125">
        <f>AH184*Valores!$C$73</f>
        <v>-14276.363399999998</v>
      </c>
      <c r="AQ184" s="125">
        <f>Valores!$C$100</f>
        <v>-554.86</v>
      </c>
      <c r="AR184" s="125">
        <f>IF($F$5=0,Valores!$C$101,(Valores!$C$101+$F$5*(Valores!$C$101)))</f>
        <v>-550</v>
      </c>
      <c r="AS184" s="125">
        <f t="shared" si="24"/>
        <v>266973.5194</v>
      </c>
      <c r="AT184" s="125">
        <f t="shared" si="18"/>
        <v>-34897.7772</v>
      </c>
      <c r="AU184" s="125">
        <f>AH184*Valores!$C$74</f>
        <v>-8565.818039999998</v>
      </c>
      <c r="AV184" s="125">
        <f>AH184*Valores!$C$75</f>
        <v>-951.7575599999999</v>
      </c>
      <c r="AW184" s="125">
        <f t="shared" si="22"/>
        <v>272837.16719999997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2430.06</v>
      </c>
      <c r="G185" s="192">
        <v>1354</v>
      </c>
      <c r="H185" s="125">
        <f>ROUND(G185*Valores!$C$2,2)</f>
        <v>51410.97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45563.64</v>
      </c>
      <c r="M185" s="125">
        <f>ROUND(IF($H$2=0,IF(AND(A185&lt;&gt;"13-930",A185&lt;&gt;"13-940"),(SUM(F185,H185,J185,L185,X185,T185,R185)*Valores!$C$4),0),0),2)</f>
        <v>20635.92</v>
      </c>
      <c r="N185" s="125">
        <f t="shared" si="19"/>
        <v>0</v>
      </c>
      <c r="O185" s="125">
        <f>Valores!$C$14</f>
        <v>37810.16</v>
      </c>
      <c r="P185" s="125">
        <f>Valores!$D$5</f>
        <v>19410.1</v>
      </c>
      <c r="Q185" s="125">
        <v>0</v>
      </c>
      <c r="R185" s="125">
        <f>IF($F$4="NO",Valores!$C$47,Valores!$C$47/2)</f>
        <v>20291.4</v>
      </c>
      <c r="S185" s="125">
        <f>Valores!$C$20</f>
        <v>17876.75</v>
      </c>
      <c r="T185" s="125">
        <f t="shared" si="25"/>
        <v>17876.75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Valores!$C$96</f>
        <v>55692.53</v>
      </c>
      <c r="AA185" s="125">
        <f>Valores!$C$25</f>
        <v>793.88</v>
      </c>
      <c r="AB185" s="214">
        <v>0</v>
      </c>
      <c r="AC185" s="125">
        <f t="shared" si="20"/>
        <v>0</v>
      </c>
      <c r="AD185" s="125">
        <f>Valores!$C$26</f>
        <v>793.88</v>
      </c>
      <c r="AE185" s="192">
        <v>0</v>
      </c>
      <c r="AF185" s="125">
        <f>ROUND(AE185*Valores!$C$2,2)</f>
        <v>0</v>
      </c>
      <c r="AG185" s="125">
        <f>ROUND(IF($F$4="NO",Valores!$C$63,Valores!$C$63/2),2)</f>
        <v>9076.17</v>
      </c>
      <c r="AH185" s="125">
        <f t="shared" si="23"/>
        <v>281785.46</v>
      </c>
      <c r="AI185" s="125">
        <f>Valores!$C$31</f>
        <v>0</v>
      </c>
      <c r="AJ185" s="125">
        <f>Valores!$C$89</f>
        <v>0</v>
      </c>
      <c r="AK185" s="125">
        <f>Valores!C$38*B185</f>
        <v>0</v>
      </c>
      <c r="AL185" s="125">
        <v>0</v>
      </c>
      <c r="AM185" s="125">
        <f t="shared" si="21"/>
        <v>0</v>
      </c>
      <c r="AN185" s="125">
        <f>AH185*Valores!$C$71</f>
        <v>-30996.4006</v>
      </c>
      <c r="AO185" s="125">
        <f>AH185*-Valores!$C$72</f>
        <v>0</v>
      </c>
      <c r="AP185" s="125">
        <f>AH185*Valores!$C$73</f>
        <v>-12680.3457</v>
      </c>
      <c r="AQ185" s="125">
        <f>Valores!$C$100</f>
        <v>-554.86</v>
      </c>
      <c r="AR185" s="125">
        <f>IF($F$5=0,Valores!$C$101,(Valores!$C$101+$F$5*(Valores!$C$101)))</f>
        <v>-550</v>
      </c>
      <c r="AS185" s="125">
        <f t="shared" si="24"/>
        <v>237003.85370000004</v>
      </c>
      <c r="AT185" s="125">
        <f t="shared" si="18"/>
        <v>-30996.4006</v>
      </c>
      <c r="AU185" s="125">
        <f>AH185*Valores!$C$74</f>
        <v>-7608.207420000001</v>
      </c>
      <c r="AV185" s="125">
        <f>AH185*Valores!$C$75</f>
        <v>-845.3563800000001</v>
      </c>
      <c r="AW185" s="125">
        <f t="shared" si="22"/>
        <v>242335.49560000002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2088.33</v>
      </c>
      <c r="G186" s="192">
        <v>1279</v>
      </c>
      <c r="H186" s="125">
        <f>ROUND(G186*Valores!$C$2,2)</f>
        <v>48563.25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45563.64</v>
      </c>
      <c r="M186" s="125">
        <f>ROUND(IF($H$2=0,IF(AND(A186&lt;&gt;"13-930",A186&lt;&gt;"13-940"),(SUM(F186,H186,J186,L186,X186,T186,R186)*Valores!$C$4),0),0),2)</f>
        <v>20185.2</v>
      </c>
      <c r="N186" s="125">
        <f t="shared" si="19"/>
        <v>0</v>
      </c>
      <c r="O186" s="125">
        <f>Valores!$C$16</f>
        <v>32810.75</v>
      </c>
      <c r="P186" s="125">
        <f>Valores!$D$5</f>
        <v>19410.1</v>
      </c>
      <c r="Q186" s="125">
        <v>0</v>
      </c>
      <c r="R186" s="125">
        <f>IF($F$4="NO",Valores!$C$47,Valores!$C$47/2)</f>
        <v>20291.4</v>
      </c>
      <c r="S186" s="125">
        <f>Valores!$C$19</f>
        <v>18061.41</v>
      </c>
      <c r="T186" s="125">
        <f t="shared" si="25"/>
        <v>18061.41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Valores!$C$96</f>
        <v>55692.53</v>
      </c>
      <c r="AA186" s="125">
        <f>Valores!$C$25</f>
        <v>793.88</v>
      </c>
      <c r="AB186" s="214">
        <v>0</v>
      </c>
      <c r="AC186" s="125">
        <f t="shared" si="20"/>
        <v>0</v>
      </c>
      <c r="AD186" s="125">
        <f>Valores!$C$26</f>
        <v>793.88</v>
      </c>
      <c r="AE186" s="192">
        <v>0</v>
      </c>
      <c r="AF186" s="125">
        <f>ROUND(AE186*Valores!$C$2,2)</f>
        <v>0</v>
      </c>
      <c r="AG186" s="125">
        <f>ROUND(IF($F$4="NO",Valores!$C$63,Valores!$C$63/2),2)</f>
        <v>9076.17</v>
      </c>
      <c r="AH186" s="125">
        <f t="shared" si="23"/>
        <v>273330.54</v>
      </c>
      <c r="AI186" s="125">
        <f>Valores!$C$31</f>
        <v>0</v>
      </c>
      <c r="AJ186" s="125">
        <f>Valores!$C$89</f>
        <v>0</v>
      </c>
      <c r="AK186" s="125">
        <f>Valores!C$38*B186</f>
        <v>0</v>
      </c>
      <c r="AL186" s="125">
        <v>0</v>
      </c>
      <c r="AM186" s="125">
        <f t="shared" si="21"/>
        <v>0</v>
      </c>
      <c r="AN186" s="125">
        <f>AH186*Valores!$C$71</f>
        <v>-30066.359399999998</v>
      </c>
      <c r="AO186" s="125">
        <f>AH186*-Valores!$C$72</f>
        <v>0</v>
      </c>
      <c r="AP186" s="125">
        <f>AH186*Valores!$C$73</f>
        <v>-12299.8743</v>
      </c>
      <c r="AQ186" s="125">
        <f>Valores!$C$100</f>
        <v>-554.86</v>
      </c>
      <c r="AR186" s="125">
        <f>IF($F$5=0,Valores!$C$101,(Valores!$C$101+$F$5*(Valores!$C$101)))</f>
        <v>-550</v>
      </c>
      <c r="AS186" s="125">
        <f t="shared" si="24"/>
        <v>229859.44629999998</v>
      </c>
      <c r="AT186" s="125">
        <f t="shared" si="18"/>
        <v>-30066.359399999998</v>
      </c>
      <c r="AU186" s="125">
        <f>AH186*Valores!$C$74</f>
        <v>-7379.924579999999</v>
      </c>
      <c r="AV186" s="125">
        <f>AH186*Valores!$C$75</f>
        <v>-819.9916199999999</v>
      </c>
      <c r="AW186" s="125">
        <f t="shared" si="22"/>
        <v>235064.2644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38994.88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45563.64</v>
      </c>
      <c r="M187" s="125">
        <f>ROUND(IF($H$2=0,IF(AND(A187&lt;&gt;"13-930",A187&lt;&gt;"13-940"),(SUM(F187,H187,J187,L187,X187,T187,R187)*Valores!$C$4),0),0),2)</f>
        <v>18409</v>
      </c>
      <c r="N187" s="125">
        <f t="shared" si="19"/>
        <v>0</v>
      </c>
      <c r="O187" s="125">
        <f>Valores!$C$16</f>
        <v>32810.75</v>
      </c>
      <c r="P187" s="125">
        <f>Valores!$D$5</f>
        <v>19410.1</v>
      </c>
      <c r="Q187" s="125">
        <v>0</v>
      </c>
      <c r="R187" s="125">
        <f>IF($F$4="NO",Valores!$C$47,Valores!$C$47/2)</f>
        <v>20291.4</v>
      </c>
      <c r="S187" s="125">
        <f>Valores!$C$20</f>
        <v>17876.75</v>
      </c>
      <c r="T187" s="125">
        <f t="shared" si="25"/>
        <v>17876.75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Valores!$C$96</f>
        <v>55692.53</v>
      </c>
      <c r="AA187" s="125">
        <f>Valores!$C$25</f>
        <v>793.88</v>
      </c>
      <c r="AB187" s="214">
        <v>0</v>
      </c>
      <c r="AC187" s="125">
        <f t="shared" si="20"/>
        <v>0</v>
      </c>
      <c r="AD187" s="125">
        <f>Valores!$C$26</f>
        <v>793.88</v>
      </c>
      <c r="AE187" s="192">
        <v>0</v>
      </c>
      <c r="AF187" s="125">
        <f>ROUND(AE187*Valores!$C$2,2)</f>
        <v>0</v>
      </c>
      <c r="AG187" s="125">
        <f>ROUND(IF($F$4="NO",Valores!$C$63,Valores!$C$63/2),2)</f>
        <v>9076.17</v>
      </c>
      <c r="AH187" s="125">
        <f t="shared" si="23"/>
        <v>259712.98</v>
      </c>
      <c r="AI187" s="125">
        <f>Valores!$C$31</f>
        <v>0</v>
      </c>
      <c r="AJ187" s="125">
        <f>Valores!$C$89</f>
        <v>0</v>
      </c>
      <c r="AK187" s="125">
        <f>Valores!C$38*B187</f>
        <v>0</v>
      </c>
      <c r="AL187" s="125">
        <v>0</v>
      </c>
      <c r="AM187" s="125">
        <f t="shared" si="21"/>
        <v>0</v>
      </c>
      <c r="AN187" s="125">
        <f>AH187*Valores!$C$71</f>
        <v>-28568.4278</v>
      </c>
      <c r="AO187" s="125">
        <f>AH187*-Valores!$C$72</f>
        <v>0</v>
      </c>
      <c r="AP187" s="125">
        <f>AH187*Valores!$C$73</f>
        <v>-11687.0841</v>
      </c>
      <c r="AQ187" s="125">
        <f>Valores!$C$100</f>
        <v>-554.86</v>
      </c>
      <c r="AR187" s="125">
        <f>IF($F$5=0,Valores!$C$101,(Valores!$C$101+$F$5*(Valores!$C$101)))</f>
        <v>-550</v>
      </c>
      <c r="AS187" s="125">
        <f t="shared" si="24"/>
        <v>218352.6081</v>
      </c>
      <c r="AT187" s="125">
        <f t="shared" si="18"/>
        <v>-28568.4278</v>
      </c>
      <c r="AU187" s="125">
        <f>AH187*Valores!$C$74</f>
        <v>-7012.25046</v>
      </c>
      <c r="AV187" s="125">
        <f>AH187*Valores!$C$75</f>
        <v>-779.13894</v>
      </c>
      <c r="AW187" s="125">
        <f t="shared" si="22"/>
        <v>223353.16280000002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48525.28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45563.64</v>
      </c>
      <c r="M188" s="125">
        <f>ROUND(IF($H$2=0,IF(AND(A188&lt;&gt;"13-930",A188&lt;&gt;"13-940"),(SUM(F188,H188,J188,L188,X188,T188,R188)*Valores!$C$4),0),0),2)</f>
        <v>19866.26</v>
      </c>
      <c r="N188" s="125">
        <f t="shared" si="19"/>
        <v>0</v>
      </c>
      <c r="O188" s="125">
        <f>Valores!$C$16</f>
        <v>32810.75</v>
      </c>
      <c r="P188" s="125">
        <f>Valores!$D$5</f>
        <v>19410.1</v>
      </c>
      <c r="Q188" s="125">
        <f>Valores!$C$22</f>
        <v>17316.91</v>
      </c>
      <c r="R188" s="125">
        <f>IF($F$4="NO",Valores!$C$47,Valores!$C$47/2)</f>
        <v>20291.4</v>
      </c>
      <c r="S188" s="125">
        <f>Valores!$C$19</f>
        <v>18061.41</v>
      </c>
      <c r="T188" s="125">
        <f t="shared" si="25"/>
        <v>18061.41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Valores!$C$96</f>
        <v>55692.53</v>
      </c>
      <c r="AA188" s="125">
        <f>Valores!$C$25</f>
        <v>793.88</v>
      </c>
      <c r="AB188" s="214">
        <v>0</v>
      </c>
      <c r="AC188" s="125">
        <f t="shared" si="20"/>
        <v>0</v>
      </c>
      <c r="AD188" s="125">
        <f>Valores!$C$26</f>
        <v>793.88</v>
      </c>
      <c r="AE188" s="192">
        <v>0</v>
      </c>
      <c r="AF188" s="125">
        <f>ROUND(AE188*Valores!$C$2,2)</f>
        <v>0</v>
      </c>
      <c r="AG188" s="125">
        <f>ROUND(IF($F$4="NO",Valores!$C$63,Valores!$C$63/2),2)</f>
        <v>9076.17</v>
      </c>
      <c r="AH188" s="125">
        <f t="shared" si="23"/>
        <v>288202.21</v>
      </c>
      <c r="AI188" s="125">
        <f>Valores!$C$31</f>
        <v>0</v>
      </c>
      <c r="AJ188" s="125">
        <f>Valores!$C$89</f>
        <v>0</v>
      </c>
      <c r="AK188" s="125">
        <f>Valores!C$38*B188</f>
        <v>0</v>
      </c>
      <c r="AL188" s="125">
        <f>IF($F$3="NO",0,Valores!$C$55)</f>
        <v>0</v>
      </c>
      <c r="AM188" s="125">
        <f t="shared" si="21"/>
        <v>0</v>
      </c>
      <c r="AN188" s="125">
        <f>AH188*Valores!$C$71</f>
        <v>-31702.243100000003</v>
      </c>
      <c r="AO188" s="125">
        <f>AH188*-Valores!$C$72</f>
        <v>0</v>
      </c>
      <c r="AP188" s="125">
        <f>AH188*Valores!$C$73</f>
        <v>-12969.09945</v>
      </c>
      <c r="AQ188" s="125">
        <f>Valores!$C$100</f>
        <v>-554.86</v>
      </c>
      <c r="AR188" s="125">
        <f>IF($F$5=0,Valores!$C$101,(Valores!$C$101+$F$5*(Valores!$C$101)))</f>
        <v>-550</v>
      </c>
      <c r="AS188" s="125">
        <f t="shared" si="24"/>
        <v>242426.00745000003</v>
      </c>
      <c r="AT188" s="125">
        <f t="shared" si="18"/>
        <v>-31702.243100000003</v>
      </c>
      <c r="AU188" s="125">
        <f>AH188*Valores!$C$74</f>
        <v>-7781.45967</v>
      </c>
      <c r="AV188" s="125">
        <f>AH188*Valores!$C$75</f>
        <v>-864.6066300000001</v>
      </c>
      <c r="AW188" s="125">
        <f t="shared" si="22"/>
        <v>247853.90060000002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40437.73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22781.82</v>
      </c>
      <c r="M189" s="125">
        <f>ROUND(IF($H$2=0,IF(AND(A189&lt;&gt;"13-930",A189&lt;&gt;"13-940"),(SUM(F189,H189,J189,L189,X189,T189,R189)*Valores!$C$4),0),0),2)</f>
        <v>15235.85</v>
      </c>
      <c r="N189" s="125">
        <f t="shared" si="19"/>
        <v>0</v>
      </c>
      <c r="O189" s="125">
        <f>Valores!$C$16</f>
        <v>32810.75</v>
      </c>
      <c r="P189" s="125">
        <f>Valores!$D$5</f>
        <v>19410.1</v>
      </c>
      <c r="Q189" s="125">
        <v>0</v>
      </c>
      <c r="R189" s="125">
        <f>IF($F$4="NO",Valores!$C$47,Valores!$C$47/2)</f>
        <v>20291.4</v>
      </c>
      <c r="S189" s="125">
        <f>Valores!$C$19</f>
        <v>18061.41</v>
      </c>
      <c r="T189" s="125">
        <f t="shared" si="25"/>
        <v>18061.41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Valores!$C$96</f>
        <v>55692.53</v>
      </c>
      <c r="AA189" s="125">
        <f>Valores!$C$25</f>
        <v>793.88</v>
      </c>
      <c r="AB189" s="214">
        <v>0</v>
      </c>
      <c r="AC189" s="125">
        <f t="shared" si="20"/>
        <v>0</v>
      </c>
      <c r="AD189" s="125">
        <f>Valores!$C$26</f>
        <v>793.88</v>
      </c>
      <c r="AE189" s="192">
        <v>0</v>
      </c>
      <c r="AF189" s="125">
        <f>ROUND(AE189*Valores!$C$2,2)</f>
        <v>0</v>
      </c>
      <c r="AG189" s="125">
        <f>ROUND(IF($F$4="NO",Valores!$C$63,Valores!$C$63/2),2)</f>
        <v>9076.17</v>
      </c>
      <c r="AH189" s="125">
        <f t="shared" si="23"/>
        <v>235385.52000000002</v>
      </c>
      <c r="AI189" s="125">
        <f>Valores!$C$31</f>
        <v>0</v>
      </c>
      <c r="AJ189" s="125">
        <f>Valores!$C$89</f>
        <v>0</v>
      </c>
      <c r="AK189" s="125">
        <f>Valores!C$38*B189</f>
        <v>0</v>
      </c>
      <c r="AL189" s="125">
        <f>IF($F$3="NO",0,Valores!$C$55)</f>
        <v>0</v>
      </c>
      <c r="AM189" s="125">
        <f t="shared" si="21"/>
        <v>0</v>
      </c>
      <c r="AN189" s="125">
        <f>AH189*Valores!$C$71</f>
        <v>-25892.4072</v>
      </c>
      <c r="AO189" s="125">
        <f>AH189*-Valores!$C$72</f>
        <v>0</v>
      </c>
      <c r="AP189" s="125">
        <f>AH189*Valores!$C$73</f>
        <v>-10592.3484</v>
      </c>
      <c r="AQ189" s="125">
        <f>Valores!$C$100</f>
        <v>-554.86</v>
      </c>
      <c r="AR189" s="125">
        <f>IF($F$5=0,Valores!$C$101,(Valores!$C$101+$F$5*(Valores!$C$101)))</f>
        <v>-550</v>
      </c>
      <c r="AS189" s="125">
        <f t="shared" si="24"/>
        <v>197795.9044</v>
      </c>
      <c r="AT189" s="125">
        <f t="shared" si="18"/>
        <v>-25892.4072</v>
      </c>
      <c r="AU189" s="125">
        <f>AH189*Valores!$C$74</f>
        <v>-6355.4090400000005</v>
      </c>
      <c r="AV189" s="125">
        <f>AH189*Valores!$C$75</f>
        <v>-706.1565600000001</v>
      </c>
      <c r="AW189" s="125">
        <f t="shared" si="22"/>
        <v>202431.54720000003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36868.58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25060</v>
      </c>
      <c r="M190" s="125">
        <f>ROUND(IF($H$2=0,IF(AND(A190&lt;&gt;"13-930",A190&lt;&gt;"13-940"),(SUM(F190,H190,J190,L190,X190,T190,R190)*Valores!$C$4),0),0),2)</f>
        <v>14021.1</v>
      </c>
      <c r="N190" s="125">
        <f t="shared" si="19"/>
        <v>0</v>
      </c>
      <c r="O190" s="125">
        <f>Valores!$C$16</f>
        <v>32810.75</v>
      </c>
      <c r="P190" s="125">
        <f>Valores!$D$5</f>
        <v>19410.1</v>
      </c>
      <c r="Q190" s="125">
        <f>Valores!$C$23</f>
        <v>16117.43</v>
      </c>
      <c r="R190" s="125">
        <f>IF($F$4="NO",Valores!$C$44,Valores!$C$44/2)</f>
        <v>13484.02</v>
      </c>
      <c r="S190" s="125">
        <f>Valores!$C$19</f>
        <v>18061.41</v>
      </c>
      <c r="T190" s="125">
        <f t="shared" si="25"/>
        <v>18061.41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Valores!$C$94</f>
        <v>27846.26</v>
      </c>
      <c r="AA190" s="125">
        <f>Valores!$C$25</f>
        <v>793.88</v>
      </c>
      <c r="AB190" s="214">
        <v>0</v>
      </c>
      <c r="AC190" s="125">
        <f t="shared" si="20"/>
        <v>0</v>
      </c>
      <c r="AD190" s="125">
        <f>Valores!$C$26</f>
        <v>793.88</v>
      </c>
      <c r="AE190" s="192">
        <v>0</v>
      </c>
      <c r="AF190" s="125">
        <f>ROUND(AE190*Valores!$C$2,2)</f>
        <v>0</v>
      </c>
      <c r="AG190" s="125">
        <f>ROUND(IF($F$4="NO",Valores!$C$63,Valores!$C$63/2),2)</f>
        <v>9076.17</v>
      </c>
      <c r="AH190" s="125">
        <f t="shared" si="23"/>
        <v>214343.58000000002</v>
      </c>
      <c r="AI190" s="125">
        <f>Valores!$C$31</f>
        <v>0</v>
      </c>
      <c r="AJ190" s="125">
        <f>Valores!$C$87</f>
        <v>0</v>
      </c>
      <c r="AK190" s="125">
        <f>Valores!C$38*B190</f>
        <v>0</v>
      </c>
      <c r="AL190" s="125">
        <v>0</v>
      </c>
      <c r="AM190" s="125">
        <f t="shared" si="21"/>
        <v>0</v>
      </c>
      <c r="AN190" s="125">
        <f>AH190*Valores!$C$71</f>
        <v>-23577.793800000003</v>
      </c>
      <c r="AO190" s="125">
        <f>AH190*-Valores!$C$72</f>
        <v>0</v>
      </c>
      <c r="AP190" s="125">
        <f>AH190*Valores!$C$73</f>
        <v>-9645.4611</v>
      </c>
      <c r="AQ190" s="125">
        <f>Valores!$C$100</f>
        <v>-554.86</v>
      </c>
      <c r="AR190" s="125">
        <f>IF($F$5=0,Valores!$C$101,(Valores!$C$101+$F$5*(Valores!$C$101)))</f>
        <v>-550</v>
      </c>
      <c r="AS190" s="125">
        <f t="shared" si="24"/>
        <v>180015.46510000003</v>
      </c>
      <c r="AT190" s="125">
        <f t="shared" si="18"/>
        <v>-23577.793800000003</v>
      </c>
      <c r="AU190" s="125">
        <f>AH190*Valores!$C$74</f>
        <v>-5787.27666</v>
      </c>
      <c r="AV190" s="125">
        <f>AH190*Valores!$C$75</f>
        <v>-643.03074</v>
      </c>
      <c r="AW190" s="125">
        <f t="shared" si="22"/>
        <v>184335.4788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3759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726.34</v>
      </c>
      <c r="N191" s="125">
        <f t="shared" si="19"/>
        <v>0</v>
      </c>
      <c r="O191" s="125">
        <f>Valores!$C$7*B191</f>
        <v>1287.66</v>
      </c>
      <c r="P191" s="125">
        <f>ROUND(IF(B191&lt;15,(Valores!$E$5*B191),Valores!$D$5),2)</f>
        <v>1294.01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678.27</v>
      </c>
      <c r="S191" s="125">
        <f>Valores!$C$18*B191</f>
        <v>404.99</v>
      </c>
      <c r="T191" s="125">
        <f t="shared" si="25"/>
        <v>404.99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1296.68</v>
      </c>
      <c r="AA191" s="125">
        <f>IF((Valores!$C$28)*B191&gt;Valores!$F$28,Valores!$F$28,(Valores!$C$28)*B191)</f>
        <v>31.81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26.49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605.08</v>
      </c>
      <c r="AH191" s="125">
        <f t="shared" si="23"/>
        <v>10110.33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0</v>
      </c>
      <c r="AL191" s="125">
        <f>IF($F$3="NO",0,IF(Valores!$C$61*B191&gt;Valores!$F$61,Valores!$F$61,Valores!$C$61*B191))</f>
        <v>0</v>
      </c>
      <c r="AM191" s="125">
        <f t="shared" si="21"/>
        <v>0</v>
      </c>
      <c r="AN191" s="125">
        <f>AH191*Valores!$C$71</f>
        <v>-1112.1363</v>
      </c>
      <c r="AO191" s="125">
        <f>AH191*-Valores!$C$72</f>
        <v>0</v>
      </c>
      <c r="AP191" s="125">
        <f>AH191*Valores!$C$73</f>
        <v>-454.96484999999996</v>
      </c>
      <c r="AQ191" s="125">
        <f>Valores!$C$100</f>
        <v>-554.86</v>
      </c>
      <c r="AR191" s="125">
        <f>IF($F$5=0,Valores!$C$101,(Valores!$C$101+$F$5*(Valores!$C$101)))</f>
        <v>-550</v>
      </c>
      <c r="AS191" s="125">
        <f t="shared" si="24"/>
        <v>7438.36885</v>
      </c>
      <c r="AT191" s="125">
        <f t="shared" si="18"/>
        <v>-1112.1363</v>
      </c>
      <c r="AU191" s="125">
        <f>AH191*Valores!$C$74</f>
        <v>-272.97891</v>
      </c>
      <c r="AV191" s="125">
        <f>AH191*Valores!$C$75</f>
        <v>-30.33099</v>
      </c>
      <c r="AW191" s="125">
        <f t="shared" si="22"/>
        <v>8694.8838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7518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1452.68</v>
      </c>
      <c r="N192" s="125">
        <f t="shared" si="19"/>
        <v>0</v>
      </c>
      <c r="O192" s="125">
        <f>Valores!$C$7*B192</f>
        <v>2575.32</v>
      </c>
      <c r="P192" s="125">
        <f>ROUND(IF(B192&lt;15,(Valores!$E$5*B192),Valores!$D$5),2)</f>
        <v>2588.02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1356.54</v>
      </c>
      <c r="S192" s="125">
        <f>Valores!$C$18*B192</f>
        <v>809.98</v>
      </c>
      <c r="T192" s="125">
        <f t="shared" si="25"/>
        <v>809.98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2593.36</v>
      </c>
      <c r="AA192" s="125">
        <f>IF((Valores!$C$28)*B192&gt;Valores!$F$28,Valores!$F$28,(Valores!$C$28)*B192)</f>
        <v>63.62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52.98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1210.16</v>
      </c>
      <c r="AH192" s="125">
        <f t="shared" si="23"/>
        <v>20220.66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0</v>
      </c>
      <c r="AL192" s="125">
        <f>IF($F$3="NO",0,IF(Valores!$C$61*B192&gt;Valores!$F$61,Valores!$F$61,Valores!$C$61*B192))</f>
        <v>0</v>
      </c>
      <c r="AM192" s="125">
        <f t="shared" si="21"/>
        <v>0</v>
      </c>
      <c r="AN192" s="125">
        <f>AH192*Valores!$C$71</f>
        <v>-2224.2726</v>
      </c>
      <c r="AO192" s="125">
        <f>AH192*-Valores!$C$72</f>
        <v>0</v>
      </c>
      <c r="AP192" s="125">
        <f>AH192*Valores!$C$73</f>
        <v>-909.9296999999999</v>
      </c>
      <c r="AQ192" s="125">
        <f>Valores!$C$100</f>
        <v>-554.86</v>
      </c>
      <c r="AR192" s="125">
        <f>IF($F$5=0,Valores!$C$101,(Valores!$C$101+$F$5*(Valores!$C$101)))</f>
        <v>-550</v>
      </c>
      <c r="AS192" s="125">
        <f t="shared" si="24"/>
        <v>15981.5977</v>
      </c>
      <c r="AT192" s="125">
        <f t="shared" si="18"/>
        <v>-2224.2726</v>
      </c>
      <c r="AU192" s="125">
        <f>AH192*Valores!$C$74</f>
        <v>-545.95782</v>
      </c>
      <c r="AV192" s="125">
        <f>AH192*Valores!$C$75</f>
        <v>-60.66198</v>
      </c>
      <c r="AW192" s="125">
        <f t="shared" si="22"/>
        <v>17389.7676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11277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2179.02</v>
      </c>
      <c r="N193" s="125">
        <f t="shared" si="19"/>
        <v>0</v>
      </c>
      <c r="O193" s="125">
        <f>Valores!$C$7*B193</f>
        <v>3862.9800000000005</v>
      </c>
      <c r="P193" s="125">
        <f>ROUND(IF(B193&lt;15,(Valores!$E$5*B193),Valores!$D$5),2)</f>
        <v>3882.03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2034.81</v>
      </c>
      <c r="S193" s="125">
        <f>Valores!$C$18*B193</f>
        <v>1214.97</v>
      </c>
      <c r="T193" s="125">
        <f t="shared" si="25"/>
        <v>1214.97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3890.04</v>
      </c>
      <c r="AA193" s="125">
        <f>IF((Valores!$C$28)*B193&gt;Valores!$F$28,Valores!$F$28,(Valores!$C$28)*B193)</f>
        <v>95.42999999999999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79.47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</f>
        <v>1815.2400000000002</v>
      </c>
      <c r="AH193" s="125">
        <f t="shared" si="23"/>
        <v>30330.990000000005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0</v>
      </c>
      <c r="AL193" s="125">
        <f>IF($F$3="NO",0,IF(Valores!$C$61*B193&gt;Valores!$F$61,Valores!$F$61,Valores!$C$61*B193))</f>
        <v>0</v>
      </c>
      <c r="AM193" s="125">
        <f t="shared" si="21"/>
        <v>0</v>
      </c>
      <c r="AN193" s="125">
        <f>AH193*Valores!$C$71</f>
        <v>-3336.408900000001</v>
      </c>
      <c r="AO193" s="125">
        <f>AH193*-Valores!$C$72</f>
        <v>0</v>
      </c>
      <c r="AP193" s="125">
        <f>AH193*Valores!$C$73</f>
        <v>-1364.8945500000002</v>
      </c>
      <c r="AQ193" s="125">
        <f>Valores!$C$100</f>
        <v>-554.86</v>
      </c>
      <c r="AR193" s="125">
        <f>IF($F$5=0,Valores!$C$101,(Valores!$C$101+$F$5*(Valores!$C$101)))</f>
        <v>-550</v>
      </c>
      <c r="AS193" s="125">
        <f t="shared" si="24"/>
        <v>24524.826550000005</v>
      </c>
      <c r="AT193" s="125">
        <f t="shared" si="18"/>
        <v>-3336.408900000001</v>
      </c>
      <c r="AU193" s="125">
        <f>AH193*Valores!$C$74</f>
        <v>-818.9367300000001</v>
      </c>
      <c r="AV193" s="125">
        <f>AH193*Valores!$C$75</f>
        <v>-90.99297000000001</v>
      </c>
      <c r="AW193" s="125">
        <f t="shared" si="22"/>
        <v>26084.651400000002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15036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2905.36</v>
      </c>
      <c r="N194" s="125">
        <f t="shared" si="19"/>
        <v>0</v>
      </c>
      <c r="O194" s="125">
        <f>Valores!$C$7*B194</f>
        <v>5150.64</v>
      </c>
      <c r="P194" s="125">
        <f>ROUND(IF(B194&lt;15,(Valores!$E$5*B194),Valores!$D$5),2)</f>
        <v>5176.04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2713.08</v>
      </c>
      <c r="S194" s="125">
        <f>Valores!$C$18*B194</f>
        <v>1619.96</v>
      </c>
      <c r="T194" s="125">
        <f t="shared" si="25"/>
        <v>1619.96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5186.72</v>
      </c>
      <c r="AA194" s="125">
        <f>IF((Valores!$C$28)*B194&gt;Valores!$F$28,Valores!$F$28,(Valores!$C$28)*B194)</f>
        <v>127.24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105.96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</f>
        <v>2420.32</v>
      </c>
      <c r="AH194" s="125">
        <f t="shared" si="23"/>
        <v>40441.32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0</v>
      </c>
      <c r="AL194" s="125">
        <f>IF($F$3="NO",0,IF(Valores!$C$61*B194&gt;Valores!$F$61,Valores!$F$61,Valores!$C$61*B194))</f>
        <v>0</v>
      </c>
      <c r="AM194" s="125">
        <f t="shared" si="21"/>
        <v>0</v>
      </c>
      <c r="AN194" s="125">
        <f>AH194*Valores!$C$71</f>
        <v>-4448.5452</v>
      </c>
      <c r="AO194" s="125">
        <f>AH194*-Valores!$C$72</f>
        <v>0</v>
      </c>
      <c r="AP194" s="125">
        <f>AH194*Valores!$C$73</f>
        <v>-1819.8593999999998</v>
      </c>
      <c r="AQ194" s="125">
        <f>Valores!$C$100</f>
        <v>-554.86</v>
      </c>
      <c r="AR194" s="125">
        <f>IF($F$5=0,Valores!$C$101,(Valores!$C$101+$F$5*(Valores!$C$101)))</f>
        <v>-550</v>
      </c>
      <c r="AS194" s="125">
        <f t="shared" si="24"/>
        <v>33068.0554</v>
      </c>
      <c r="AT194" s="125">
        <f t="shared" si="18"/>
        <v>-4448.5452</v>
      </c>
      <c r="AU194" s="125">
        <f>AH194*Valores!$C$74</f>
        <v>-1091.91564</v>
      </c>
      <c r="AV194" s="125">
        <f>AH194*Valores!$C$75</f>
        <v>-121.32396</v>
      </c>
      <c r="AW194" s="125">
        <f t="shared" si="22"/>
        <v>34779.5352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18795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3631.7</v>
      </c>
      <c r="N195" s="125">
        <f t="shared" si="19"/>
        <v>0</v>
      </c>
      <c r="O195" s="125">
        <f>Valores!$C$7*B195</f>
        <v>6438.3</v>
      </c>
      <c r="P195" s="125">
        <f>ROUND(IF(B195&lt;15,(Valores!$E$5*B195),Valores!$D$5),2)</f>
        <v>6470.05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3391.35</v>
      </c>
      <c r="S195" s="125">
        <f>Valores!$C$18*B195</f>
        <v>2024.95</v>
      </c>
      <c r="T195" s="125">
        <f t="shared" si="25"/>
        <v>2024.95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6483.400000000001</v>
      </c>
      <c r="AA195" s="125">
        <f>IF((Valores!$C$28)*B195&gt;Valores!$F$28,Valores!$F$28,(Valores!$C$28)*B195)</f>
        <v>159.04999999999998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132.45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</f>
        <v>3025.4</v>
      </c>
      <c r="AH195" s="125">
        <f t="shared" si="23"/>
        <v>50551.65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0</v>
      </c>
      <c r="AL195" s="125">
        <f>IF($F$3="NO",0,IF(Valores!$C$61*B195&gt;Valores!$F$61,Valores!$F$61,Valores!$C$61*B195))</f>
        <v>0</v>
      </c>
      <c r="AM195" s="125">
        <f t="shared" si="21"/>
        <v>0</v>
      </c>
      <c r="AN195" s="125">
        <f>AH195*Valores!$C$71</f>
        <v>-5560.681500000001</v>
      </c>
      <c r="AO195" s="125">
        <f>AH195*-Valores!$C$72</f>
        <v>0</v>
      </c>
      <c r="AP195" s="125">
        <f>AH195*Valores!$C$73</f>
        <v>-2274.82425</v>
      </c>
      <c r="AQ195" s="125">
        <f>Valores!$C$100</f>
        <v>-554.86</v>
      </c>
      <c r="AR195" s="125">
        <f>IF($F$5=0,Valores!$C$101,(Valores!$C$101+$F$5*(Valores!$C$101)))</f>
        <v>-550</v>
      </c>
      <c r="AS195" s="125">
        <f t="shared" si="24"/>
        <v>41611.28425</v>
      </c>
      <c r="AT195" s="125">
        <f t="shared" si="18"/>
        <v>-5560.681500000001</v>
      </c>
      <c r="AU195" s="125">
        <f>AH195*Valores!$C$74</f>
        <v>-1364.89455</v>
      </c>
      <c r="AV195" s="125">
        <f>AH195*Valores!$C$75</f>
        <v>-151.65495</v>
      </c>
      <c r="AW195" s="125">
        <f t="shared" si="22"/>
        <v>43474.419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22554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4358.03</v>
      </c>
      <c r="N196" s="125">
        <f t="shared" si="19"/>
        <v>0</v>
      </c>
      <c r="O196" s="125">
        <f>Valores!$C$7*B196</f>
        <v>7725.960000000001</v>
      </c>
      <c r="P196" s="125">
        <f>ROUND(IF(B196&lt;15,(Valores!$E$5*B196),Valores!$D$5),2)</f>
        <v>7764.06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4069.62</v>
      </c>
      <c r="S196" s="125">
        <f>Valores!$C$18*B196</f>
        <v>2429.94</v>
      </c>
      <c r="T196" s="125">
        <f t="shared" si="25"/>
        <v>2429.94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7780.08</v>
      </c>
      <c r="AA196" s="125">
        <f>IF((Valores!$C$28)*B196&gt;Valores!$F$28,Valores!$F$28,(Valores!$C$28)*B196)</f>
        <v>190.85999999999999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158.94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</f>
        <v>3630.4800000000005</v>
      </c>
      <c r="AH196" s="125">
        <f t="shared" si="23"/>
        <v>60661.97000000001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0</v>
      </c>
      <c r="AL196" s="125">
        <f>IF($F$3="NO",0,IF(Valores!$C$61*B196&gt;Valores!$F$61,Valores!$F$61,Valores!$C$61*B196))</f>
        <v>0</v>
      </c>
      <c r="AM196" s="125">
        <f t="shared" si="21"/>
        <v>0</v>
      </c>
      <c r="AN196" s="125">
        <f>AH196*Valores!$C$71</f>
        <v>-6672.816700000001</v>
      </c>
      <c r="AO196" s="125">
        <f>AH196*-Valores!$C$72</f>
        <v>0</v>
      </c>
      <c r="AP196" s="125">
        <f>AH196*Valores!$C$73</f>
        <v>-2729.7886500000004</v>
      </c>
      <c r="AQ196" s="125">
        <f>Valores!$C$100</f>
        <v>-554.86</v>
      </c>
      <c r="AR196" s="125">
        <f>IF($F$5=0,Valores!$C$101,(Valores!$C$101+$F$5*(Valores!$C$101)))</f>
        <v>-550</v>
      </c>
      <c r="AS196" s="125">
        <f t="shared" si="24"/>
        <v>50154.50465</v>
      </c>
      <c r="AT196" s="125">
        <f t="shared" si="18"/>
        <v>-6672.816700000001</v>
      </c>
      <c r="AU196" s="125">
        <f>AH196*Valores!$C$74</f>
        <v>-1637.8731900000002</v>
      </c>
      <c r="AV196" s="125">
        <f>AH196*Valores!$C$75</f>
        <v>-181.98591000000002</v>
      </c>
      <c r="AW196" s="125">
        <f t="shared" si="22"/>
        <v>52169.294200000004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26313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5084.37</v>
      </c>
      <c r="N197" s="125">
        <f t="shared" si="19"/>
        <v>0</v>
      </c>
      <c r="O197" s="125">
        <f>Valores!$C$7*B197</f>
        <v>9013.62</v>
      </c>
      <c r="P197" s="125">
        <f>ROUND(IF(B197&lt;15,(Valores!$E$5*B197),Valores!$D$5),2)</f>
        <v>9058.07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4747.889999999999</v>
      </c>
      <c r="S197" s="125">
        <f>Valores!$C$18*B197</f>
        <v>2834.9300000000003</v>
      </c>
      <c r="T197" s="125">
        <f t="shared" si="25"/>
        <v>2834.93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9076.76</v>
      </c>
      <c r="AA197" s="125">
        <f>IF((Valores!$C$28)*B197&gt;Valores!$F$28,Valores!$F$28,(Valores!$C$28)*B197)</f>
        <v>222.67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185.42999999999998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</f>
        <v>4235.56</v>
      </c>
      <c r="AH197" s="125">
        <f t="shared" si="23"/>
        <v>70772.29999999999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0</v>
      </c>
      <c r="AL197" s="125">
        <f>IF($F$3="NO",0,IF(Valores!$C$61*B197&gt;Valores!$F$61,Valores!$F$61,Valores!$C$61*B197))</f>
        <v>0</v>
      </c>
      <c r="AM197" s="125">
        <f t="shared" si="21"/>
        <v>0</v>
      </c>
      <c r="AN197" s="125">
        <f>AH197*Valores!$C$71</f>
        <v>-7784.952999999999</v>
      </c>
      <c r="AO197" s="125">
        <f>AH197*-Valores!$C$72</f>
        <v>0</v>
      </c>
      <c r="AP197" s="125">
        <f>AH197*Valores!$C$73</f>
        <v>-3184.7534999999993</v>
      </c>
      <c r="AQ197" s="125">
        <f>Valores!$C$100</f>
        <v>-554.86</v>
      </c>
      <c r="AR197" s="125">
        <f>IF($F$5=0,Valores!$C$101,(Valores!$C$101+$F$5*(Valores!$C$101)))</f>
        <v>-550</v>
      </c>
      <c r="AS197" s="125">
        <f t="shared" si="24"/>
        <v>58697.73349999999</v>
      </c>
      <c r="AT197" s="125">
        <f aca="true" t="shared" si="29" ref="AT197:AT260">AN197</f>
        <v>-7784.952999999999</v>
      </c>
      <c r="AU197" s="125">
        <f>AH197*Valores!$C$74</f>
        <v>-1910.8520999999996</v>
      </c>
      <c r="AV197" s="125">
        <f>AH197*Valores!$C$75</f>
        <v>-212.31689999999998</v>
      </c>
      <c r="AW197" s="125">
        <f t="shared" si="22"/>
        <v>60864.17799999999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30072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5810.71</v>
      </c>
      <c r="N198" s="125">
        <f t="shared" si="19"/>
        <v>0</v>
      </c>
      <c r="O198" s="125">
        <f>Valores!$C$7*B198</f>
        <v>10301.28</v>
      </c>
      <c r="P198" s="125">
        <f>ROUND(IF(B198&lt;15,(Valores!$E$5*B198),Valores!$D$5),2)</f>
        <v>10352.08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5426.16</v>
      </c>
      <c r="S198" s="125">
        <f>Valores!$C$18*B198</f>
        <v>3239.92</v>
      </c>
      <c r="T198" s="125">
        <f t="shared" si="25"/>
        <v>3239.92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10373.44</v>
      </c>
      <c r="AA198" s="125">
        <f>IF((Valores!$C$28)*B198&gt;Valores!$F$28,Valores!$F$28,(Valores!$C$28)*B198)</f>
        <v>254.48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211.92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</f>
        <v>4840.64</v>
      </c>
      <c r="AH198" s="125">
        <f t="shared" si="23"/>
        <v>80882.62999999999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0</v>
      </c>
      <c r="AL198" s="125">
        <f>IF($F$3="NO",0,IF(Valores!$C$61*B198&gt;Valores!$F$61,Valores!$F$61,Valores!$C$61*B198))</f>
        <v>0</v>
      </c>
      <c r="AM198" s="125">
        <f t="shared" si="21"/>
        <v>0</v>
      </c>
      <c r="AN198" s="125">
        <f>AH198*Valores!$C$71</f>
        <v>-8897.0893</v>
      </c>
      <c r="AO198" s="125">
        <f>AH198*-Valores!$C$72</f>
        <v>0</v>
      </c>
      <c r="AP198" s="125">
        <f>AH198*Valores!$C$73</f>
        <v>-3639.7183499999996</v>
      </c>
      <c r="AQ198" s="125">
        <f>Valores!$C$100</f>
        <v>-554.86</v>
      </c>
      <c r="AR198" s="125">
        <f>IF($F$5=0,Valores!$C$101,(Valores!$C$101+$F$5*(Valores!$C$101)))</f>
        <v>-550</v>
      </c>
      <c r="AS198" s="125">
        <f t="shared" si="24"/>
        <v>67240.96234999999</v>
      </c>
      <c r="AT198" s="125">
        <f t="shared" si="29"/>
        <v>-8897.0893</v>
      </c>
      <c r="AU198" s="125">
        <f>AH198*Valores!$C$74</f>
        <v>-2183.83101</v>
      </c>
      <c r="AV198" s="125">
        <f>AH198*Valores!$C$75</f>
        <v>-242.64788999999996</v>
      </c>
      <c r="AW198" s="125">
        <f t="shared" si="22"/>
        <v>69559.0618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33831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6537.05</v>
      </c>
      <c r="N199" s="125">
        <f t="shared" si="19"/>
        <v>0</v>
      </c>
      <c r="O199" s="125">
        <f>Valores!$C$7*B199</f>
        <v>11588.94</v>
      </c>
      <c r="P199" s="125">
        <f>ROUND(IF(B199&lt;15,(Valores!$E$5*B199),Valores!$D$5),2)</f>
        <v>11646.09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6104.43</v>
      </c>
      <c r="S199" s="125">
        <f>Valores!$C$18*B199</f>
        <v>3644.91</v>
      </c>
      <c r="T199" s="125">
        <f t="shared" si="25"/>
        <v>3644.91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11670.12</v>
      </c>
      <c r="AA199" s="125">
        <f>IF((Valores!$C$28)*B199&gt;Valores!$F$28,Valores!$F$28,(Valores!$C$28)*B199)</f>
        <v>286.28999999999996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238.41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</f>
        <v>5445.72</v>
      </c>
      <c r="AH199" s="125">
        <f t="shared" si="23"/>
        <v>90992.96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0</v>
      </c>
      <c r="AL199" s="125">
        <f>IF($F$3="NO",0,IF(Valores!$C$61*B199&gt;Valores!$F$61,Valores!$F$61,Valores!$C$61*B199))</f>
        <v>0</v>
      </c>
      <c r="AM199" s="125">
        <f t="shared" si="21"/>
        <v>0</v>
      </c>
      <c r="AN199" s="125">
        <f>AH199*Valores!$C$71</f>
        <v>-10009.225600000002</v>
      </c>
      <c r="AO199" s="125">
        <f>AH199*-Valores!$C$72</f>
        <v>0</v>
      </c>
      <c r="AP199" s="125">
        <f>AH199*Valores!$C$73</f>
        <v>-4094.6832</v>
      </c>
      <c r="AQ199" s="125">
        <f>Valores!$C$100</f>
        <v>-554.86</v>
      </c>
      <c r="AR199" s="125">
        <f>IF($F$5=0,Valores!$C$101,(Valores!$C$101+$F$5*(Valores!$C$101)))</f>
        <v>-550</v>
      </c>
      <c r="AS199" s="125">
        <f t="shared" si="24"/>
        <v>75784.1912</v>
      </c>
      <c r="AT199" s="125">
        <f t="shared" si="29"/>
        <v>-10009.225600000002</v>
      </c>
      <c r="AU199" s="125">
        <f>AH199*Valores!$C$74</f>
        <v>-2456.80992</v>
      </c>
      <c r="AV199" s="125">
        <f>AH199*Valores!$C$75</f>
        <v>-272.97888</v>
      </c>
      <c r="AW199" s="125">
        <f t="shared" si="22"/>
        <v>78253.9456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37590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7263.39</v>
      </c>
      <c r="N200" s="125">
        <f aca="true" t="shared" si="30" ref="N200:N263">ROUND(SUM(F200,H200,J200,L200,X200,R200)*$H$2,2)</f>
        <v>0</v>
      </c>
      <c r="O200" s="125">
        <f>Valores!$C$7*B200</f>
        <v>12876.6</v>
      </c>
      <c r="P200" s="125">
        <f>ROUND(IF(B200&lt;15,(Valores!$E$5*B200),Valores!$D$5),2)</f>
        <v>12940.1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6782.7</v>
      </c>
      <c r="S200" s="125">
        <f>Valores!$C$18*B200</f>
        <v>4049.9</v>
      </c>
      <c r="T200" s="125">
        <f t="shared" si="25"/>
        <v>4049.9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12966.800000000001</v>
      </c>
      <c r="AA200" s="125">
        <f>IF((Valores!$C$28)*B200&gt;Valores!$F$28,Valores!$F$28,(Valores!$C$28)*B200)</f>
        <v>318.09999999999997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264.9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</f>
        <v>6050.8</v>
      </c>
      <c r="AH200" s="125">
        <f t="shared" si="23"/>
        <v>101103.29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0</v>
      </c>
      <c r="AL200" s="125">
        <f>IF($F$3="NO",0,IF(Valores!$C$61*B200&gt;Valores!$F$61,Valores!$F$61,Valores!$C$61*B200))</f>
        <v>0</v>
      </c>
      <c r="AM200" s="125">
        <f aca="true" t="shared" si="32" ref="AM200:AM263">SUM(AI200:AL200)</f>
        <v>0</v>
      </c>
      <c r="AN200" s="125">
        <f>AH200*Valores!$C$71</f>
        <v>-11121.3619</v>
      </c>
      <c r="AO200" s="125">
        <f>AH200*-Valores!$C$72</f>
        <v>0</v>
      </c>
      <c r="AP200" s="125">
        <f>AH200*Valores!$C$73</f>
        <v>-4549.64805</v>
      </c>
      <c r="AQ200" s="125">
        <f>Valores!$C$100</f>
        <v>-554.86</v>
      </c>
      <c r="AR200" s="125">
        <f>IF($F$5=0,Valores!$C$101,(Valores!$C$101+$F$5*(Valores!$C$101)))</f>
        <v>-550</v>
      </c>
      <c r="AS200" s="125">
        <f t="shared" si="24"/>
        <v>84327.42004999999</v>
      </c>
      <c r="AT200" s="125">
        <f t="shared" si="29"/>
        <v>-11121.3619</v>
      </c>
      <c r="AU200" s="125">
        <f>AH200*Valores!$C$74</f>
        <v>-2729.78883</v>
      </c>
      <c r="AV200" s="125">
        <f>AH200*Valores!$C$75</f>
        <v>-303.30987</v>
      </c>
      <c r="AW200" s="125">
        <f aca="true" t="shared" si="33" ref="AW200:AW263">AH200+AM200+SUM(AT200:AV200)</f>
        <v>86948.82939999999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41349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7989.73</v>
      </c>
      <c r="N201" s="125">
        <f t="shared" si="30"/>
        <v>0</v>
      </c>
      <c r="O201" s="125">
        <f>Valores!$C$7*B201</f>
        <v>14164.26</v>
      </c>
      <c r="P201" s="125">
        <f>ROUND(IF(B201&lt;15,(Valores!$E$5*B201),Valores!$D$5),2)</f>
        <v>14234.11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7460.969999999999</v>
      </c>
      <c r="S201" s="125">
        <f>Valores!$C$18*B201</f>
        <v>4454.89</v>
      </c>
      <c r="T201" s="125">
        <f t="shared" si="25"/>
        <v>4454.89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14263.480000000001</v>
      </c>
      <c r="AA201" s="125">
        <f>IF((Valores!$C$28)*B201&gt;Valores!$F$28,Valores!$F$28,(Valores!$C$28)*B201)</f>
        <v>349.90999999999997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291.39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</f>
        <v>6655.88</v>
      </c>
      <c r="AH201" s="125">
        <f aca="true" t="shared" si="34" ref="AH201:AH264">SUM(F201,H201,J201,L201,M201,N201,O201,P201,Q201,R201,T201,U201,V201,X201,Y201,Z201,AA201,AC201,AD201,AF201,AG201)</f>
        <v>111213.62000000001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0</v>
      </c>
      <c r="AL201" s="125">
        <f>IF($F$3="NO",0,IF(Valores!$C$61*B201&gt;Valores!$F$61,Valores!$F$61,Valores!$C$61*B201))</f>
        <v>0</v>
      </c>
      <c r="AM201" s="125">
        <f t="shared" si="32"/>
        <v>0</v>
      </c>
      <c r="AN201" s="125">
        <f>AH201*Valores!$C$71</f>
        <v>-12233.498200000002</v>
      </c>
      <c r="AO201" s="125">
        <f>AH201*-Valores!$C$72</f>
        <v>0</v>
      </c>
      <c r="AP201" s="125">
        <f>AH201*Valores!$C$73</f>
        <v>-5004.6129</v>
      </c>
      <c r="AQ201" s="125">
        <f>Valores!$C$100</f>
        <v>-554.86</v>
      </c>
      <c r="AR201" s="125">
        <f>IF($F$5=0,Valores!$C$101,(Valores!$C$101+$F$5*(Valores!$C$101)))</f>
        <v>-550</v>
      </c>
      <c r="AS201" s="125">
        <f aca="true" t="shared" si="35" ref="AS201:AS264">AH201+SUM(AM201:AR201)</f>
        <v>92870.6489</v>
      </c>
      <c r="AT201" s="125">
        <f t="shared" si="29"/>
        <v>-12233.498200000002</v>
      </c>
      <c r="AU201" s="125">
        <f>AH201*Valores!$C$74</f>
        <v>-3002.7677400000002</v>
      </c>
      <c r="AV201" s="125">
        <f>AH201*Valores!$C$75</f>
        <v>-333.64086000000003</v>
      </c>
      <c r="AW201" s="125">
        <f t="shared" si="33"/>
        <v>95643.71320000001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45108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8716.07</v>
      </c>
      <c r="N202" s="125">
        <f t="shared" si="30"/>
        <v>0</v>
      </c>
      <c r="O202" s="125">
        <f>Valores!$C$7*B202</f>
        <v>15451.920000000002</v>
      </c>
      <c r="P202" s="125">
        <f>ROUND(IF(B202&lt;15,(Valores!$E$5*B202),Valores!$D$5),2)</f>
        <v>15528.12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8139.24</v>
      </c>
      <c r="S202" s="125">
        <f>Valores!$C$18*B202</f>
        <v>4859.88</v>
      </c>
      <c r="T202" s="125">
        <f t="shared" si="25"/>
        <v>4859.88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15560.16</v>
      </c>
      <c r="AA202" s="125">
        <f>IF((Valores!$C$28)*B202&gt;Valores!$F$28,Valores!$F$28,(Valores!$C$28)*B202)</f>
        <v>381.71999999999997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317.88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</f>
        <v>7260.960000000001</v>
      </c>
      <c r="AH202" s="125">
        <f t="shared" si="34"/>
        <v>121323.95000000003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0</v>
      </c>
      <c r="AL202" s="125">
        <f>IF($F$3="NO",0,IF(Valores!$C$61*B202&gt;Valores!$F$61,Valores!$F$61,Valores!$C$61*B202))</f>
        <v>0</v>
      </c>
      <c r="AM202" s="125">
        <f t="shared" si="32"/>
        <v>0</v>
      </c>
      <c r="AN202" s="125">
        <f>AH202*Valores!$C$71</f>
        <v>-13345.634500000004</v>
      </c>
      <c r="AO202" s="125">
        <f>AH202*-Valores!$C$72</f>
        <v>0</v>
      </c>
      <c r="AP202" s="125">
        <f>AH202*Valores!$C$73</f>
        <v>-5459.577750000001</v>
      </c>
      <c r="AQ202" s="125">
        <f>Valores!$C$100</f>
        <v>-554.86</v>
      </c>
      <c r="AR202" s="125">
        <f>IF($F$5=0,Valores!$C$101,(Valores!$C$101+$F$5*(Valores!$C$101)))</f>
        <v>-550</v>
      </c>
      <c r="AS202" s="125">
        <f t="shared" si="35"/>
        <v>101413.87775000001</v>
      </c>
      <c r="AT202" s="125">
        <f t="shared" si="29"/>
        <v>-13345.634500000004</v>
      </c>
      <c r="AU202" s="125">
        <f>AH202*Valores!$C$74</f>
        <v>-3275.7466500000005</v>
      </c>
      <c r="AV202" s="125">
        <f>AH202*Valores!$C$75</f>
        <v>-363.9718500000001</v>
      </c>
      <c r="AW202" s="125">
        <f t="shared" si="33"/>
        <v>104338.59700000002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48867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9442.41</v>
      </c>
      <c r="N203" s="125">
        <f t="shared" si="30"/>
        <v>0</v>
      </c>
      <c r="O203" s="125">
        <f>Valores!$C$7*B203</f>
        <v>16739.58</v>
      </c>
      <c r="P203" s="125">
        <f>ROUND(IF(B203&lt;15,(Valores!$E$5*B203),Valores!$D$5),2)</f>
        <v>16822.13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8817.51</v>
      </c>
      <c r="S203" s="125">
        <f>Valores!$C$18*B203</f>
        <v>5264.87</v>
      </c>
      <c r="T203" s="125">
        <f aca="true" t="shared" si="36" ref="T203:T266">ROUND(S203*(1+$H$2),2)</f>
        <v>5264.87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16856.84</v>
      </c>
      <c r="AA203" s="125">
        <f>IF((Valores!$C$28)*B203&gt;Valores!$F$28,Valores!$F$28,(Valores!$C$28)*B203)</f>
        <v>413.53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344.37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</f>
        <v>7866.040000000001</v>
      </c>
      <c r="AH203" s="125">
        <f t="shared" si="34"/>
        <v>131434.28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0</v>
      </c>
      <c r="AL203" s="125">
        <f>IF($F$3="NO",0,IF(Valores!$C$61*B203&gt;Valores!$F$61,Valores!$F$61,Valores!$C$61*B203))</f>
        <v>0</v>
      </c>
      <c r="AM203" s="125">
        <f t="shared" si="32"/>
        <v>0</v>
      </c>
      <c r="AN203" s="125">
        <f>AH203*Valores!$C$71</f>
        <v>-14457.7708</v>
      </c>
      <c r="AO203" s="125">
        <f>AH203*-Valores!$C$72</f>
        <v>0</v>
      </c>
      <c r="AP203" s="125">
        <f>AH203*Valores!$C$73</f>
        <v>-5914.5426</v>
      </c>
      <c r="AQ203" s="125">
        <f>Valores!$C$100</f>
        <v>-554.86</v>
      </c>
      <c r="AR203" s="125">
        <f>IF($F$5=0,Valores!$C$101,(Valores!$C$101+$F$5*(Valores!$C$101)))</f>
        <v>-550</v>
      </c>
      <c r="AS203" s="125">
        <f t="shared" si="35"/>
        <v>109957.1066</v>
      </c>
      <c r="AT203" s="125">
        <f t="shared" si="29"/>
        <v>-14457.7708</v>
      </c>
      <c r="AU203" s="125">
        <f>AH203*Valores!$C$74</f>
        <v>-3548.72556</v>
      </c>
      <c r="AV203" s="125">
        <f>AH203*Valores!$C$75</f>
        <v>-394.30284</v>
      </c>
      <c r="AW203" s="125">
        <f t="shared" si="33"/>
        <v>113033.48079999999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52626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10168.75</v>
      </c>
      <c r="N204" s="125">
        <f t="shared" si="30"/>
        <v>0</v>
      </c>
      <c r="O204" s="125">
        <f>Valores!$C$7*B204</f>
        <v>18027.24</v>
      </c>
      <c r="P204" s="125">
        <f>ROUND(IF(B204&lt;15,(Valores!$E$5*B204),Valores!$D$5),2)</f>
        <v>18116.14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9495.779999999999</v>
      </c>
      <c r="S204" s="125">
        <f>Valores!$C$18*B204</f>
        <v>5669.860000000001</v>
      </c>
      <c r="T204" s="125">
        <f t="shared" si="36"/>
        <v>5669.86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18153.52</v>
      </c>
      <c r="AA204" s="125">
        <f>IF((Valores!$C$28)*B204&gt;Valores!$F$28,Valores!$F$28,(Valores!$C$28)*B204)</f>
        <v>445.34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370.85999999999996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</f>
        <v>8471.12</v>
      </c>
      <c r="AH204" s="125">
        <f t="shared" si="34"/>
        <v>141544.61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0</v>
      </c>
      <c r="AL204" s="125">
        <f>IF($F$3="NO",0,IF(Valores!$C$61*B204&gt;Valores!$F$61,Valores!$F$61,Valores!$C$61*B204))</f>
        <v>0</v>
      </c>
      <c r="AM204" s="125">
        <f t="shared" si="32"/>
        <v>0</v>
      </c>
      <c r="AN204" s="125">
        <f>AH204*Valores!$C$71</f>
        <v>-15569.907099999999</v>
      </c>
      <c r="AO204" s="125">
        <f>AH204*-Valores!$C$72</f>
        <v>0</v>
      </c>
      <c r="AP204" s="125">
        <f>AH204*Valores!$C$73</f>
        <v>-6369.507449999999</v>
      </c>
      <c r="AQ204" s="125">
        <f>Valores!$C$100</f>
        <v>-554.86</v>
      </c>
      <c r="AR204" s="125">
        <f>IF($F$5=0,Valores!$C$101,(Valores!$C$101+$F$5*(Valores!$C$101)))</f>
        <v>-550</v>
      </c>
      <c r="AS204" s="125">
        <f t="shared" si="35"/>
        <v>118500.33544999998</v>
      </c>
      <c r="AT204" s="125">
        <f t="shared" si="29"/>
        <v>-15569.907099999999</v>
      </c>
      <c r="AU204" s="125">
        <f>AH204*Valores!$C$74</f>
        <v>-3821.7044699999997</v>
      </c>
      <c r="AV204" s="125">
        <f>AH204*Valores!$C$75</f>
        <v>-424.63383</v>
      </c>
      <c r="AW204" s="125">
        <f t="shared" si="33"/>
        <v>121728.36459999999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56385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10895.09</v>
      </c>
      <c r="N205" s="125">
        <f t="shared" si="30"/>
        <v>0</v>
      </c>
      <c r="O205" s="125">
        <f>Valores!$C$7*B205</f>
        <v>19314.9</v>
      </c>
      <c r="P205" s="125">
        <f>ROUND(IF(B205&lt;15,(Valores!$E$5*B205),Valores!$D$5),2)</f>
        <v>19410.1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10174.05</v>
      </c>
      <c r="S205" s="125">
        <f>Valores!$C$18*B205</f>
        <v>6074.85</v>
      </c>
      <c r="T205" s="125">
        <f t="shared" si="36"/>
        <v>6074.85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19450.2</v>
      </c>
      <c r="AA205" s="125">
        <f>IF((Valores!$C$28)*B205&gt;Valores!$F$28,Valores!$F$28,(Valores!$C$28)*B205)</f>
        <v>477.15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397.34999999999997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</f>
        <v>9076.2</v>
      </c>
      <c r="AH205" s="125">
        <f t="shared" si="34"/>
        <v>151654.89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0</v>
      </c>
      <c r="AL205" s="125">
        <f>IF($F$3="NO",0,IF(Valores!$C$61*B205&gt;Valores!$F$61,Valores!$F$61,Valores!$C$61*B205))</f>
        <v>0</v>
      </c>
      <c r="AM205" s="125">
        <f t="shared" si="32"/>
        <v>0</v>
      </c>
      <c r="AN205" s="125">
        <f>AH205*Valores!$C$71</f>
        <v>-16682.037900000003</v>
      </c>
      <c r="AO205" s="125">
        <f>AH205*-Valores!$C$72</f>
        <v>0</v>
      </c>
      <c r="AP205" s="125">
        <f>AH205*Valores!$C$73</f>
        <v>-6824.470050000001</v>
      </c>
      <c r="AQ205" s="125">
        <f>Valores!$C$100</f>
        <v>-554.86</v>
      </c>
      <c r="AR205" s="125">
        <f>IF($F$5=0,Valores!$C$101,(Valores!$C$101+$F$5*(Valores!$C$101)))</f>
        <v>-550</v>
      </c>
      <c r="AS205" s="125">
        <f t="shared" si="35"/>
        <v>127043.52205000001</v>
      </c>
      <c r="AT205" s="125">
        <f t="shared" si="29"/>
        <v>-16682.037900000003</v>
      </c>
      <c r="AU205" s="125">
        <f>AH205*Valores!$C$74</f>
        <v>-4094.6820300000004</v>
      </c>
      <c r="AV205" s="125">
        <f>AH205*Valores!$C$75</f>
        <v>-454.96467000000007</v>
      </c>
      <c r="AW205" s="125">
        <f t="shared" si="33"/>
        <v>130423.2054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60144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11621.42</v>
      </c>
      <c r="N206" s="125">
        <f t="shared" si="30"/>
        <v>0</v>
      </c>
      <c r="O206" s="125">
        <f>Valores!$C$7*B206</f>
        <v>20602.56</v>
      </c>
      <c r="P206" s="125">
        <f>ROUND(IF(B206&lt;15,(Valores!$E$5*B206),Valores!$D$5),2)</f>
        <v>19410.1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10852.32</v>
      </c>
      <c r="S206" s="125">
        <f>Valores!$C$18*B206</f>
        <v>6479.84</v>
      </c>
      <c r="T206" s="125">
        <f t="shared" si="36"/>
        <v>6479.84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20746.88</v>
      </c>
      <c r="AA206" s="125">
        <f>IF((Valores!$C$28)*B206&gt;Valores!$F$28,Valores!$F$28,(Valores!$C$28)*B206)</f>
        <v>508.96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423.84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</f>
        <v>9681.28</v>
      </c>
      <c r="AH206" s="125">
        <f t="shared" si="34"/>
        <v>160471.19999999998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0</v>
      </c>
      <c r="AL206" s="125">
        <f>IF($F$3="NO",0,IF(Valores!$C$61*B206&gt;Valores!$F$61,Valores!$F$61,Valores!$C$61*B206))</f>
        <v>0</v>
      </c>
      <c r="AM206" s="125">
        <f t="shared" si="32"/>
        <v>0</v>
      </c>
      <c r="AN206" s="125">
        <f>AH206*Valores!$C$71</f>
        <v>-17651.832</v>
      </c>
      <c r="AO206" s="125">
        <f>AH206*-Valores!$C$72</f>
        <v>0</v>
      </c>
      <c r="AP206" s="125">
        <f>AH206*Valores!$C$73</f>
        <v>-7221.203999999999</v>
      </c>
      <c r="AQ206" s="125">
        <f>Valores!$C$100</f>
        <v>-554.86</v>
      </c>
      <c r="AR206" s="125">
        <f>IF($F$5=0,Valores!$C$101,(Valores!$C$101+$F$5*(Valores!$C$101)))</f>
        <v>-550</v>
      </c>
      <c r="AS206" s="125">
        <f t="shared" si="35"/>
        <v>134493.30399999997</v>
      </c>
      <c r="AT206" s="125">
        <f t="shared" si="29"/>
        <v>-17651.832</v>
      </c>
      <c r="AU206" s="125">
        <f>AH206*Valores!$C$74</f>
        <v>-4332.7224</v>
      </c>
      <c r="AV206" s="125">
        <f>AH206*Valores!$C$75</f>
        <v>-481.4136</v>
      </c>
      <c r="AW206" s="125">
        <f t="shared" si="33"/>
        <v>138005.232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63903.01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12347.76</v>
      </c>
      <c r="N207" s="125">
        <f t="shared" si="30"/>
        <v>0</v>
      </c>
      <c r="O207" s="125">
        <f>Valores!$C$7*B207</f>
        <v>21890.22</v>
      </c>
      <c r="P207" s="125">
        <f>ROUND(IF(B207&lt;15,(Valores!$E$5*B207),Valores!$D$5),2)</f>
        <v>19410.1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11530.59</v>
      </c>
      <c r="S207" s="125">
        <f>Valores!$C$18*B207</f>
        <v>6884.83</v>
      </c>
      <c r="T207" s="125">
        <f t="shared" si="36"/>
        <v>6884.83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22043.56</v>
      </c>
      <c r="AA207" s="125">
        <f>IF((Valores!$C$28)*B207&gt;Valores!$F$28,Valores!$F$28,(Valores!$C$28)*B207)</f>
        <v>540.77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450.33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</f>
        <v>10286.36</v>
      </c>
      <c r="AH207" s="125">
        <f t="shared" si="34"/>
        <v>169287.52999999997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0</v>
      </c>
      <c r="AL207" s="125">
        <f>IF($F$3="NO",0,IF(Valores!$C$61*B207&gt;Valores!$F$61,Valores!$F$61,Valores!$C$61*B207))</f>
        <v>0</v>
      </c>
      <c r="AM207" s="125">
        <f t="shared" si="32"/>
        <v>0</v>
      </c>
      <c r="AN207" s="125">
        <f>AH207*Valores!$C$71</f>
        <v>-18621.628299999997</v>
      </c>
      <c r="AO207" s="125">
        <f>AH207*-Valores!$C$72</f>
        <v>0</v>
      </c>
      <c r="AP207" s="125">
        <f>AH207*Valores!$C$73</f>
        <v>-7617.938849999999</v>
      </c>
      <c r="AQ207" s="125">
        <f>Valores!$C$100</f>
        <v>-554.86</v>
      </c>
      <c r="AR207" s="125">
        <f>IF($F$5=0,Valores!$C$101,(Valores!$C$101+$F$5*(Valores!$C$101)))</f>
        <v>-550</v>
      </c>
      <c r="AS207" s="125">
        <f t="shared" si="35"/>
        <v>141943.10284999997</v>
      </c>
      <c r="AT207" s="125">
        <f t="shared" si="29"/>
        <v>-18621.628299999997</v>
      </c>
      <c r="AU207" s="125">
        <f>AH207*Valores!$C$74</f>
        <v>-4570.763309999999</v>
      </c>
      <c r="AV207" s="125">
        <f>AH207*Valores!$C$75</f>
        <v>-507.8625899999999</v>
      </c>
      <c r="AW207" s="125">
        <f t="shared" si="33"/>
        <v>145587.27579999997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67662.01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13074.1</v>
      </c>
      <c r="N208" s="125">
        <f t="shared" si="30"/>
        <v>0</v>
      </c>
      <c r="O208" s="125">
        <f>Valores!$C$7*B208</f>
        <v>23177.88</v>
      </c>
      <c r="P208" s="125">
        <f>ROUND(IF(B208&lt;15,(Valores!$E$5*B208),Valores!$D$5),2)</f>
        <v>19410.1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12208.86</v>
      </c>
      <c r="S208" s="125">
        <f>Valores!$C$18*B208</f>
        <v>7289.82</v>
      </c>
      <c r="T208" s="125">
        <f t="shared" si="36"/>
        <v>7289.82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23340.24</v>
      </c>
      <c r="AA208" s="125">
        <f>IF((Valores!$C$28)*B208&gt;Valores!$F$28,Valores!$F$28,(Valores!$C$28)*B208)</f>
        <v>572.5799999999999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476.82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</f>
        <v>10891.44</v>
      </c>
      <c r="AH208" s="125">
        <f t="shared" si="34"/>
        <v>178103.85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0</v>
      </c>
      <c r="AL208" s="125">
        <f>IF($F$3="NO",0,IF(Valores!$C$61*B208&gt;Valores!$F$61,Valores!$F$61,Valores!$C$61*B208))</f>
        <v>0</v>
      </c>
      <c r="AM208" s="125">
        <f t="shared" si="32"/>
        <v>0</v>
      </c>
      <c r="AN208" s="125">
        <f>AH208*Valores!$C$71</f>
        <v>-19591.4235</v>
      </c>
      <c r="AO208" s="125">
        <f>AH208*-Valores!$C$72</f>
        <v>0</v>
      </c>
      <c r="AP208" s="125">
        <f>AH208*Valores!$C$73</f>
        <v>-8014.67325</v>
      </c>
      <c r="AQ208" s="125">
        <f>Valores!$C$100</f>
        <v>-554.86</v>
      </c>
      <c r="AR208" s="125">
        <f>IF($F$5=0,Valores!$C$101,(Valores!$C$101+$F$5*(Valores!$C$101)))</f>
        <v>-550</v>
      </c>
      <c r="AS208" s="125">
        <f t="shared" si="35"/>
        <v>149392.89325</v>
      </c>
      <c r="AT208" s="125">
        <f t="shared" si="29"/>
        <v>-19591.4235</v>
      </c>
      <c r="AU208" s="125">
        <f>AH208*Valores!$C$74</f>
        <v>-4808.80395</v>
      </c>
      <c r="AV208" s="125">
        <f>AH208*Valores!$C$75</f>
        <v>-534.31155</v>
      </c>
      <c r="AW208" s="125">
        <f t="shared" si="33"/>
        <v>153169.31100000002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71421.01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13800.44</v>
      </c>
      <c r="N209" s="125">
        <f t="shared" si="30"/>
        <v>0</v>
      </c>
      <c r="O209" s="125">
        <f>Valores!$C$7*B209</f>
        <v>24465.54</v>
      </c>
      <c r="P209" s="125">
        <f>ROUND(IF(B209&lt;15,(Valores!$E$5*B209),Valores!$D$5),2)</f>
        <v>19410.1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12887.13</v>
      </c>
      <c r="S209" s="125">
        <f>Valores!$C$18*B209</f>
        <v>7694.81</v>
      </c>
      <c r="T209" s="125">
        <f t="shared" si="36"/>
        <v>7694.81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24636.920000000002</v>
      </c>
      <c r="AA209" s="125">
        <f>IF((Valores!$C$28)*B209&gt;Valores!$F$28,Valores!$F$28,(Valores!$C$28)*B209)</f>
        <v>604.39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503.30999999999995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</f>
        <v>11496.52</v>
      </c>
      <c r="AH209" s="125">
        <f t="shared" si="34"/>
        <v>186920.17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0</v>
      </c>
      <c r="AL209" s="125">
        <f>IF($F$3="NO",0,IF(Valores!$C$61*B209&gt;Valores!$F$61,Valores!$F$61,Valores!$C$61*B209))</f>
        <v>0</v>
      </c>
      <c r="AM209" s="125">
        <f t="shared" si="32"/>
        <v>0</v>
      </c>
      <c r="AN209" s="125">
        <f>AH209*Valores!$C$71</f>
        <v>-20561.2187</v>
      </c>
      <c r="AO209" s="125">
        <f>AH209*-Valores!$C$72</f>
        <v>0</v>
      </c>
      <c r="AP209" s="125">
        <f>AH209*Valores!$C$73</f>
        <v>-8411.407650000001</v>
      </c>
      <c r="AQ209" s="125">
        <f>Valores!$C$100</f>
        <v>-554.86</v>
      </c>
      <c r="AR209" s="125">
        <f>IF($F$5=0,Valores!$C$101,(Valores!$C$101+$F$5*(Valores!$C$101)))</f>
        <v>-550</v>
      </c>
      <c r="AS209" s="125">
        <f t="shared" si="35"/>
        <v>156842.68365000002</v>
      </c>
      <c r="AT209" s="125">
        <f t="shared" si="29"/>
        <v>-20561.2187</v>
      </c>
      <c r="AU209" s="125">
        <f>AH209*Valores!$C$74</f>
        <v>-5046.844590000001</v>
      </c>
      <c r="AV209" s="125">
        <f>AH209*Valores!$C$75</f>
        <v>-560.7605100000001</v>
      </c>
      <c r="AW209" s="125">
        <f t="shared" si="33"/>
        <v>160751.3462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75180.01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14526.78</v>
      </c>
      <c r="N210" s="125">
        <f t="shared" si="30"/>
        <v>0</v>
      </c>
      <c r="O210" s="125">
        <f>Valores!$C$7*B210</f>
        <v>25753.2</v>
      </c>
      <c r="P210" s="125">
        <f>ROUND(IF(B210&lt;15,(Valores!$E$5*B210),Valores!$D$5),2)</f>
        <v>19410.1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13565.4</v>
      </c>
      <c r="S210" s="125">
        <f>Valores!$C$18*B210</f>
        <v>8099.8</v>
      </c>
      <c r="T210" s="125">
        <f t="shared" si="36"/>
        <v>8099.8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25933.600000000002</v>
      </c>
      <c r="AA210" s="125">
        <f>IF((Valores!$C$28)*B210&gt;Valores!$F$28,Valores!$F$28,(Valores!$C$28)*B210)</f>
        <v>636.1999999999999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529.8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</f>
        <v>12101.6</v>
      </c>
      <c r="AH210" s="125">
        <f t="shared" si="34"/>
        <v>195736.49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0</v>
      </c>
      <c r="AL210" s="125">
        <f>IF($F$3="NO",0,IF(Valores!$C$61*B210&gt;Valores!$F$61,Valores!$F$61,Valores!$C$61*B210))</f>
        <v>0</v>
      </c>
      <c r="AM210" s="125">
        <f t="shared" si="32"/>
        <v>0</v>
      </c>
      <c r="AN210" s="125">
        <f>AH210*Valores!$C$71</f>
        <v>-21531.013899999998</v>
      </c>
      <c r="AO210" s="125">
        <f>AH210*-Valores!$C$72</f>
        <v>0</v>
      </c>
      <c r="AP210" s="125">
        <f>AH210*Valores!$C$73</f>
        <v>-8808.142049999999</v>
      </c>
      <c r="AQ210" s="125">
        <f>Valores!$C$100</f>
        <v>-554.86</v>
      </c>
      <c r="AR210" s="125">
        <f>IF($F$5=0,Valores!$C$101,(Valores!$C$101+$F$5*(Valores!$C$101)))</f>
        <v>-550</v>
      </c>
      <c r="AS210" s="125">
        <f t="shared" si="35"/>
        <v>164292.47405</v>
      </c>
      <c r="AT210" s="125">
        <f t="shared" si="29"/>
        <v>-21531.013899999998</v>
      </c>
      <c r="AU210" s="125">
        <f>AH210*Valores!$C$74</f>
        <v>-5284.88523</v>
      </c>
      <c r="AV210" s="125">
        <f>AH210*Valores!$C$75</f>
        <v>-587.20947</v>
      </c>
      <c r="AW210" s="125">
        <f t="shared" si="33"/>
        <v>168333.38139999998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78939.01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15253.12</v>
      </c>
      <c r="N211" s="125">
        <f t="shared" si="30"/>
        <v>0</v>
      </c>
      <c r="O211" s="125">
        <f>Valores!$C$7*B211</f>
        <v>27040.86</v>
      </c>
      <c r="P211" s="125">
        <f>ROUND(IF(B211&lt;15,(Valores!$E$5*B211),Valores!$D$5),2)</f>
        <v>19410.1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14243.67</v>
      </c>
      <c r="S211" s="125">
        <f>Valores!$C$18*B211</f>
        <v>8504.79</v>
      </c>
      <c r="T211" s="125">
        <f t="shared" si="36"/>
        <v>8504.79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27230.280000000002</v>
      </c>
      <c r="AA211" s="125">
        <f>IF((Valores!$C$28)*B211&gt;Valores!$F$28,Valores!$F$28,(Valores!$C$28)*B211)</f>
        <v>668.01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556.29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</f>
        <v>12706.68</v>
      </c>
      <c r="AH211" s="125">
        <f t="shared" si="34"/>
        <v>204552.81000000003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0</v>
      </c>
      <c r="AL211" s="125">
        <f>IF($F$3="NO",0,IF(Valores!$C$61*B211&gt;Valores!$F$61,Valores!$F$61,Valores!$C$61*B211))</f>
        <v>0</v>
      </c>
      <c r="AM211" s="125">
        <f t="shared" si="32"/>
        <v>0</v>
      </c>
      <c r="AN211" s="125">
        <f>AH211*Valores!$C$71</f>
        <v>-22500.809100000002</v>
      </c>
      <c r="AO211" s="125">
        <f>AH211*-Valores!$C$72</f>
        <v>0</v>
      </c>
      <c r="AP211" s="125">
        <f>AH211*Valores!$C$73</f>
        <v>-9204.876450000002</v>
      </c>
      <c r="AQ211" s="125">
        <f>Valores!$C$100</f>
        <v>-554.86</v>
      </c>
      <c r="AR211" s="125">
        <f>IF($F$5=0,Valores!$C$101,(Valores!$C$101+$F$5*(Valores!$C$101)))</f>
        <v>-550</v>
      </c>
      <c r="AS211" s="125">
        <f t="shared" si="35"/>
        <v>171742.26445000002</v>
      </c>
      <c r="AT211" s="125">
        <f t="shared" si="29"/>
        <v>-22500.809100000002</v>
      </c>
      <c r="AU211" s="125">
        <f>AH211*Valores!$C$74</f>
        <v>-5522.925870000001</v>
      </c>
      <c r="AV211" s="125">
        <f>AH211*Valores!$C$75</f>
        <v>-613.6584300000001</v>
      </c>
      <c r="AW211" s="125">
        <f t="shared" si="33"/>
        <v>175915.41660000003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82698.01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15979.46</v>
      </c>
      <c r="N212" s="125">
        <f t="shared" si="30"/>
        <v>0</v>
      </c>
      <c r="O212" s="125">
        <f>Valores!$C$7*B212</f>
        <v>28328.52</v>
      </c>
      <c r="P212" s="125">
        <f>ROUND(IF(B212&lt;15,(Valores!$E$5*B212),Valores!$D$5),2)</f>
        <v>19410.1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14921.939999999999</v>
      </c>
      <c r="S212" s="125">
        <f>Valores!$C$18*B212</f>
        <v>8909.78</v>
      </c>
      <c r="T212" s="125">
        <f t="shared" si="36"/>
        <v>8909.78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28526.960000000003</v>
      </c>
      <c r="AA212" s="125">
        <f>IF((Valores!$C$28)*B212&gt;Valores!$F$28,Valores!$F$28,(Valores!$C$28)*B212)</f>
        <v>699.8199999999999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582.78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</f>
        <v>13311.76</v>
      </c>
      <c r="AH212" s="125">
        <f t="shared" si="34"/>
        <v>213369.13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0</v>
      </c>
      <c r="AL212" s="125">
        <f>IF($F$3="NO",0,IF(Valores!$C$61*B212&gt;Valores!$F$61,Valores!$F$61,Valores!$C$61*B212))</f>
        <v>0</v>
      </c>
      <c r="AM212" s="125">
        <f t="shared" si="32"/>
        <v>0</v>
      </c>
      <c r="AN212" s="125">
        <f>AH212*Valores!$C$71</f>
        <v>-23470.6043</v>
      </c>
      <c r="AO212" s="125">
        <f>AH212*-Valores!$C$72</f>
        <v>0</v>
      </c>
      <c r="AP212" s="125">
        <f>AH212*Valores!$C$73</f>
        <v>-9601.61085</v>
      </c>
      <c r="AQ212" s="125">
        <f>Valores!$C$100</f>
        <v>-554.86</v>
      </c>
      <c r="AR212" s="125">
        <f>IF($F$5=0,Valores!$C$101,(Valores!$C$101+$F$5*(Valores!$C$101)))</f>
        <v>-550</v>
      </c>
      <c r="AS212" s="125">
        <f t="shared" si="35"/>
        <v>179192.05485000001</v>
      </c>
      <c r="AT212" s="125">
        <f t="shared" si="29"/>
        <v>-23470.6043</v>
      </c>
      <c r="AU212" s="125">
        <f>AH212*Valores!$C$74</f>
        <v>-5760.96651</v>
      </c>
      <c r="AV212" s="125">
        <f>AH212*Valores!$C$75</f>
        <v>-640.10739</v>
      </c>
      <c r="AW212" s="125">
        <f t="shared" si="33"/>
        <v>183497.4518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86457.01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16705.8</v>
      </c>
      <c r="N213" s="125">
        <f t="shared" si="30"/>
        <v>0</v>
      </c>
      <c r="O213" s="125">
        <f>Valores!$C$7*B213</f>
        <v>29616.18</v>
      </c>
      <c r="P213" s="125">
        <f>ROUND(IF(B213&lt;15,(Valores!$E$5*B213),Valores!$D$5),2)</f>
        <v>19410.1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15600.21</v>
      </c>
      <c r="S213" s="125">
        <f>Valores!$C$18*B213</f>
        <v>9314.77</v>
      </c>
      <c r="T213" s="125">
        <f t="shared" si="36"/>
        <v>9314.77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29823.640000000003</v>
      </c>
      <c r="AA213" s="125">
        <f>IF((Valores!$C$28)*B213&gt;Valores!$F$28,Valores!$F$28,(Valores!$C$28)*B213)</f>
        <v>731.63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609.27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</f>
        <v>13916.84</v>
      </c>
      <c r="AH213" s="125">
        <f t="shared" si="34"/>
        <v>222185.44999999998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0</v>
      </c>
      <c r="AL213" s="125">
        <f>IF($F$3="NO",0,IF(Valores!$C$61*B213&gt;Valores!$F$61,Valores!$F$61,Valores!$C$61*B213))</f>
        <v>0</v>
      </c>
      <c r="AM213" s="125">
        <f t="shared" si="32"/>
        <v>0</v>
      </c>
      <c r="AN213" s="125">
        <f>AH213*Valores!$C$71</f>
        <v>-24440.3995</v>
      </c>
      <c r="AO213" s="125">
        <f>AH213*-Valores!$C$72</f>
        <v>0</v>
      </c>
      <c r="AP213" s="125">
        <f>AH213*Valores!$C$73</f>
        <v>-9998.345249999998</v>
      </c>
      <c r="AQ213" s="125">
        <f>Valores!$C$100</f>
        <v>-554.86</v>
      </c>
      <c r="AR213" s="125">
        <f>IF($F$5=0,Valores!$C$101,(Valores!$C$101+$F$5*(Valores!$C$101)))</f>
        <v>-550</v>
      </c>
      <c r="AS213" s="125">
        <f t="shared" si="35"/>
        <v>186641.84524999998</v>
      </c>
      <c r="AT213" s="125">
        <f t="shared" si="29"/>
        <v>-24440.3995</v>
      </c>
      <c r="AU213" s="125">
        <f>AH213*Valores!$C$74</f>
        <v>-5999.0071499999995</v>
      </c>
      <c r="AV213" s="125">
        <f>AH213*Valores!$C$75</f>
        <v>-666.55635</v>
      </c>
      <c r="AW213" s="125">
        <f t="shared" si="33"/>
        <v>191079.487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90216.01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17432.14</v>
      </c>
      <c r="N214" s="125">
        <f t="shared" si="30"/>
        <v>0</v>
      </c>
      <c r="O214" s="125">
        <f>Valores!$C$7*B214</f>
        <v>30903.840000000004</v>
      </c>
      <c r="P214" s="125">
        <f>ROUND(IF(B214&lt;15,(Valores!$E$5*B214),Valores!$D$5),2)</f>
        <v>19410.1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16278.48</v>
      </c>
      <c r="S214" s="125">
        <f>Valores!$C$18*B214</f>
        <v>9719.76</v>
      </c>
      <c r="T214" s="125">
        <f t="shared" si="36"/>
        <v>9719.76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31120.32</v>
      </c>
      <c r="AA214" s="125">
        <f>IF((Valores!$C$28)*B214&gt;Valores!$F$28,Valores!$F$28,(Valores!$C$28)*B214)</f>
        <v>763.4399999999999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635.76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</f>
        <v>14521.920000000002</v>
      </c>
      <c r="AH214" s="125">
        <f t="shared" si="34"/>
        <v>231001.77000000005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0</v>
      </c>
      <c r="AL214" s="125">
        <f>IF($F$3="NO",0,IF(Valores!$C$61*B214&gt;Valores!$F$61,Valores!$F$61,Valores!$C$61*B214))</f>
        <v>0</v>
      </c>
      <c r="AM214" s="125">
        <f t="shared" si="32"/>
        <v>0</v>
      </c>
      <c r="AN214" s="125">
        <f>AH214*Valores!$C$71</f>
        <v>-25410.194700000004</v>
      </c>
      <c r="AO214" s="125">
        <f>AH214*-Valores!$C$72</f>
        <v>0</v>
      </c>
      <c r="AP214" s="125">
        <f>AH214*Valores!$C$73</f>
        <v>-10395.079650000001</v>
      </c>
      <c r="AQ214" s="125">
        <f>Valores!$C$100</f>
        <v>-554.86</v>
      </c>
      <c r="AR214" s="125">
        <f>IF($F$5=0,Valores!$C$101,(Valores!$C$101+$F$5*(Valores!$C$101)))</f>
        <v>-550</v>
      </c>
      <c r="AS214" s="125">
        <f t="shared" si="35"/>
        <v>194091.63565000004</v>
      </c>
      <c r="AT214" s="125">
        <f t="shared" si="29"/>
        <v>-25410.194700000004</v>
      </c>
      <c r="AU214" s="125">
        <f>AH214*Valores!$C$74</f>
        <v>-6237.047790000001</v>
      </c>
      <c r="AV214" s="125">
        <f>AH214*Valores!$C$75</f>
        <v>-693.0053100000001</v>
      </c>
      <c r="AW214" s="125">
        <f t="shared" si="33"/>
        <v>198661.52220000004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93975.01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18158.48</v>
      </c>
      <c r="N215" s="125">
        <f t="shared" si="30"/>
        <v>0</v>
      </c>
      <c r="O215" s="125">
        <f>Valores!$C$7*B215</f>
        <v>32191.500000000004</v>
      </c>
      <c r="P215" s="125">
        <f>ROUND(IF(B215&lt;15,(Valores!$E$5*B215),Valores!$D$5),2)</f>
        <v>19410.1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16956.75</v>
      </c>
      <c r="S215" s="125">
        <f>Valores!$C$18*B215</f>
        <v>10124.75</v>
      </c>
      <c r="T215" s="125">
        <f t="shared" si="36"/>
        <v>10124.75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32417</v>
      </c>
      <c r="AA215" s="125">
        <f>IF((Valores!$C$28)*B215&gt;Valores!$F$28,Valores!$F$28,(Valores!$C$28)*B215)</f>
        <v>795.25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662.25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</f>
        <v>15127.000000000002</v>
      </c>
      <c r="AH215" s="125">
        <f t="shared" si="34"/>
        <v>239818.09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0</v>
      </c>
      <c r="AL215" s="125">
        <f>IF($F$3="NO",0,IF(Valores!$C$61*B215&gt;Valores!$F$61,Valores!$F$61,Valores!$C$61*B215))</f>
        <v>0</v>
      </c>
      <c r="AM215" s="125">
        <f t="shared" si="32"/>
        <v>0</v>
      </c>
      <c r="AN215" s="125">
        <f>AH215*Valores!$C$71</f>
        <v>-26379.9899</v>
      </c>
      <c r="AO215" s="125">
        <f>AH215*-Valores!$C$72</f>
        <v>0</v>
      </c>
      <c r="AP215" s="125">
        <f>AH215*Valores!$C$73</f>
        <v>-10791.814049999999</v>
      </c>
      <c r="AQ215" s="125">
        <f>Valores!$C$100</f>
        <v>-554.86</v>
      </c>
      <c r="AR215" s="125">
        <f>IF($F$5=0,Valores!$C$101,(Valores!$C$101+$F$5*(Valores!$C$101)))</f>
        <v>-550</v>
      </c>
      <c r="AS215" s="125">
        <f t="shared" si="35"/>
        <v>201541.42605</v>
      </c>
      <c r="AT215" s="125">
        <f t="shared" si="29"/>
        <v>-26379.9899</v>
      </c>
      <c r="AU215" s="125">
        <f>AH215*Valores!$C$74</f>
        <v>-6475.08843</v>
      </c>
      <c r="AV215" s="125">
        <f>AH215*Valores!$C$75</f>
        <v>-719.45427</v>
      </c>
      <c r="AW215" s="125">
        <f t="shared" si="33"/>
        <v>206243.5574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97734.01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18884.82</v>
      </c>
      <c r="N216" s="125">
        <f t="shared" si="30"/>
        <v>0</v>
      </c>
      <c r="O216" s="125">
        <f>Valores!$C$7*B216</f>
        <v>33479.16</v>
      </c>
      <c r="P216" s="125">
        <f>ROUND(IF(B216&lt;15,(Valores!$E$5*B216),Valores!$D$5),2)</f>
        <v>19410.1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17635.02</v>
      </c>
      <c r="S216" s="125">
        <f>Valores!$C$18*B216</f>
        <v>10529.74</v>
      </c>
      <c r="T216" s="125">
        <f t="shared" si="36"/>
        <v>10529.74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33713.68</v>
      </c>
      <c r="AA216" s="125">
        <f>IF((Valores!$C$28)*B216&gt;Valores!$F$28,Valores!$F$28,(Valores!$C$28)*B216)</f>
        <v>827.06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688.74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</f>
        <v>15732.080000000002</v>
      </c>
      <c r="AH216" s="125">
        <f t="shared" si="34"/>
        <v>248634.40999999997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0</v>
      </c>
      <c r="AL216" s="125">
        <f>IF($F$3="NO",0,IF(Valores!$C$61*B216&gt;Valores!$F$61,Valores!$F$61,Valores!$C$61*B216))</f>
        <v>0</v>
      </c>
      <c r="AM216" s="125">
        <f t="shared" si="32"/>
        <v>0</v>
      </c>
      <c r="AN216" s="125">
        <f>AH216*Valores!$C$71</f>
        <v>-27349.785099999997</v>
      </c>
      <c r="AO216" s="125">
        <f>AH216*-Valores!$C$72</f>
        <v>0</v>
      </c>
      <c r="AP216" s="125">
        <f>AH216*Valores!$C$73</f>
        <v>-11188.548449999998</v>
      </c>
      <c r="AQ216" s="125">
        <f>Valores!$C$100</f>
        <v>-554.86</v>
      </c>
      <c r="AR216" s="125">
        <f>IF($F$5=0,Valores!$C$101,(Valores!$C$101+$F$5*(Valores!$C$101)))</f>
        <v>-550</v>
      </c>
      <c r="AS216" s="125">
        <f t="shared" si="35"/>
        <v>208991.21644999998</v>
      </c>
      <c r="AT216" s="125">
        <f t="shared" si="29"/>
        <v>-27349.785099999997</v>
      </c>
      <c r="AU216" s="125">
        <f>AH216*Valores!$C$74</f>
        <v>-6713.129069999999</v>
      </c>
      <c r="AV216" s="125">
        <f>AH216*Valores!$C$75</f>
        <v>-745.9032299999999</v>
      </c>
      <c r="AW216" s="125">
        <f t="shared" si="33"/>
        <v>213825.59259999997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101493.01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19611.15</v>
      </c>
      <c r="N217" s="125">
        <f t="shared" si="30"/>
        <v>0</v>
      </c>
      <c r="O217" s="125">
        <f>Valores!$C$7*B217</f>
        <v>34766.82</v>
      </c>
      <c r="P217" s="125">
        <f>ROUND(IF(B217&lt;15,(Valores!$E$5*B217),Valores!$D$5),2)</f>
        <v>19410.1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18313.29</v>
      </c>
      <c r="S217" s="125">
        <f>Valores!$C$18*B217</f>
        <v>10934.73</v>
      </c>
      <c r="T217" s="125">
        <f t="shared" si="36"/>
        <v>10934.73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35010.36</v>
      </c>
      <c r="AA217" s="125">
        <f>IF((Valores!$C$28)*B217&gt;Valores!$F$28,Valores!$F$28,(Valores!$C$28)*B217)</f>
        <v>858.87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715.2299999999999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</f>
        <v>16337.160000000002</v>
      </c>
      <c r="AH217" s="125">
        <f t="shared" si="34"/>
        <v>257450.72000000003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0</v>
      </c>
      <c r="AL217" s="125">
        <f>IF($F$3="NO",0,IF(Valores!$C$61*B217&gt;Valores!$F$61,Valores!$F$61,Valores!$C$61*B217))</f>
        <v>0</v>
      </c>
      <c r="AM217" s="125">
        <f t="shared" si="32"/>
        <v>0</v>
      </c>
      <c r="AN217" s="125">
        <f>AH217*Valores!$C$71</f>
        <v>-28319.579200000004</v>
      </c>
      <c r="AO217" s="125">
        <f>AH217*-Valores!$C$72</f>
        <v>0</v>
      </c>
      <c r="AP217" s="125">
        <f>AH217*Valores!$C$73</f>
        <v>-11585.2824</v>
      </c>
      <c r="AQ217" s="125">
        <f>Valores!$C$100</f>
        <v>-554.86</v>
      </c>
      <c r="AR217" s="125">
        <f>IF($F$5=0,Valores!$C$101,(Valores!$C$101+$F$5*(Valores!$C$101)))</f>
        <v>-550</v>
      </c>
      <c r="AS217" s="125">
        <f t="shared" si="35"/>
        <v>216440.99840000004</v>
      </c>
      <c r="AT217" s="125">
        <f t="shared" si="29"/>
        <v>-28319.579200000004</v>
      </c>
      <c r="AU217" s="125">
        <f>AH217*Valores!$C$74</f>
        <v>-6951.169440000001</v>
      </c>
      <c r="AV217" s="125">
        <f>AH217*Valores!$C$75</f>
        <v>-772.3521600000001</v>
      </c>
      <c r="AW217" s="125">
        <f t="shared" si="33"/>
        <v>221407.61920000002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105252.01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20337.49</v>
      </c>
      <c r="N218" s="125">
        <f t="shared" si="30"/>
        <v>0</v>
      </c>
      <c r="O218" s="125">
        <f>Valores!$C$7*B218</f>
        <v>36054.48</v>
      </c>
      <c r="P218" s="125">
        <f>ROUND(IF(B218&lt;15,(Valores!$E$5*B218),Valores!$D$5),2)</f>
        <v>19410.1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18991.559999999998</v>
      </c>
      <c r="S218" s="125">
        <f>Valores!$C$18*B218</f>
        <v>11339.720000000001</v>
      </c>
      <c r="T218" s="125">
        <f t="shared" si="36"/>
        <v>11339.72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36307.04</v>
      </c>
      <c r="AA218" s="125">
        <f>IF((Valores!$C$28)*B218&gt;Valores!$F$28,Valores!$F$28,(Valores!$C$28)*B218)</f>
        <v>890.68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741.7199999999999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</f>
        <v>16942.24</v>
      </c>
      <c r="AH218" s="125">
        <f t="shared" si="34"/>
        <v>266267.04000000004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0</v>
      </c>
      <c r="AL218" s="125">
        <f>IF($F$3="NO",0,IF(Valores!$C$61*B218&gt;Valores!$F$61,Valores!$F$61,Valores!$C$61*B218))</f>
        <v>0</v>
      </c>
      <c r="AM218" s="125">
        <f t="shared" si="32"/>
        <v>0</v>
      </c>
      <c r="AN218" s="125">
        <f>AH218*Valores!$C$71</f>
        <v>-29289.374400000004</v>
      </c>
      <c r="AO218" s="125">
        <f>AH218*-Valores!$C$72</f>
        <v>0</v>
      </c>
      <c r="AP218" s="125">
        <f>AH218*Valores!$C$73</f>
        <v>-11982.016800000001</v>
      </c>
      <c r="AQ218" s="125">
        <f>Valores!$C$100</f>
        <v>-554.86</v>
      </c>
      <c r="AR218" s="125">
        <f>IF($F$5=0,Valores!$C$101,(Valores!$C$101+$F$5*(Valores!$C$101)))</f>
        <v>-550</v>
      </c>
      <c r="AS218" s="125">
        <f t="shared" si="35"/>
        <v>223890.78880000004</v>
      </c>
      <c r="AT218" s="125">
        <f t="shared" si="29"/>
        <v>-29289.374400000004</v>
      </c>
      <c r="AU218" s="125">
        <f>AH218*Valores!$C$74</f>
        <v>-7189.210080000001</v>
      </c>
      <c r="AV218" s="125">
        <f>AH218*Valores!$C$75</f>
        <v>-798.8011200000001</v>
      </c>
      <c r="AW218" s="125">
        <f t="shared" si="33"/>
        <v>228989.65440000003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109011.01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21063.83</v>
      </c>
      <c r="N219" s="125">
        <f t="shared" si="30"/>
        <v>0</v>
      </c>
      <c r="O219" s="125">
        <f>Valores!$C$7*B219</f>
        <v>37342.14</v>
      </c>
      <c r="P219" s="125">
        <f>ROUND(IF(B219&lt;15,(Valores!$E$5*B219),Valores!$D$5),2)</f>
        <v>19410.1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19669.829999999998</v>
      </c>
      <c r="S219" s="125">
        <f>Valores!$C$18*B219</f>
        <v>11744.710000000001</v>
      </c>
      <c r="T219" s="125">
        <f t="shared" si="36"/>
        <v>11744.71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37603.72</v>
      </c>
      <c r="AA219" s="125">
        <f>IF((Valores!$C$28)*B219&gt;Valores!$F$28,Valores!$F$28,(Valores!$C$28)*B219)</f>
        <v>922.49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768.2099999999999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</f>
        <v>17547.32</v>
      </c>
      <c r="AH219" s="125">
        <f t="shared" si="34"/>
        <v>275083.3599999999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0</v>
      </c>
      <c r="AL219" s="125">
        <f>IF($F$3="NO",0,IF(Valores!$C$61*B219&gt;Valores!$F$61,Valores!$F$61,Valores!$C$61*B219))</f>
        <v>0</v>
      </c>
      <c r="AM219" s="125">
        <f t="shared" si="32"/>
        <v>0</v>
      </c>
      <c r="AN219" s="125">
        <f>AH219*Valores!$C$71</f>
        <v>-30259.169599999994</v>
      </c>
      <c r="AO219" s="125">
        <f>AH219*-Valores!$C$72</f>
        <v>0</v>
      </c>
      <c r="AP219" s="125">
        <f>AH219*Valores!$C$73</f>
        <v>-12378.751199999997</v>
      </c>
      <c r="AQ219" s="125">
        <f>Valores!$C$100</f>
        <v>-554.86</v>
      </c>
      <c r="AR219" s="125">
        <f>IF($F$5=0,Valores!$C$101,(Valores!$C$101+$F$5*(Valores!$C$101)))</f>
        <v>-550</v>
      </c>
      <c r="AS219" s="125">
        <f t="shared" si="35"/>
        <v>231340.57919999992</v>
      </c>
      <c r="AT219" s="125">
        <f t="shared" si="29"/>
        <v>-30259.169599999994</v>
      </c>
      <c r="AU219" s="125">
        <f>AH219*Valores!$C$74</f>
        <v>-7427.250719999998</v>
      </c>
      <c r="AV219" s="125">
        <f>AH219*Valores!$C$75</f>
        <v>-825.2500799999998</v>
      </c>
      <c r="AW219" s="125">
        <f t="shared" si="33"/>
        <v>236571.68959999993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112770.01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21790.17</v>
      </c>
      <c r="N220" s="125">
        <f t="shared" si="30"/>
        <v>0</v>
      </c>
      <c r="O220" s="125">
        <f>Valores!$C$7*B220</f>
        <v>38629.8</v>
      </c>
      <c r="P220" s="125">
        <f>ROUND(IF(B220&lt;15,(Valores!$E$5*B220),Valores!$D$5),2)</f>
        <v>19410.1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20348.1</v>
      </c>
      <c r="S220" s="125">
        <f>Valores!$C$18*B220</f>
        <v>12149.7</v>
      </c>
      <c r="T220" s="125">
        <f t="shared" si="36"/>
        <v>12149.7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38900.4</v>
      </c>
      <c r="AA220" s="125">
        <f>IF((Valores!$C$28)*B220&gt;Valores!$F$28,Valores!$F$28,(Valores!$C$28)*B220)</f>
        <v>954.3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793.88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18152.34</v>
      </c>
      <c r="AH220" s="125">
        <f t="shared" si="34"/>
        <v>283898.80000000005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0</v>
      </c>
      <c r="AL220" s="125">
        <f>IF($F$3="NO",0,IF(Valores!$C$61*B220&gt;Valores!$F$61,Valores!$F$61,Valores!$C$61*B220))</f>
        <v>0</v>
      </c>
      <c r="AM220" s="125">
        <f t="shared" si="32"/>
        <v>0</v>
      </c>
      <c r="AN220" s="125">
        <f>AH220*Valores!$C$71</f>
        <v>-31228.868000000006</v>
      </c>
      <c r="AO220" s="125">
        <f>AH220*-Valores!$C$72</f>
        <v>0</v>
      </c>
      <c r="AP220" s="125">
        <f>AH220*Valores!$C$73</f>
        <v>-12775.446000000002</v>
      </c>
      <c r="AQ220" s="125">
        <f>Valores!$C$100</f>
        <v>-554.86</v>
      </c>
      <c r="AR220" s="125">
        <f>IF($F$5=0,Valores!$C$101,(Valores!$C$101+$F$5*(Valores!$C$101)))</f>
        <v>-550</v>
      </c>
      <c r="AS220" s="125">
        <f t="shared" si="35"/>
        <v>238789.62600000005</v>
      </c>
      <c r="AT220" s="125">
        <f t="shared" si="29"/>
        <v>-31228.868000000006</v>
      </c>
      <c r="AU220" s="125">
        <f>AH220*Valores!$C$74</f>
        <v>-7665.267600000001</v>
      </c>
      <c r="AV220" s="125">
        <f>AH220*Valores!$C$75</f>
        <v>-851.6964000000002</v>
      </c>
      <c r="AW220" s="125">
        <f t="shared" si="33"/>
        <v>244152.96800000005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116529.01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22516.51</v>
      </c>
      <c r="N221" s="125">
        <f t="shared" si="30"/>
        <v>0</v>
      </c>
      <c r="O221" s="125">
        <f>Valores!$C$7*B221</f>
        <v>39917.46</v>
      </c>
      <c r="P221" s="125">
        <f>ROUND(IF(B221&lt;15,(Valores!$E$5*B221),Valores!$D$5),2)</f>
        <v>19410.1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21026.37</v>
      </c>
      <c r="S221" s="125">
        <f>Valores!$C$18*B221</f>
        <v>12554.69</v>
      </c>
      <c r="T221" s="125">
        <f t="shared" si="36"/>
        <v>12554.69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40197.08</v>
      </c>
      <c r="AA221" s="125">
        <f>IF((Valores!$C$28)*B221&gt;Valores!$F$28,Valores!$F$28,(Valores!$C$28)*B221)</f>
        <v>986.11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793.88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18152.34</v>
      </c>
      <c r="AH221" s="125">
        <f t="shared" si="34"/>
        <v>292083.55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0</v>
      </c>
      <c r="AL221" s="125">
        <f>IF($F$3="NO",0,IF(Valores!$C$61*B221&gt;Valores!$F$61,Valores!$F$61,Valores!$C$61*B221))</f>
        <v>0</v>
      </c>
      <c r="AM221" s="125">
        <f t="shared" si="32"/>
        <v>0</v>
      </c>
      <c r="AN221" s="125">
        <f>AH221*Valores!$C$71</f>
        <v>-32129.1905</v>
      </c>
      <c r="AO221" s="125">
        <f>AH221*-Valores!$C$72</f>
        <v>0</v>
      </c>
      <c r="AP221" s="125">
        <f>AH221*Valores!$C$73</f>
        <v>-13143.75975</v>
      </c>
      <c r="AQ221" s="125">
        <f>Valores!$C$100</f>
        <v>-554.86</v>
      </c>
      <c r="AR221" s="125">
        <f>IF($F$5=0,Valores!$C$101,(Valores!$C$101+$F$5*(Valores!$C$101)))</f>
        <v>-550</v>
      </c>
      <c r="AS221" s="125">
        <f t="shared" si="35"/>
        <v>245705.73974999998</v>
      </c>
      <c r="AT221" s="125">
        <f t="shared" si="29"/>
        <v>-32129.1905</v>
      </c>
      <c r="AU221" s="125">
        <f>AH221*Valores!$C$74</f>
        <v>-7886.25585</v>
      </c>
      <c r="AV221" s="125">
        <f>AH221*Valores!$C$75</f>
        <v>-876.25065</v>
      </c>
      <c r="AW221" s="125">
        <f t="shared" si="33"/>
        <v>251191.853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120288.01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23242.85</v>
      </c>
      <c r="N222" s="125">
        <f t="shared" si="30"/>
        <v>0</v>
      </c>
      <c r="O222" s="125">
        <f>Valores!$C$7*B222</f>
        <v>41205.12</v>
      </c>
      <c r="P222" s="125">
        <f>ROUND(IF(B222&lt;15,(Valores!$E$5*B222),Valores!$D$5),2)</f>
        <v>19410.1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21704.64</v>
      </c>
      <c r="S222" s="125">
        <f>Valores!$C$18*B222</f>
        <v>12959.68</v>
      </c>
      <c r="T222" s="125">
        <f t="shared" si="36"/>
        <v>12959.68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41493.76</v>
      </c>
      <c r="AA222" s="125">
        <f>IF((Valores!$C$28)*B222&gt;Valores!$F$28,Valores!$F$28,(Valores!$C$28)*B222)</f>
        <v>1017.92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793.88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18152.34</v>
      </c>
      <c r="AH222" s="125">
        <f t="shared" si="34"/>
        <v>300268.3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0</v>
      </c>
      <c r="AL222" s="125">
        <f>IF($F$3="NO",0,IF(Valores!$C$61*B222&gt;Valores!$F$61,Valores!$F$61,Valores!$C$61*B222))</f>
        <v>0</v>
      </c>
      <c r="AM222" s="125">
        <f t="shared" si="32"/>
        <v>0</v>
      </c>
      <c r="AN222" s="125">
        <f>AH222*Valores!$C$71</f>
        <v>-33029.513</v>
      </c>
      <c r="AO222" s="125">
        <f>AH222*-Valores!$C$72</f>
        <v>0</v>
      </c>
      <c r="AP222" s="125">
        <f>AH222*Valores!$C$73</f>
        <v>-13512.073499999999</v>
      </c>
      <c r="AQ222" s="125">
        <f>Valores!$C$100</f>
        <v>-554.86</v>
      </c>
      <c r="AR222" s="125">
        <f>IF($F$5=0,Valores!$C$101,(Valores!$C$101+$F$5*(Valores!$C$101)))</f>
        <v>-550</v>
      </c>
      <c r="AS222" s="125">
        <f t="shared" si="35"/>
        <v>252621.8535</v>
      </c>
      <c r="AT222" s="125">
        <f t="shared" si="29"/>
        <v>-33029.513</v>
      </c>
      <c r="AU222" s="125">
        <f>AH222*Valores!$C$74</f>
        <v>-8107.2441</v>
      </c>
      <c r="AV222" s="125">
        <f>AH222*Valores!$C$75</f>
        <v>-900.8049</v>
      </c>
      <c r="AW222" s="125">
        <f t="shared" si="33"/>
        <v>258230.73799999998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124047.01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23969.19</v>
      </c>
      <c r="N223" s="125">
        <f t="shared" si="30"/>
        <v>0</v>
      </c>
      <c r="O223" s="125">
        <f>Valores!$C$7*B223</f>
        <v>42492.780000000006</v>
      </c>
      <c r="P223" s="125">
        <f>ROUND(IF(B223&lt;15,(Valores!$E$5*B223),Valores!$D$5),2)</f>
        <v>19410.1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22382.91</v>
      </c>
      <c r="S223" s="125">
        <f>Valores!$C$18*B223</f>
        <v>13364.67</v>
      </c>
      <c r="T223" s="125">
        <f t="shared" si="36"/>
        <v>13364.67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42790.44</v>
      </c>
      <c r="AA223" s="125">
        <f>IF((Valores!$C$28)*B223&gt;Valores!$F$28,Valores!$F$28,(Valores!$C$28)*B223)</f>
        <v>1049.73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793.88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18152.34</v>
      </c>
      <c r="AH223" s="125">
        <f t="shared" si="34"/>
        <v>308453.05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0</v>
      </c>
      <c r="AL223" s="125">
        <f>IF($F$3="NO",0,IF(Valores!$C$61*B223&gt;Valores!$F$61,Valores!$F$61,Valores!$C$61*B223))</f>
        <v>0</v>
      </c>
      <c r="AM223" s="125">
        <f t="shared" si="32"/>
        <v>0</v>
      </c>
      <c r="AN223" s="125">
        <f>AH223*Valores!$C$71</f>
        <v>-33929.8355</v>
      </c>
      <c r="AO223" s="125">
        <f>AH223*-Valores!$C$72</f>
        <v>0</v>
      </c>
      <c r="AP223" s="125">
        <f>AH223*Valores!$C$73</f>
        <v>-13880.38725</v>
      </c>
      <c r="AQ223" s="125">
        <f>Valores!$C$100</f>
        <v>-554.86</v>
      </c>
      <c r="AR223" s="125">
        <f>IF($F$5=0,Valores!$C$101,(Valores!$C$101+$F$5*(Valores!$C$101)))</f>
        <v>-550</v>
      </c>
      <c r="AS223" s="125">
        <f t="shared" si="35"/>
        <v>259537.96725</v>
      </c>
      <c r="AT223" s="125">
        <f t="shared" si="29"/>
        <v>-33929.8355</v>
      </c>
      <c r="AU223" s="125">
        <f>AH223*Valores!$C$74</f>
        <v>-8328.23235</v>
      </c>
      <c r="AV223" s="125">
        <f>AH223*Valores!$C$75</f>
        <v>-925.35915</v>
      </c>
      <c r="AW223" s="125">
        <f t="shared" si="33"/>
        <v>265269.623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127806.01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24695.53</v>
      </c>
      <c r="N224" s="125">
        <f t="shared" si="30"/>
        <v>0</v>
      </c>
      <c r="O224" s="125">
        <f>Valores!$C$7*B224</f>
        <v>43780.44</v>
      </c>
      <c r="P224" s="125">
        <f>ROUND(IF(B224&lt;15,(Valores!$E$5*B224),Valores!$D$5),2)</f>
        <v>19410.1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23061.18</v>
      </c>
      <c r="S224" s="125">
        <f>Valores!$C$18*B224</f>
        <v>13769.66</v>
      </c>
      <c r="T224" s="125">
        <f t="shared" si="36"/>
        <v>13769.66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44087.12</v>
      </c>
      <c r="AA224" s="125">
        <f>IF((Valores!$C$28)*B224&gt;Valores!$F$28,Valores!$F$28,(Valores!$C$28)*B224)</f>
        <v>1081.54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793.88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18152.34</v>
      </c>
      <c r="AH224" s="125">
        <f t="shared" si="34"/>
        <v>316637.8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0</v>
      </c>
      <c r="AL224" s="125">
        <f>IF($F$3="NO",0,IF(Valores!$C$61*B224&gt;Valores!$F$61,Valores!$F$61,Valores!$C$61*B224))</f>
        <v>0</v>
      </c>
      <c r="AM224" s="125">
        <f t="shared" si="32"/>
        <v>0</v>
      </c>
      <c r="AN224" s="125">
        <f>AH224*Valores!$C$71</f>
        <v>-34830.157999999996</v>
      </c>
      <c r="AO224" s="125">
        <f>AH224*-Valores!$C$72</f>
        <v>0</v>
      </c>
      <c r="AP224" s="125">
        <f>AH224*Valores!$C$73</f>
        <v>-14248.701</v>
      </c>
      <c r="AQ224" s="125">
        <f>Valores!$C$100</f>
        <v>-554.86</v>
      </c>
      <c r="AR224" s="125">
        <f>IF($F$5=0,Valores!$C$101,(Valores!$C$101+$F$5*(Valores!$C$101)))</f>
        <v>-550</v>
      </c>
      <c r="AS224" s="125">
        <f t="shared" si="35"/>
        <v>266454.081</v>
      </c>
      <c r="AT224" s="125">
        <f t="shared" si="29"/>
        <v>-34830.157999999996</v>
      </c>
      <c r="AU224" s="125">
        <f>AH224*Valores!$C$74</f>
        <v>-8549.220599999999</v>
      </c>
      <c r="AV224" s="125">
        <f>AH224*Valores!$C$75</f>
        <v>-949.9134</v>
      </c>
      <c r="AW224" s="125">
        <f t="shared" si="33"/>
        <v>272308.508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131565.01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25396.75</v>
      </c>
      <c r="N225" s="125">
        <f t="shared" si="30"/>
        <v>0</v>
      </c>
      <c r="O225" s="125">
        <f>Valores!$C$7*B225</f>
        <v>45068.100000000006</v>
      </c>
      <c r="P225" s="125">
        <f>ROUND(IF(B225&lt;15,(Valores!$E$5*B225),Valores!$D$5),2)</f>
        <v>19410.1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23572.010000000002</v>
      </c>
      <c r="S225" s="125">
        <f>Valores!$C$18*B225</f>
        <v>14174.65</v>
      </c>
      <c r="T225" s="125">
        <f t="shared" si="36"/>
        <v>14174.65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45383.8</v>
      </c>
      <c r="AA225" s="125">
        <f>IF((Valores!$C$28)*B225&gt;Valores!$F$28,Valores!$F$28,(Valores!$C$28)*B225)</f>
        <v>1113.35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793.88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18152.34</v>
      </c>
      <c r="AH225" s="125">
        <f t="shared" si="34"/>
        <v>324629.99000000005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0</v>
      </c>
      <c r="AL225" s="125">
        <f>IF($F$3="NO",0,IF(Valores!$C$61*B225&gt;Valores!$F$61,Valores!$F$61,Valores!$C$61*B225))</f>
        <v>0</v>
      </c>
      <c r="AM225" s="125">
        <f t="shared" si="32"/>
        <v>0</v>
      </c>
      <c r="AN225" s="125">
        <f>AH225*Valores!$C$71</f>
        <v>-35709.29890000001</v>
      </c>
      <c r="AO225" s="125">
        <f>AH225*-Valores!$C$72</f>
        <v>0</v>
      </c>
      <c r="AP225" s="125">
        <f>AH225*Valores!$C$73</f>
        <v>-14608.34955</v>
      </c>
      <c r="AQ225" s="125">
        <f>Valores!$C$100</f>
        <v>-554.86</v>
      </c>
      <c r="AR225" s="125">
        <f>IF($F$5=0,Valores!$C$101,(Valores!$C$101+$F$5*(Valores!$C$101)))</f>
        <v>-550</v>
      </c>
      <c r="AS225" s="125">
        <f t="shared" si="35"/>
        <v>273207.48155</v>
      </c>
      <c r="AT225" s="125">
        <f t="shared" si="29"/>
        <v>-35709.29890000001</v>
      </c>
      <c r="AU225" s="125">
        <f>AH225*Valores!$C$74</f>
        <v>-8765.009730000002</v>
      </c>
      <c r="AV225" s="125">
        <f>AH225*Valores!$C$75</f>
        <v>-973.8899700000002</v>
      </c>
      <c r="AW225" s="125">
        <f t="shared" si="33"/>
        <v>279181.79140000005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135324.01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26021.35</v>
      </c>
      <c r="N226" s="125">
        <f t="shared" si="30"/>
        <v>0</v>
      </c>
      <c r="O226" s="125">
        <f>Valores!$C$7*B226</f>
        <v>46355.76</v>
      </c>
      <c r="P226" s="125">
        <f>ROUND(IF(B226&lt;15,(Valores!$E$5*B226),Valores!$D$5),2)</f>
        <v>19410.1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23572.010000000002</v>
      </c>
      <c r="S226" s="125">
        <f>Valores!$C$18*B226</f>
        <v>14579.64</v>
      </c>
      <c r="T226" s="125">
        <f t="shared" si="36"/>
        <v>14579.64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46680.48</v>
      </c>
      <c r="AA226" s="125">
        <f>IF((Valores!$C$28)*B226&gt;Valores!$F$28,Valores!$F$28,(Valores!$C$28)*B226)</f>
        <v>1145.1599999999999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793.88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18152.34</v>
      </c>
      <c r="AH226" s="125">
        <f t="shared" si="34"/>
        <v>332034.73000000004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0</v>
      </c>
      <c r="AL226" s="125">
        <f>IF($F$3="NO",0,IF(Valores!$C$61*B226&gt;Valores!$F$61,Valores!$F$61,Valores!$C$61*B226))</f>
        <v>0</v>
      </c>
      <c r="AM226" s="125">
        <f t="shared" si="32"/>
        <v>0</v>
      </c>
      <c r="AN226" s="125">
        <f>AH226*Valores!$C$71</f>
        <v>-36523.82030000001</v>
      </c>
      <c r="AO226" s="125">
        <f>AH226*-Valores!$C$72</f>
        <v>0</v>
      </c>
      <c r="AP226" s="125">
        <f>AH226*Valores!$C$73</f>
        <v>-14941.562850000002</v>
      </c>
      <c r="AQ226" s="125">
        <f>Valores!$C$100</f>
        <v>-554.86</v>
      </c>
      <c r="AR226" s="125">
        <f>IF($F$5=0,Valores!$C$101,(Valores!$C$101+$F$5*(Valores!$C$101)))</f>
        <v>-550</v>
      </c>
      <c r="AS226" s="125">
        <f t="shared" si="35"/>
        <v>279464.48685000004</v>
      </c>
      <c r="AT226" s="125">
        <f t="shared" si="29"/>
        <v>-36523.82030000001</v>
      </c>
      <c r="AU226" s="125">
        <f>AH226*Valores!$C$74</f>
        <v>-8964.93771</v>
      </c>
      <c r="AV226" s="125">
        <f>AH226*Valores!$C$75</f>
        <v>-996.1041900000001</v>
      </c>
      <c r="AW226" s="125">
        <f t="shared" si="33"/>
        <v>285549.8678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2999.61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612.43</v>
      </c>
      <c r="N227" s="125">
        <f t="shared" si="30"/>
        <v>0</v>
      </c>
      <c r="O227" s="125">
        <f>Valores!$C$7*B227</f>
        <v>1287.66</v>
      </c>
      <c r="P227" s="125">
        <f>ROUND(IF(B227&lt;15,(Valores!$E$5*B227),Valores!$D$5),2)</f>
        <v>1294.01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678.27</v>
      </c>
      <c r="S227" s="125">
        <f>Valores!$C$18*B227</f>
        <v>404.99</v>
      </c>
      <c r="T227" s="125">
        <f t="shared" si="36"/>
        <v>404.99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1296.68</v>
      </c>
      <c r="AA227" s="125">
        <f>IF((Valores!$C$28)*B227&gt;Valores!$F$28,Valores!$F$28,(Valores!$C$28)*B227)</f>
        <v>31.81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26.49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605.08</v>
      </c>
      <c r="AH227" s="125">
        <f t="shared" si="34"/>
        <v>9237.029999999999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0</v>
      </c>
      <c r="AL227" s="125">
        <f>IF($F$3="NO",0,IF(Valores!$C$62*B227&gt;Valores!$F$62,Valores!$F$62,Valores!$C$62*B227))</f>
        <v>0</v>
      </c>
      <c r="AM227" s="125">
        <f t="shared" si="32"/>
        <v>0</v>
      </c>
      <c r="AN227" s="125">
        <f>AH227*Valores!$C$71</f>
        <v>-1016.0732999999999</v>
      </c>
      <c r="AO227" s="125">
        <f>AH227*-Valores!$C$72</f>
        <v>0</v>
      </c>
      <c r="AP227" s="125">
        <f>AH227*Valores!$C$73</f>
        <v>-415.6663499999999</v>
      </c>
      <c r="AQ227" s="125">
        <f>Valores!$C$100</f>
        <v>-554.86</v>
      </c>
      <c r="AR227" s="125">
        <f>IF($F$5=0,Valores!$C$101,(Valores!$C$101+$F$5*(Valores!$C$101)))</f>
        <v>-550</v>
      </c>
      <c r="AS227" s="125">
        <f t="shared" si="35"/>
        <v>6700.430349999999</v>
      </c>
      <c r="AT227" s="125">
        <f t="shared" si="29"/>
        <v>-1016.0732999999999</v>
      </c>
      <c r="AU227" s="125">
        <f>AH227*Valores!$C$74</f>
        <v>-249.39980999999997</v>
      </c>
      <c r="AV227" s="125">
        <f>AH227*Valores!$C$75</f>
        <v>-27.71109</v>
      </c>
      <c r="AW227" s="125">
        <f t="shared" si="33"/>
        <v>7943.845799999999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2999.61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612.43</v>
      </c>
      <c r="N228" s="125">
        <f t="shared" si="30"/>
        <v>0</v>
      </c>
      <c r="O228" s="125">
        <f>Valores!$C$7*B228</f>
        <v>1287.66</v>
      </c>
      <c r="P228" s="125">
        <f>ROUND(IF(B228&lt;15,(Valores!$E$5*B228),Valores!$D$5),2)</f>
        <v>1294.01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678.27</v>
      </c>
      <c r="S228" s="125">
        <f>Valores!$C$18*B228</f>
        <v>404.99</v>
      </c>
      <c r="T228" s="125">
        <f t="shared" si="36"/>
        <v>404.99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1296.68</v>
      </c>
      <c r="AA228" s="125">
        <f>IF((Valores!$C$28)*B228&gt;Valores!$F$28,Valores!$F$28,(Valores!$C$28)*B228)</f>
        <v>31.81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26.49</v>
      </c>
      <c r="AE228" s="192">
        <v>94</v>
      </c>
      <c r="AF228" s="125">
        <f>ROUND(AE228*Valores!$C$2,2)</f>
        <v>3569.15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605.08</v>
      </c>
      <c r="AH228" s="125">
        <f t="shared" si="34"/>
        <v>12806.179999999998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0</v>
      </c>
      <c r="AL228" s="125">
        <f>IF($F$3="NO",0,IF(Valores!$C$62*B228&gt;Valores!$F$62,Valores!$F$62,Valores!$C$62*B228))</f>
        <v>0</v>
      </c>
      <c r="AM228" s="125">
        <f t="shared" si="32"/>
        <v>0</v>
      </c>
      <c r="AN228" s="125">
        <f>AH228*Valores!$C$71</f>
        <v>-1408.6798</v>
      </c>
      <c r="AO228" s="125">
        <f>AH228*-Valores!$C$72</f>
        <v>0</v>
      </c>
      <c r="AP228" s="125">
        <f>AH228*Valores!$C$73</f>
        <v>-576.2780999999999</v>
      </c>
      <c r="AQ228" s="125">
        <f>Valores!$C$100</f>
        <v>-554.86</v>
      </c>
      <c r="AR228" s="125">
        <f>IF($F$5=0,Valores!$C$101,(Valores!$C$101+$F$5*(Valores!$C$101)))</f>
        <v>-550</v>
      </c>
      <c r="AS228" s="125">
        <f t="shared" si="35"/>
        <v>9716.362099999998</v>
      </c>
      <c r="AT228" s="125">
        <f t="shared" si="29"/>
        <v>-1408.6798</v>
      </c>
      <c r="AU228" s="125">
        <f>AH228*Valores!$C$74</f>
        <v>-345.76685999999995</v>
      </c>
      <c r="AV228" s="125">
        <f>AH228*Valores!$C$75</f>
        <v>-38.41853999999999</v>
      </c>
      <c r="AW228" s="125">
        <f t="shared" si="33"/>
        <v>11013.314799999998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5999.21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1224.86</v>
      </c>
      <c r="N229" s="125">
        <f t="shared" si="30"/>
        <v>0</v>
      </c>
      <c r="O229" s="125">
        <f>Valores!$C$7*B229</f>
        <v>2575.32</v>
      </c>
      <c r="P229" s="125">
        <f>ROUND(IF(B229&lt;15,(Valores!$E$5*B229),Valores!$D$5),2)</f>
        <v>2588.02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1356.54</v>
      </c>
      <c r="S229" s="125">
        <f>Valores!$C$18*B229</f>
        <v>809.98</v>
      </c>
      <c r="T229" s="125">
        <f t="shared" si="36"/>
        <v>809.98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2593.36</v>
      </c>
      <c r="AA229" s="125">
        <f>IF((Valores!$C$28)*B229&gt;Valores!$F$28,Valores!$F$28,(Valores!$C$28)*B229)</f>
        <v>63.62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52.98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1210.16</v>
      </c>
      <c r="AH229" s="125">
        <f t="shared" si="34"/>
        <v>18474.05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0</v>
      </c>
      <c r="AL229" s="125">
        <f>IF($F$3="NO",0,IF(Valores!$C$62*B229&gt;Valores!$F$62,Valores!$F$62,Valores!$C$62*B229))</f>
        <v>0</v>
      </c>
      <c r="AM229" s="125">
        <f t="shared" si="32"/>
        <v>0</v>
      </c>
      <c r="AN229" s="125">
        <f>AH229*Valores!$C$71</f>
        <v>-2032.1454999999999</v>
      </c>
      <c r="AO229" s="125">
        <f>AH229*-Valores!$C$72</f>
        <v>0</v>
      </c>
      <c r="AP229" s="125">
        <f>AH229*Valores!$C$73</f>
        <v>-831.3322499999999</v>
      </c>
      <c r="AQ229" s="125">
        <f>Valores!$C$100</f>
        <v>-554.86</v>
      </c>
      <c r="AR229" s="125">
        <f>IF($F$5=0,Valores!$C$101,(Valores!$C$101+$F$5*(Valores!$C$101)))</f>
        <v>-550</v>
      </c>
      <c r="AS229" s="125">
        <f t="shared" si="35"/>
        <v>14505.712249999999</v>
      </c>
      <c r="AT229" s="125">
        <f t="shared" si="29"/>
        <v>-2032.1454999999999</v>
      </c>
      <c r="AU229" s="125">
        <f>AH229*Valores!$C$74</f>
        <v>-498.79934999999995</v>
      </c>
      <c r="AV229" s="125">
        <f>AH229*Valores!$C$75</f>
        <v>-55.42215</v>
      </c>
      <c r="AW229" s="125">
        <f t="shared" si="33"/>
        <v>15887.682999999999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5999.21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1224.86</v>
      </c>
      <c r="N230" s="125">
        <f t="shared" si="30"/>
        <v>0</v>
      </c>
      <c r="O230" s="125">
        <f>Valores!$C$7*B230</f>
        <v>2575.32</v>
      </c>
      <c r="P230" s="125">
        <f>ROUND(IF(B230&lt;15,(Valores!$E$5*B230),Valores!$D$5),2)</f>
        <v>2588.02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1356.54</v>
      </c>
      <c r="S230" s="125">
        <f>Valores!$C$18*B230</f>
        <v>809.98</v>
      </c>
      <c r="T230" s="125">
        <f t="shared" si="36"/>
        <v>809.98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2593.36</v>
      </c>
      <c r="AA230" s="125">
        <f>IF((Valores!$C$28)*B230&gt;Valores!$F$28,Valores!$F$28,(Valores!$C$28)*B230)</f>
        <v>63.62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52.98</v>
      </c>
      <c r="AE230" s="192">
        <v>94</v>
      </c>
      <c r="AF230" s="125">
        <f>ROUND(AE230*Valores!$C$2,2)</f>
        <v>3569.15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1210.16</v>
      </c>
      <c r="AH230" s="125">
        <f t="shared" si="34"/>
        <v>22043.2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0</v>
      </c>
      <c r="AL230" s="125">
        <f>IF($F$3="NO",0,IF(Valores!$C$62*B230&gt;Valores!$F$62,Valores!$F$62,Valores!$C$62*B230))</f>
        <v>0</v>
      </c>
      <c r="AM230" s="125">
        <f t="shared" si="32"/>
        <v>0</v>
      </c>
      <c r="AN230" s="125">
        <f>AH230*Valores!$C$71</f>
        <v>-2424.752</v>
      </c>
      <c r="AO230" s="125">
        <f>AH230*-Valores!$C$72</f>
        <v>0</v>
      </c>
      <c r="AP230" s="125">
        <f>AH230*Valores!$C$73</f>
        <v>-991.944</v>
      </c>
      <c r="AQ230" s="125">
        <f>Valores!$C$100</f>
        <v>-554.86</v>
      </c>
      <c r="AR230" s="125">
        <f>IF($F$5=0,Valores!$C$101,(Valores!$C$101+$F$5*(Valores!$C$101)))</f>
        <v>-550</v>
      </c>
      <c r="AS230" s="125">
        <f t="shared" si="35"/>
        <v>17521.644</v>
      </c>
      <c r="AT230" s="125">
        <f t="shared" si="29"/>
        <v>-2424.752</v>
      </c>
      <c r="AU230" s="125">
        <f>AH230*Valores!$C$74</f>
        <v>-595.1664000000001</v>
      </c>
      <c r="AV230" s="125">
        <f>AH230*Valores!$C$75</f>
        <v>-66.12960000000001</v>
      </c>
      <c r="AW230" s="125">
        <f t="shared" si="33"/>
        <v>18957.152000000002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8998.82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1837.29</v>
      </c>
      <c r="N231" s="125">
        <f t="shared" si="30"/>
        <v>0</v>
      </c>
      <c r="O231" s="125">
        <f>Valores!$C$7*B231</f>
        <v>3862.9800000000005</v>
      </c>
      <c r="P231" s="125">
        <f>ROUND(IF(B231&lt;15,(Valores!$E$5*B231),Valores!$D$5),2)</f>
        <v>3882.03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2034.81</v>
      </c>
      <c r="S231" s="125">
        <f>Valores!$C$18*B231</f>
        <v>1214.97</v>
      </c>
      <c r="T231" s="125">
        <f t="shared" si="36"/>
        <v>1214.97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3890.04</v>
      </c>
      <c r="AA231" s="125">
        <f>IF((Valores!$C$28)*B231&gt;Valores!$F$28,Valores!$F$28,(Valores!$C$28)*B231)</f>
        <v>95.42999999999999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79.47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</f>
        <v>1815.2400000000002</v>
      </c>
      <c r="AH231" s="125">
        <f t="shared" si="34"/>
        <v>27711.080000000005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0</v>
      </c>
      <c r="AL231" s="125">
        <f>IF($F$3="NO",0,IF(Valores!$C$62*B231&gt;Valores!$F$62,Valores!$F$62,Valores!$C$62*B231))</f>
        <v>0</v>
      </c>
      <c r="AM231" s="125">
        <f t="shared" si="32"/>
        <v>0</v>
      </c>
      <c r="AN231" s="125">
        <f>AH231*Valores!$C$71</f>
        <v>-3048.2188000000006</v>
      </c>
      <c r="AO231" s="125">
        <f>AH231*-Valores!$C$72</f>
        <v>0</v>
      </c>
      <c r="AP231" s="125">
        <f>AH231*Valores!$C$73</f>
        <v>-1246.9986000000001</v>
      </c>
      <c r="AQ231" s="125">
        <f>Valores!$C$100</f>
        <v>-554.86</v>
      </c>
      <c r="AR231" s="125">
        <f>IF($F$5=0,Valores!$C$101,(Valores!$C$101+$F$5*(Valores!$C$101)))</f>
        <v>-550</v>
      </c>
      <c r="AS231" s="125">
        <f t="shared" si="35"/>
        <v>22311.002600000007</v>
      </c>
      <c r="AT231" s="125">
        <f t="shared" si="29"/>
        <v>-3048.2188000000006</v>
      </c>
      <c r="AU231" s="125">
        <f>AH231*Valores!$C$74</f>
        <v>-748.1991600000001</v>
      </c>
      <c r="AV231" s="125">
        <f>AH231*Valores!$C$75</f>
        <v>-83.13324000000001</v>
      </c>
      <c r="AW231" s="125">
        <f t="shared" si="33"/>
        <v>23831.528800000004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8998.82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1837.29</v>
      </c>
      <c r="N232" s="125">
        <f t="shared" si="30"/>
        <v>0</v>
      </c>
      <c r="O232" s="125">
        <f>Valores!$C$7*B232</f>
        <v>3862.9800000000005</v>
      </c>
      <c r="P232" s="125">
        <f>ROUND(IF(B232&lt;15,(Valores!$E$5*B232),Valores!$D$5),2)</f>
        <v>3882.03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2034.81</v>
      </c>
      <c r="S232" s="125">
        <f>Valores!$C$18*B232</f>
        <v>1214.97</v>
      </c>
      <c r="T232" s="125">
        <f t="shared" si="36"/>
        <v>1214.97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3890.04</v>
      </c>
      <c r="AA232" s="125">
        <f>IF((Valores!$C$28)*B232&gt;Valores!$F$28,Valores!$F$28,(Valores!$C$28)*B232)</f>
        <v>95.42999999999999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79.47</v>
      </c>
      <c r="AE232" s="192">
        <v>94</v>
      </c>
      <c r="AF232" s="125">
        <f>ROUND(AE232*Valores!$C$2,2)</f>
        <v>3569.15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</f>
        <v>1815.2400000000002</v>
      </c>
      <c r="AH232" s="125">
        <f t="shared" si="34"/>
        <v>31280.230000000007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0</v>
      </c>
      <c r="AL232" s="125">
        <f>IF($F$3="NO",0,IF(Valores!$C$62*B232&gt;Valores!$F$62,Valores!$F$62,Valores!$C$62*B232))</f>
        <v>0</v>
      </c>
      <c r="AM232" s="125">
        <f t="shared" si="32"/>
        <v>0</v>
      </c>
      <c r="AN232" s="125">
        <f>AH232*Valores!$C$71</f>
        <v>-3440.825300000001</v>
      </c>
      <c r="AO232" s="125">
        <f>AH232*-Valores!$C$72</f>
        <v>0</v>
      </c>
      <c r="AP232" s="125">
        <f>AH232*Valores!$C$73</f>
        <v>-1407.6103500000002</v>
      </c>
      <c r="AQ232" s="125">
        <f>Valores!$C$100</f>
        <v>-554.86</v>
      </c>
      <c r="AR232" s="125">
        <f>IF($F$5=0,Valores!$C$101,(Valores!$C$101+$F$5*(Valores!$C$101)))</f>
        <v>-550</v>
      </c>
      <c r="AS232" s="125">
        <f t="shared" si="35"/>
        <v>25326.934350000007</v>
      </c>
      <c r="AT232" s="125">
        <f t="shared" si="29"/>
        <v>-3440.825300000001</v>
      </c>
      <c r="AU232" s="125">
        <f>AH232*Valores!$C$74</f>
        <v>-844.5662100000002</v>
      </c>
      <c r="AV232" s="125">
        <f>AH232*Valores!$C$75</f>
        <v>-93.84069000000002</v>
      </c>
      <c r="AW232" s="125">
        <f t="shared" si="33"/>
        <v>26900.997800000005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11998.43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2449.72</v>
      </c>
      <c r="N233" s="125">
        <f t="shared" si="30"/>
        <v>0</v>
      </c>
      <c r="O233" s="125">
        <f>Valores!$C$7*B233</f>
        <v>5150.64</v>
      </c>
      <c r="P233" s="125">
        <f>ROUND(IF(B233&lt;15,(Valores!$E$5*B233),Valores!$D$5),2)</f>
        <v>5176.04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2713.08</v>
      </c>
      <c r="S233" s="125">
        <f>Valores!$C$18*B233</f>
        <v>1619.96</v>
      </c>
      <c r="T233" s="125">
        <f t="shared" si="36"/>
        <v>1619.96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5186.72</v>
      </c>
      <c r="AA233" s="125">
        <f>IF((Valores!$C$28)*B233&gt;Valores!$F$28,Valores!$F$28,(Valores!$C$28)*B233)</f>
        <v>127.24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105.96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</f>
        <v>2420.32</v>
      </c>
      <c r="AH233" s="125">
        <f t="shared" si="34"/>
        <v>36948.11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0</v>
      </c>
      <c r="AL233" s="125">
        <f>IF($F$3="NO",0,IF(Valores!$C$62*B233&gt;Valores!$F$62,Valores!$F$62,Valores!$C$62*B233))</f>
        <v>0</v>
      </c>
      <c r="AM233" s="125">
        <f t="shared" si="32"/>
        <v>0</v>
      </c>
      <c r="AN233" s="125">
        <f>AH233*Valores!$C$71</f>
        <v>-4064.2921</v>
      </c>
      <c r="AO233" s="125">
        <f>AH233*-Valores!$C$72</f>
        <v>0</v>
      </c>
      <c r="AP233" s="125">
        <f>AH233*Valores!$C$73</f>
        <v>-1662.6649499999999</v>
      </c>
      <c r="AQ233" s="125">
        <f>Valores!$C$100</f>
        <v>-554.86</v>
      </c>
      <c r="AR233" s="125">
        <f>IF($F$5=0,Valores!$C$101,(Valores!$C$101+$F$5*(Valores!$C$101)))</f>
        <v>-550</v>
      </c>
      <c r="AS233" s="125">
        <f t="shared" si="35"/>
        <v>30116.292950000003</v>
      </c>
      <c r="AT233" s="125">
        <f t="shared" si="29"/>
        <v>-4064.2921</v>
      </c>
      <c r="AU233" s="125">
        <f>AH233*Valores!$C$74</f>
        <v>-997.59897</v>
      </c>
      <c r="AV233" s="125">
        <f>AH233*Valores!$C$75</f>
        <v>-110.84433</v>
      </c>
      <c r="AW233" s="125">
        <f t="shared" si="33"/>
        <v>31775.374600000003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11998.43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2449.72</v>
      </c>
      <c r="N234" s="125">
        <f t="shared" si="30"/>
        <v>0</v>
      </c>
      <c r="O234" s="125">
        <f>Valores!$C$7*B234</f>
        <v>5150.64</v>
      </c>
      <c r="P234" s="125">
        <f>ROUND(IF(B234&lt;15,(Valores!$E$5*B234),Valores!$D$5),2)</f>
        <v>5176.04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2713.08</v>
      </c>
      <c r="S234" s="125">
        <f>Valores!$C$18*B234</f>
        <v>1619.96</v>
      </c>
      <c r="T234" s="125">
        <f t="shared" si="36"/>
        <v>1619.96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5186.72</v>
      </c>
      <c r="AA234" s="125">
        <f>IF((Valores!$C$28)*B234&gt;Valores!$F$28,Valores!$F$28,(Valores!$C$28)*B234)</f>
        <v>127.24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105.96</v>
      </c>
      <c r="AE234" s="192">
        <v>94</v>
      </c>
      <c r="AF234" s="125">
        <f>ROUND(AE234*Valores!$C$2,2)</f>
        <v>3569.15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</f>
        <v>2420.32</v>
      </c>
      <c r="AH234" s="125">
        <f t="shared" si="34"/>
        <v>40517.26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0</v>
      </c>
      <c r="AL234" s="125">
        <f>IF($F$3="NO",0,IF(Valores!$C$62*B234&gt;Valores!$F$62,Valores!$F$62,Valores!$C$62*B234))</f>
        <v>0</v>
      </c>
      <c r="AM234" s="125">
        <f t="shared" si="32"/>
        <v>0</v>
      </c>
      <c r="AN234" s="125">
        <f>AH234*Valores!$C$71</f>
        <v>-4456.8986</v>
      </c>
      <c r="AO234" s="125">
        <f>AH234*-Valores!$C$72</f>
        <v>0</v>
      </c>
      <c r="AP234" s="125">
        <f>AH234*Valores!$C$73</f>
        <v>-1823.2767000000001</v>
      </c>
      <c r="AQ234" s="125">
        <f>Valores!$C$100</f>
        <v>-554.86</v>
      </c>
      <c r="AR234" s="125">
        <f>IF($F$5=0,Valores!$C$101,(Valores!$C$101+$F$5*(Valores!$C$101)))</f>
        <v>-550</v>
      </c>
      <c r="AS234" s="125">
        <f t="shared" si="35"/>
        <v>33132.2247</v>
      </c>
      <c r="AT234" s="125">
        <f t="shared" si="29"/>
        <v>-4456.8986</v>
      </c>
      <c r="AU234" s="125">
        <f>AH234*Valores!$C$74</f>
        <v>-1093.96602</v>
      </c>
      <c r="AV234" s="125">
        <f>AH234*Valores!$C$75</f>
        <v>-121.55178000000001</v>
      </c>
      <c r="AW234" s="125">
        <f t="shared" si="33"/>
        <v>34844.8436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14998.03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3062.15</v>
      </c>
      <c r="N235" s="125">
        <f t="shared" si="30"/>
        <v>0</v>
      </c>
      <c r="O235" s="125">
        <f>Valores!$C$7*B235</f>
        <v>6438.3</v>
      </c>
      <c r="P235" s="125">
        <f>ROUND(IF(B235&lt;15,(Valores!$E$5*B235),Valores!$D$5),2)</f>
        <v>6470.05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3391.35</v>
      </c>
      <c r="S235" s="125">
        <f>Valores!$C$18*B235</f>
        <v>2024.95</v>
      </c>
      <c r="T235" s="125">
        <f t="shared" si="36"/>
        <v>2024.95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6483.400000000001</v>
      </c>
      <c r="AA235" s="125">
        <f>IF((Valores!$C$28)*B235&gt;Valores!$F$28,Valores!$F$28,(Valores!$C$28)*B235)</f>
        <v>159.04999999999998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132.45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</f>
        <v>3025.4</v>
      </c>
      <c r="AH235" s="125">
        <f t="shared" si="34"/>
        <v>46185.13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0</v>
      </c>
      <c r="AL235" s="125">
        <f>IF($F$3="NO",0,IF(Valores!$C$62*B235&gt;Valores!$F$62,Valores!$F$62,Valores!$C$62*B235))</f>
        <v>0</v>
      </c>
      <c r="AM235" s="125">
        <f t="shared" si="32"/>
        <v>0</v>
      </c>
      <c r="AN235" s="125">
        <f>AH235*Valores!$C$71</f>
        <v>-5080.3643</v>
      </c>
      <c r="AO235" s="125">
        <f>AH235*-Valores!$C$72</f>
        <v>0</v>
      </c>
      <c r="AP235" s="125">
        <f>AH235*Valores!$C$73</f>
        <v>-2078.33085</v>
      </c>
      <c r="AQ235" s="125">
        <f>Valores!$C$100</f>
        <v>-554.86</v>
      </c>
      <c r="AR235" s="125">
        <f>IF($F$5=0,Valores!$C$101,(Valores!$C$101+$F$5*(Valores!$C$101)))</f>
        <v>-550</v>
      </c>
      <c r="AS235" s="125">
        <f t="shared" si="35"/>
        <v>37921.57485</v>
      </c>
      <c r="AT235" s="125">
        <f t="shared" si="29"/>
        <v>-5080.3643</v>
      </c>
      <c r="AU235" s="125">
        <f>AH235*Valores!$C$74</f>
        <v>-1246.99851</v>
      </c>
      <c r="AV235" s="125">
        <f>AH235*Valores!$C$75</f>
        <v>-138.55539</v>
      </c>
      <c r="AW235" s="125">
        <f t="shared" si="33"/>
        <v>39719.2118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14998.03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3062.15</v>
      </c>
      <c r="N236" s="125">
        <f t="shared" si="30"/>
        <v>0</v>
      </c>
      <c r="O236" s="125">
        <f>Valores!$C$7*B236</f>
        <v>6438.3</v>
      </c>
      <c r="P236" s="125">
        <f>ROUND(IF(B236&lt;15,(Valores!$E$5*B236),Valores!$D$5),2)</f>
        <v>6470.05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3391.35</v>
      </c>
      <c r="S236" s="125">
        <f>Valores!$C$18*B236</f>
        <v>2024.95</v>
      </c>
      <c r="T236" s="125">
        <f t="shared" si="36"/>
        <v>2024.95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6483.400000000001</v>
      </c>
      <c r="AA236" s="125">
        <f>IF((Valores!$C$28)*B236&gt;Valores!$F$28,Valores!$F$28,(Valores!$C$28)*B236)</f>
        <v>159.04999999999998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132.45</v>
      </c>
      <c r="AE236" s="192">
        <v>94</v>
      </c>
      <c r="AF236" s="125">
        <f>ROUND(AE236*Valores!$C$2,2)</f>
        <v>3569.15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</f>
        <v>3025.4</v>
      </c>
      <c r="AH236" s="125">
        <f t="shared" si="34"/>
        <v>49754.28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0</v>
      </c>
      <c r="AL236" s="125">
        <f>IF($F$3="NO",0,IF(Valores!$C$62*B236&gt;Valores!$F$62,Valores!$F$62,Valores!$C$62*B236))</f>
        <v>0</v>
      </c>
      <c r="AM236" s="125">
        <f t="shared" si="32"/>
        <v>0</v>
      </c>
      <c r="AN236" s="125">
        <f>AH236*Valores!$C$71</f>
        <v>-5472.9708</v>
      </c>
      <c r="AO236" s="125">
        <f>AH236*-Valores!$C$72</f>
        <v>0</v>
      </c>
      <c r="AP236" s="125">
        <f>AH236*Valores!$C$73</f>
        <v>-2238.9426</v>
      </c>
      <c r="AQ236" s="125">
        <f>Valores!$C$100</f>
        <v>-554.86</v>
      </c>
      <c r="AR236" s="125">
        <f>IF($F$5=0,Valores!$C$101,(Valores!$C$101+$F$5*(Valores!$C$101)))</f>
        <v>-550</v>
      </c>
      <c r="AS236" s="125">
        <f t="shared" si="35"/>
        <v>40937.5066</v>
      </c>
      <c r="AT236" s="125">
        <f t="shared" si="29"/>
        <v>-5472.9708</v>
      </c>
      <c r="AU236" s="125">
        <f>AH236*Valores!$C$74</f>
        <v>-1343.36556</v>
      </c>
      <c r="AV236" s="125">
        <f>AH236*Valores!$C$75</f>
        <v>-149.26284</v>
      </c>
      <c r="AW236" s="125">
        <f t="shared" si="33"/>
        <v>42788.6808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17997.64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3674.58</v>
      </c>
      <c r="N237" s="125">
        <f t="shared" si="30"/>
        <v>0</v>
      </c>
      <c r="O237" s="125">
        <f>Valores!$C$7*B237</f>
        <v>7725.960000000001</v>
      </c>
      <c r="P237" s="125">
        <f>ROUND(IF(B237&lt;15,(Valores!$E$5*B237),Valores!$D$5),2)</f>
        <v>7764.06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4069.62</v>
      </c>
      <c r="S237" s="125">
        <f>Valores!$C$18*B237</f>
        <v>2429.94</v>
      </c>
      <c r="T237" s="125">
        <f t="shared" si="36"/>
        <v>2429.94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7780.08</v>
      </c>
      <c r="AA237" s="125">
        <f>IF((Valores!$C$28)*B237&gt;Valores!$F$28,Valores!$F$28,(Valores!$C$28)*B237)</f>
        <v>190.85999999999999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158.94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</f>
        <v>3630.4800000000005</v>
      </c>
      <c r="AH237" s="125">
        <f t="shared" si="34"/>
        <v>55422.16000000001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0</v>
      </c>
      <c r="AL237" s="125">
        <f>IF($F$3="NO",0,IF(Valores!$C$62*B237&gt;Valores!$F$62,Valores!$F$62,Valores!$C$62*B237))</f>
        <v>0</v>
      </c>
      <c r="AM237" s="125">
        <f t="shared" si="32"/>
        <v>0</v>
      </c>
      <c r="AN237" s="125">
        <f>AH237*Valores!$C$71</f>
        <v>-6096.437600000001</v>
      </c>
      <c r="AO237" s="125">
        <f>AH237*-Valores!$C$72</f>
        <v>0</v>
      </c>
      <c r="AP237" s="125">
        <f>AH237*Valores!$C$73</f>
        <v>-2493.9972000000002</v>
      </c>
      <c r="AQ237" s="125">
        <f>Valores!$C$100</f>
        <v>-554.86</v>
      </c>
      <c r="AR237" s="125">
        <f>IF($F$5=0,Valores!$C$101,(Valores!$C$101+$F$5*(Valores!$C$101)))</f>
        <v>-550</v>
      </c>
      <c r="AS237" s="125">
        <f t="shared" si="35"/>
        <v>45726.86520000001</v>
      </c>
      <c r="AT237" s="125">
        <f t="shared" si="29"/>
        <v>-6096.437600000001</v>
      </c>
      <c r="AU237" s="125">
        <f>AH237*Valores!$C$74</f>
        <v>-1496.3983200000002</v>
      </c>
      <c r="AV237" s="125">
        <f>AH237*Valores!$C$75</f>
        <v>-166.26648000000003</v>
      </c>
      <c r="AW237" s="125">
        <f t="shared" si="33"/>
        <v>47663.05760000001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17997.64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3674.58</v>
      </c>
      <c r="N238" s="125">
        <f t="shared" si="30"/>
        <v>0</v>
      </c>
      <c r="O238" s="125">
        <f>Valores!$C$7*B238</f>
        <v>7725.960000000001</v>
      </c>
      <c r="P238" s="125">
        <f>ROUND(IF(B238&lt;15,(Valores!$E$5*B238),Valores!$D$5),2)</f>
        <v>7764.06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4069.62</v>
      </c>
      <c r="S238" s="125">
        <f>Valores!$C$18*B238</f>
        <v>2429.94</v>
      </c>
      <c r="T238" s="125">
        <f t="shared" si="36"/>
        <v>2429.94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7780.08</v>
      </c>
      <c r="AA238" s="125">
        <f>IF((Valores!$C$28)*B238&gt;Valores!$F$28,Valores!$F$28,(Valores!$C$28)*B238)</f>
        <v>190.85999999999999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158.94</v>
      </c>
      <c r="AE238" s="192">
        <v>94</v>
      </c>
      <c r="AF238" s="125">
        <f>ROUND(AE238*Valores!$C$2,2)</f>
        <v>3569.15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</f>
        <v>3630.4800000000005</v>
      </c>
      <c r="AH238" s="125">
        <f t="shared" si="34"/>
        <v>58991.31000000001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0</v>
      </c>
      <c r="AL238" s="125">
        <f>IF($F$3="NO",0,IF(Valores!$C$62*B238&gt;Valores!$F$62,Valores!$F$62,Valores!$C$62*B238))</f>
        <v>0</v>
      </c>
      <c r="AM238" s="125">
        <f t="shared" si="32"/>
        <v>0</v>
      </c>
      <c r="AN238" s="125">
        <f>AH238*Valores!$C$71</f>
        <v>-6489.044100000001</v>
      </c>
      <c r="AO238" s="125">
        <f>AH238*-Valores!$C$72</f>
        <v>0</v>
      </c>
      <c r="AP238" s="125">
        <f>AH238*Valores!$C$73</f>
        <v>-2654.6089500000003</v>
      </c>
      <c r="AQ238" s="125">
        <f>Valores!$C$100</f>
        <v>-554.86</v>
      </c>
      <c r="AR238" s="125">
        <f>IF($F$5=0,Valores!$C$101,(Valores!$C$101+$F$5*(Valores!$C$101)))</f>
        <v>-550</v>
      </c>
      <c r="AS238" s="125">
        <f t="shared" si="35"/>
        <v>48742.79695000001</v>
      </c>
      <c r="AT238" s="125">
        <f t="shared" si="29"/>
        <v>-6489.044100000001</v>
      </c>
      <c r="AU238" s="125">
        <f>AH238*Valores!$C$74</f>
        <v>-1592.7653700000003</v>
      </c>
      <c r="AV238" s="125">
        <f>AH238*Valores!$C$75</f>
        <v>-176.97393000000005</v>
      </c>
      <c r="AW238" s="125">
        <f t="shared" si="33"/>
        <v>50732.52660000001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20997.24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4287.01</v>
      </c>
      <c r="N239" s="125">
        <f t="shared" si="30"/>
        <v>0</v>
      </c>
      <c r="O239" s="125">
        <f>Valores!$C$7*B239</f>
        <v>9013.62</v>
      </c>
      <c r="P239" s="125">
        <f>ROUND(IF(B239&lt;15,(Valores!$E$5*B239),Valores!$D$5),2)</f>
        <v>9058.07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4747.889999999999</v>
      </c>
      <c r="S239" s="125">
        <f>Valores!$C$18*B239</f>
        <v>2834.9300000000003</v>
      </c>
      <c r="T239" s="125">
        <f t="shared" si="36"/>
        <v>2834.93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9076.76</v>
      </c>
      <c r="AA239" s="125">
        <f>IF((Valores!$C$28)*B239&gt;Valores!$F$28,Valores!$F$28,(Valores!$C$28)*B239)</f>
        <v>222.67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185.42999999999998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</f>
        <v>4235.56</v>
      </c>
      <c r="AH239" s="125">
        <f t="shared" si="34"/>
        <v>64659.18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0</v>
      </c>
      <c r="AL239" s="125">
        <f>IF($F$3="NO",0,IF(Valores!$C$62*B239&gt;Valores!$F$62,Valores!$F$62,Valores!$C$62*B239))</f>
        <v>0</v>
      </c>
      <c r="AM239" s="125">
        <f t="shared" si="32"/>
        <v>0</v>
      </c>
      <c r="AN239" s="125">
        <f>AH239*Valores!$C$71</f>
        <v>-7112.5098</v>
      </c>
      <c r="AO239" s="125">
        <f>AH239*-Valores!$C$72</f>
        <v>0</v>
      </c>
      <c r="AP239" s="125">
        <f>AH239*Valores!$C$73</f>
        <v>-2909.6630999999998</v>
      </c>
      <c r="AQ239" s="125">
        <f>Valores!$C$100</f>
        <v>-554.86</v>
      </c>
      <c r="AR239" s="125">
        <f>IF($F$5=0,Valores!$C$101,(Valores!$C$101+$F$5*(Valores!$C$101)))</f>
        <v>-550</v>
      </c>
      <c r="AS239" s="125">
        <f t="shared" si="35"/>
        <v>53532.1471</v>
      </c>
      <c r="AT239" s="125">
        <f t="shared" si="29"/>
        <v>-7112.5098</v>
      </c>
      <c r="AU239" s="125">
        <f>AH239*Valores!$C$74</f>
        <v>-1745.79786</v>
      </c>
      <c r="AV239" s="125">
        <f>AH239*Valores!$C$75</f>
        <v>-193.97754</v>
      </c>
      <c r="AW239" s="125">
        <f t="shared" si="33"/>
        <v>55606.8948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20997.24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4287.01</v>
      </c>
      <c r="N240" s="125">
        <f t="shared" si="30"/>
        <v>0</v>
      </c>
      <c r="O240" s="125">
        <f>Valores!$C$7*B240</f>
        <v>9013.62</v>
      </c>
      <c r="P240" s="125">
        <f>ROUND(IF(B240&lt;15,(Valores!$E$5*B240),Valores!$D$5),2)</f>
        <v>9058.07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4747.889999999999</v>
      </c>
      <c r="S240" s="125">
        <f>Valores!$C$18*B240</f>
        <v>2834.9300000000003</v>
      </c>
      <c r="T240" s="125">
        <f t="shared" si="36"/>
        <v>2834.93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9076.76</v>
      </c>
      <c r="AA240" s="125">
        <f>IF((Valores!$C$28)*B240&gt;Valores!$F$28,Valores!$F$28,(Valores!$C$28)*B240)</f>
        <v>222.67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185.42999999999998</v>
      </c>
      <c r="AE240" s="192">
        <v>94</v>
      </c>
      <c r="AF240" s="125">
        <f>ROUND(AE240*Valores!$C$2,2)</f>
        <v>3569.15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</f>
        <v>4235.56</v>
      </c>
      <c r="AH240" s="125">
        <f t="shared" si="34"/>
        <v>68228.33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0</v>
      </c>
      <c r="AL240" s="125">
        <f>IF($F$3="NO",0,IF(Valores!$C$62*B240&gt;Valores!$F$62,Valores!$F$62,Valores!$C$62*B240))</f>
        <v>0</v>
      </c>
      <c r="AM240" s="125">
        <f t="shared" si="32"/>
        <v>0</v>
      </c>
      <c r="AN240" s="125">
        <f>AH240*Valores!$C$71</f>
        <v>-7505.116300000001</v>
      </c>
      <c r="AO240" s="125">
        <f>AH240*-Valores!$C$72</f>
        <v>0</v>
      </c>
      <c r="AP240" s="125">
        <f>AH240*Valores!$C$73</f>
        <v>-3070.27485</v>
      </c>
      <c r="AQ240" s="125">
        <f>Valores!$C$100</f>
        <v>-554.86</v>
      </c>
      <c r="AR240" s="125">
        <f>IF($F$5=0,Valores!$C$101,(Valores!$C$101+$F$5*(Valores!$C$101)))</f>
        <v>-550</v>
      </c>
      <c r="AS240" s="125">
        <f t="shared" si="35"/>
        <v>56548.078850000005</v>
      </c>
      <c r="AT240" s="125">
        <f t="shared" si="29"/>
        <v>-7505.116300000001</v>
      </c>
      <c r="AU240" s="125">
        <f>AH240*Valores!$C$74</f>
        <v>-1842.16491</v>
      </c>
      <c r="AV240" s="125">
        <f>AH240*Valores!$C$75</f>
        <v>-204.68499</v>
      </c>
      <c r="AW240" s="125">
        <f t="shared" si="33"/>
        <v>58676.3638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23996.85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4899.44</v>
      </c>
      <c r="N241" s="125">
        <f t="shared" si="30"/>
        <v>0</v>
      </c>
      <c r="O241" s="125">
        <f>Valores!$C$7*B241</f>
        <v>10301.28</v>
      </c>
      <c r="P241" s="125">
        <f>ROUND(IF(B241&lt;15,(Valores!$E$5*B241),Valores!$D$5),2)</f>
        <v>10352.08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5426.16</v>
      </c>
      <c r="S241" s="125">
        <f>Valores!$C$18*B241</f>
        <v>3239.92</v>
      </c>
      <c r="T241" s="125">
        <f t="shared" si="36"/>
        <v>3239.92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10373.44</v>
      </c>
      <c r="AA241" s="125">
        <f>IF((Valores!$C$28)*B241&gt;Valores!$F$28,Valores!$F$28,(Valores!$C$28)*B241)</f>
        <v>254.48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211.92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</f>
        <v>4840.64</v>
      </c>
      <c r="AH241" s="125">
        <f t="shared" si="34"/>
        <v>73896.20999999999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0</v>
      </c>
      <c r="AL241" s="125">
        <f>IF($F$3="NO",0,IF(Valores!$C$62*B241&gt;Valores!$F$62,Valores!$F$62,Valores!$C$62*B241))</f>
        <v>0</v>
      </c>
      <c r="AM241" s="125">
        <f t="shared" si="32"/>
        <v>0</v>
      </c>
      <c r="AN241" s="125">
        <f>AH241*Valores!$C$71</f>
        <v>-8128.583099999999</v>
      </c>
      <c r="AO241" s="125">
        <f>AH241*-Valores!$C$72</f>
        <v>0</v>
      </c>
      <c r="AP241" s="125">
        <f>AH241*Valores!$C$73</f>
        <v>-3325.3294499999997</v>
      </c>
      <c r="AQ241" s="125">
        <f>Valores!$C$100</f>
        <v>-554.86</v>
      </c>
      <c r="AR241" s="125">
        <f>IF($F$5=0,Valores!$C$101,(Valores!$C$101+$F$5*(Valores!$C$101)))</f>
        <v>-550</v>
      </c>
      <c r="AS241" s="125">
        <f t="shared" si="35"/>
        <v>61337.43744999999</v>
      </c>
      <c r="AT241" s="125">
        <f t="shared" si="29"/>
        <v>-8128.583099999999</v>
      </c>
      <c r="AU241" s="125">
        <f>AH241*Valores!$C$74</f>
        <v>-1995.1976699999998</v>
      </c>
      <c r="AV241" s="125">
        <f>AH241*Valores!$C$75</f>
        <v>-221.68863</v>
      </c>
      <c r="AW241" s="125">
        <f t="shared" si="33"/>
        <v>63550.74059999999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23996.85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4899.44</v>
      </c>
      <c r="N242" s="125">
        <f t="shared" si="30"/>
        <v>0</v>
      </c>
      <c r="O242" s="125">
        <f>Valores!$C$7*B242</f>
        <v>10301.28</v>
      </c>
      <c r="P242" s="125">
        <f>ROUND(IF(B242&lt;15,(Valores!$E$5*B242),Valores!$D$5),2)</f>
        <v>10352.08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5426.16</v>
      </c>
      <c r="S242" s="125">
        <f>Valores!$C$18*B242</f>
        <v>3239.92</v>
      </c>
      <c r="T242" s="125">
        <f t="shared" si="36"/>
        <v>3239.92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10373.44</v>
      </c>
      <c r="AA242" s="125">
        <f>IF((Valores!$C$28)*B242&gt;Valores!$F$28,Valores!$F$28,(Valores!$C$28)*B242)</f>
        <v>254.48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211.92</v>
      </c>
      <c r="AE242" s="192">
        <v>94</v>
      </c>
      <c r="AF242" s="125">
        <f>ROUND(AE242*Valores!$C$2,2)</f>
        <v>3569.15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</f>
        <v>4840.64</v>
      </c>
      <c r="AH242" s="125">
        <f t="shared" si="34"/>
        <v>77465.35999999999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0</v>
      </c>
      <c r="AL242" s="125">
        <f>IF($F$3="NO",0,IF(Valores!$C$62*B242&gt;Valores!$F$62,Valores!$F$62,Valores!$C$62*B242))</f>
        <v>0</v>
      </c>
      <c r="AM242" s="125">
        <f t="shared" si="32"/>
        <v>0</v>
      </c>
      <c r="AN242" s="125">
        <f>AH242*Valores!$C$71</f>
        <v>-8521.189599999998</v>
      </c>
      <c r="AO242" s="125">
        <f>AH242*-Valores!$C$72</f>
        <v>0</v>
      </c>
      <c r="AP242" s="125">
        <f>AH242*Valores!$C$73</f>
        <v>-3485.9411999999993</v>
      </c>
      <c r="AQ242" s="125">
        <f>Valores!$C$100</f>
        <v>-554.86</v>
      </c>
      <c r="AR242" s="125">
        <f>IF($F$5=0,Valores!$C$101,(Valores!$C$101+$F$5*(Valores!$C$101)))</f>
        <v>-550</v>
      </c>
      <c r="AS242" s="125">
        <f t="shared" si="35"/>
        <v>64353.36919999999</v>
      </c>
      <c r="AT242" s="125">
        <f t="shared" si="29"/>
        <v>-8521.189599999998</v>
      </c>
      <c r="AU242" s="125">
        <f>AH242*Valores!$C$74</f>
        <v>-2091.5647199999994</v>
      </c>
      <c r="AV242" s="125">
        <f>AH242*Valores!$C$75</f>
        <v>-232.39607999999996</v>
      </c>
      <c r="AW242" s="125">
        <f t="shared" si="33"/>
        <v>66620.20959999999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26996.46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5511.87</v>
      </c>
      <c r="N243" s="125">
        <f t="shared" si="30"/>
        <v>0</v>
      </c>
      <c r="O243" s="125">
        <f>Valores!$C$7*B243</f>
        <v>11588.94</v>
      </c>
      <c r="P243" s="125">
        <f>ROUND(IF(B243&lt;15,(Valores!$E$5*B243),Valores!$D$5),2)</f>
        <v>11646.09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6104.43</v>
      </c>
      <c r="S243" s="125">
        <f>Valores!$C$18*B243</f>
        <v>3644.91</v>
      </c>
      <c r="T243" s="125">
        <f t="shared" si="36"/>
        <v>3644.91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11670.12</v>
      </c>
      <c r="AA243" s="125">
        <f>IF((Valores!$C$28)*B243&gt;Valores!$F$28,Valores!$F$28,(Valores!$C$28)*B243)</f>
        <v>286.28999999999996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238.41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</f>
        <v>5445.72</v>
      </c>
      <c r="AH243" s="125">
        <f t="shared" si="34"/>
        <v>83133.23999999999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0</v>
      </c>
      <c r="AL243" s="125">
        <f>IF($F$3="NO",0,IF(Valores!$C$62*B243&gt;Valores!$F$62,Valores!$F$62,Valores!$C$62*B243))</f>
        <v>0</v>
      </c>
      <c r="AM243" s="125">
        <f t="shared" si="32"/>
        <v>0</v>
      </c>
      <c r="AN243" s="125">
        <f>AH243*Valores!$C$71</f>
        <v>-9144.6564</v>
      </c>
      <c r="AO243" s="125">
        <f>AH243*-Valores!$C$72</f>
        <v>0</v>
      </c>
      <c r="AP243" s="125">
        <f>AH243*Valores!$C$73</f>
        <v>-3740.9957999999992</v>
      </c>
      <c r="AQ243" s="125">
        <f>Valores!$C$100</f>
        <v>-554.86</v>
      </c>
      <c r="AR243" s="125">
        <f>IF($F$5=0,Valores!$C$101,(Valores!$C$101+$F$5*(Valores!$C$101)))</f>
        <v>-550</v>
      </c>
      <c r="AS243" s="125">
        <f t="shared" si="35"/>
        <v>69142.7278</v>
      </c>
      <c r="AT243" s="125">
        <f t="shared" si="29"/>
        <v>-9144.6564</v>
      </c>
      <c r="AU243" s="125">
        <f>AH243*Valores!$C$74</f>
        <v>-2244.59748</v>
      </c>
      <c r="AV243" s="125">
        <f>AH243*Valores!$C$75</f>
        <v>-249.39971999999997</v>
      </c>
      <c r="AW243" s="125">
        <f t="shared" si="33"/>
        <v>71494.58639999999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26996.46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5511.87</v>
      </c>
      <c r="N244" s="125">
        <f t="shared" si="30"/>
        <v>0</v>
      </c>
      <c r="O244" s="125">
        <f>Valores!$C$7*B244</f>
        <v>11588.94</v>
      </c>
      <c r="P244" s="125">
        <f>ROUND(IF(B244&lt;15,(Valores!$E$5*B244),Valores!$D$5),2)</f>
        <v>11646.09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6104.43</v>
      </c>
      <c r="S244" s="125">
        <f>Valores!$C$18*B244</f>
        <v>3644.91</v>
      </c>
      <c r="T244" s="125">
        <f t="shared" si="36"/>
        <v>3644.91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11670.12</v>
      </c>
      <c r="AA244" s="125">
        <f>IF((Valores!$C$28)*B244&gt;Valores!$F$28,Valores!$F$28,(Valores!$C$28)*B244)</f>
        <v>286.28999999999996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238.41</v>
      </c>
      <c r="AE244" s="192">
        <v>94</v>
      </c>
      <c r="AF244" s="125">
        <f>ROUND(AE244*Valores!$C$2,2)</f>
        <v>3569.15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</f>
        <v>5445.72</v>
      </c>
      <c r="AH244" s="125">
        <f t="shared" si="34"/>
        <v>86702.38999999998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0</v>
      </c>
      <c r="AL244" s="125">
        <f>IF($F$3="NO",0,IF(Valores!$C$62*B244&gt;Valores!$F$62,Valores!$F$62,Valores!$C$62*B244))</f>
        <v>0</v>
      </c>
      <c r="AM244" s="125">
        <f t="shared" si="32"/>
        <v>0</v>
      </c>
      <c r="AN244" s="125">
        <f>AH244*Valores!$C$71</f>
        <v>-9537.262899999998</v>
      </c>
      <c r="AO244" s="125">
        <f>AH244*-Valores!$C$72</f>
        <v>0</v>
      </c>
      <c r="AP244" s="125">
        <f>AH244*Valores!$C$73</f>
        <v>-3901.6075499999993</v>
      </c>
      <c r="AQ244" s="125">
        <f>Valores!$C$100</f>
        <v>-554.86</v>
      </c>
      <c r="AR244" s="125">
        <f>IF($F$5=0,Valores!$C$101,(Valores!$C$101+$F$5*(Valores!$C$101)))</f>
        <v>-550</v>
      </c>
      <c r="AS244" s="125">
        <f t="shared" si="35"/>
        <v>72158.65954999998</v>
      </c>
      <c r="AT244" s="125">
        <f t="shared" si="29"/>
        <v>-9537.262899999998</v>
      </c>
      <c r="AU244" s="125">
        <f>AH244*Valores!$C$74</f>
        <v>-2340.9645299999997</v>
      </c>
      <c r="AV244" s="125">
        <f>AH244*Valores!$C$75</f>
        <v>-260.10716999999994</v>
      </c>
      <c r="AW244" s="125">
        <f t="shared" si="33"/>
        <v>74564.05539999998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29996.06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6124.3</v>
      </c>
      <c r="N245" s="125">
        <f t="shared" si="30"/>
        <v>0</v>
      </c>
      <c r="O245" s="125">
        <f>Valores!$C$7*B245</f>
        <v>12876.6</v>
      </c>
      <c r="P245" s="125">
        <f>ROUND(IF(B245&lt;15,(Valores!$E$5*B245),Valores!$D$5),2)</f>
        <v>12940.1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6782.7</v>
      </c>
      <c r="S245" s="125">
        <f>Valores!$C$18*B245</f>
        <v>4049.9</v>
      </c>
      <c r="T245" s="125">
        <f t="shared" si="36"/>
        <v>4049.9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12966.800000000001</v>
      </c>
      <c r="AA245" s="125">
        <f>IF((Valores!$C$28)*B245&gt;Valores!$F$28,Valores!$F$28,(Valores!$C$28)*B245)</f>
        <v>318.09999999999997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264.9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</f>
        <v>6050.8</v>
      </c>
      <c r="AH245" s="125">
        <f t="shared" si="34"/>
        <v>92370.26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0</v>
      </c>
      <c r="AL245" s="125">
        <f>IF($F$3="NO",0,IF(Valores!$C$62*B245&gt;Valores!$F$62,Valores!$F$62,Valores!$C$62*B245))</f>
        <v>0</v>
      </c>
      <c r="AM245" s="125">
        <f t="shared" si="32"/>
        <v>0</v>
      </c>
      <c r="AN245" s="125">
        <f>AH245*Valores!$C$71</f>
        <v>-10160.7286</v>
      </c>
      <c r="AO245" s="125">
        <f>AH245*-Valores!$C$72</f>
        <v>0</v>
      </c>
      <c r="AP245" s="125">
        <f>AH245*Valores!$C$73</f>
        <v>-4156.6617</v>
      </c>
      <c r="AQ245" s="125">
        <f>Valores!$C$100</f>
        <v>-554.86</v>
      </c>
      <c r="AR245" s="125">
        <f>IF($F$5=0,Valores!$C$101,(Valores!$C$101+$F$5*(Valores!$C$101)))</f>
        <v>-550</v>
      </c>
      <c r="AS245" s="125">
        <f t="shared" si="35"/>
        <v>76948.0097</v>
      </c>
      <c r="AT245" s="125">
        <f t="shared" si="29"/>
        <v>-10160.7286</v>
      </c>
      <c r="AU245" s="125">
        <f>AH245*Valores!$C$74</f>
        <v>-2493.99702</v>
      </c>
      <c r="AV245" s="125">
        <f>AH245*Valores!$C$75</f>
        <v>-277.11078</v>
      </c>
      <c r="AW245" s="125">
        <f t="shared" si="33"/>
        <v>79438.4236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29996.06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6124.3</v>
      </c>
      <c r="N246" s="125">
        <f t="shared" si="30"/>
        <v>0</v>
      </c>
      <c r="O246" s="125">
        <f>Valores!$C$7*B246</f>
        <v>12876.6</v>
      </c>
      <c r="P246" s="125">
        <f>ROUND(IF(B246&lt;15,(Valores!$E$5*B246),Valores!$D$5),2)</f>
        <v>12940.1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6782.7</v>
      </c>
      <c r="S246" s="125">
        <f>Valores!$C$18*B246</f>
        <v>4049.9</v>
      </c>
      <c r="T246" s="125">
        <f t="shared" si="36"/>
        <v>4049.9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12966.800000000001</v>
      </c>
      <c r="AA246" s="125">
        <f>IF((Valores!$C$28)*B246&gt;Valores!$F$28,Valores!$F$28,(Valores!$C$28)*B246)</f>
        <v>318.09999999999997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264.9</v>
      </c>
      <c r="AE246" s="192">
        <v>94</v>
      </c>
      <c r="AF246" s="125">
        <f>ROUND(AE246*Valores!$C$2,2)</f>
        <v>3569.15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</f>
        <v>6050.8</v>
      </c>
      <c r="AH246" s="125">
        <f t="shared" si="34"/>
        <v>95939.40999999999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0</v>
      </c>
      <c r="AL246" s="125">
        <f>IF($F$3="NO",0,IF(Valores!$C$62*B246&gt;Valores!$F$62,Valores!$F$62,Valores!$C$62*B246))</f>
        <v>0</v>
      </c>
      <c r="AM246" s="125">
        <f t="shared" si="32"/>
        <v>0</v>
      </c>
      <c r="AN246" s="125">
        <f>AH246*Valores!$C$71</f>
        <v>-10553.335099999998</v>
      </c>
      <c r="AO246" s="125">
        <f>AH246*-Valores!$C$72</f>
        <v>0</v>
      </c>
      <c r="AP246" s="125">
        <f>AH246*Valores!$C$73</f>
        <v>-4317.27345</v>
      </c>
      <c r="AQ246" s="125">
        <f>Valores!$C$100</f>
        <v>-554.86</v>
      </c>
      <c r="AR246" s="125">
        <f>IF($F$5=0,Valores!$C$101,(Valores!$C$101+$F$5*(Valores!$C$101)))</f>
        <v>-550</v>
      </c>
      <c r="AS246" s="125">
        <f t="shared" si="35"/>
        <v>79963.94144999998</v>
      </c>
      <c r="AT246" s="125">
        <f t="shared" si="29"/>
        <v>-10553.335099999998</v>
      </c>
      <c r="AU246" s="125">
        <f>AH246*Valores!$C$74</f>
        <v>-2590.3640699999996</v>
      </c>
      <c r="AV246" s="125">
        <f>AH246*Valores!$C$75</f>
        <v>-287.81822999999997</v>
      </c>
      <c r="AW246" s="125">
        <f t="shared" si="33"/>
        <v>82507.89259999999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32995.67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6736.73</v>
      </c>
      <c r="N247" s="125">
        <f t="shared" si="30"/>
        <v>0</v>
      </c>
      <c r="O247" s="125">
        <f>Valores!$C$7*B247</f>
        <v>14164.26</v>
      </c>
      <c r="P247" s="125">
        <f>ROUND(IF(B247&lt;15,(Valores!$E$5*B247),Valores!$D$5),2)</f>
        <v>14234.11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7460.969999999999</v>
      </c>
      <c r="S247" s="125">
        <f>Valores!$C$18*B247</f>
        <v>4454.89</v>
      </c>
      <c r="T247" s="125">
        <f t="shared" si="36"/>
        <v>4454.89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14263.480000000001</v>
      </c>
      <c r="AA247" s="125">
        <f>IF((Valores!$C$28)*B247&gt;Valores!$F$28,Valores!$F$28,(Valores!$C$28)*B247)</f>
        <v>349.90999999999997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291.39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</f>
        <v>6655.88</v>
      </c>
      <c r="AH247" s="125">
        <f t="shared" si="34"/>
        <v>101607.29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0</v>
      </c>
      <c r="AL247" s="125">
        <f>IF($F$3="NO",0,IF(Valores!$C$62*B247&gt;Valores!$F$62,Valores!$F$62,Valores!$C$62*B247))</f>
        <v>0</v>
      </c>
      <c r="AM247" s="125">
        <f t="shared" si="32"/>
        <v>0</v>
      </c>
      <c r="AN247" s="125">
        <f>AH247*Valores!$C$71</f>
        <v>-11176.801899999999</v>
      </c>
      <c r="AO247" s="125">
        <f>AH247*-Valores!$C$72</f>
        <v>0</v>
      </c>
      <c r="AP247" s="125">
        <f>AH247*Valores!$C$73</f>
        <v>-4572.328049999999</v>
      </c>
      <c r="AQ247" s="125">
        <f>Valores!$C$100</f>
        <v>-554.86</v>
      </c>
      <c r="AR247" s="125">
        <f>IF($F$5=0,Valores!$C$101,(Valores!$C$101+$F$5*(Valores!$C$101)))</f>
        <v>-550</v>
      </c>
      <c r="AS247" s="125">
        <f t="shared" si="35"/>
        <v>84753.30004999999</v>
      </c>
      <c r="AT247" s="125">
        <f t="shared" si="29"/>
        <v>-11176.801899999999</v>
      </c>
      <c r="AU247" s="125">
        <f>AH247*Valores!$C$74</f>
        <v>-2743.3968299999997</v>
      </c>
      <c r="AV247" s="125">
        <f>AH247*Valores!$C$75</f>
        <v>-304.82187</v>
      </c>
      <c r="AW247" s="125">
        <f t="shared" si="33"/>
        <v>87382.26939999999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32995.67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6736.73</v>
      </c>
      <c r="N248" s="125">
        <f t="shared" si="30"/>
        <v>0</v>
      </c>
      <c r="O248" s="125">
        <f>Valores!$C$7*B248</f>
        <v>14164.26</v>
      </c>
      <c r="P248" s="125">
        <f>ROUND(IF(B248&lt;15,(Valores!$E$5*B248),Valores!$D$5),2)</f>
        <v>14234.11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7460.969999999999</v>
      </c>
      <c r="S248" s="125">
        <f>Valores!$C$18*B248</f>
        <v>4454.89</v>
      </c>
      <c r="T248" s="125">
        <f t="shared" si="36"/>
        <v>4454.89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14263.480000000001</v>
      </c>
      <c r="AA248" s="125">
        <f>IF((Valores!$C$28)*B248&gt;Valores!$F$28,Valores!$F$28,(Valores!$C$28)*B248)</f>
        <v>349.90999999999997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291.39</v>
      </c>
      <c r="AE248" s="192">
        <v>94</v>
      </c>
      <c r="AF248" s="125">
        <f>ROUND(AE248*Valores!$C$2,2)</f>
        <v>3569.15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</f>
        <v>6655.88</v>
      </c>
      <c r="AH248" s="125">
        <f t="shared" si="34"/>
        <v>105176.43999999999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0</v>
      </c>
      <c r="AL248" s="125">
        <f>IF($F$3="NO",0,IF(Valores!$C$62*B248&gt;Valores!$F$62,Valores!$F$62,Valores!$C$62*B248))</f>
        <v>0</v>
      </c>
      <c r="AM248" s="125">
        <f t="shared" si="32"/>
        <v>0</v>
      </c>
      <c r="AN248" s="125">
        <f>AH248*Valores!$C$71</f>
        <v>-11569.408399999998</v>
      </c>
      <c r="AO248" s="125">
        <f>AH248*-Valores!$C$72</f>
        <v>0</v>
      </c>
      <c r="AP248" s="125">
        <f>AH248*Valores!$C$73</f>
        <v>-4732.939799999999</v>
      </c>
      <c r="AQ248" s="125">
        <f>Valores!$C$100</f>
        <v>-554.86</v>
      </c>
      <c r="AR248" s="125">
        <f>IF($F$5=0,Valores!$C$101,(Valores!$C$101+$F$5*(Valores!$C$101)))</f>
        <v>-550</v>
      </c>
      <c r="AS248" s="125">
        <f t="shared" si="35"/>
        <v>87769.2318</v>
      </c>
      <c r="AT248" s="125">
        <f t="shared" si="29"/>
        <v>-11569.408399999998</v>
      </c>
      <c r="AU248" s="125">
        <f>AH248*Valores!$C$74</f>
        <v>-2839.7638799999995</v>
      </c>
      <c r="AV248" s="125">
        <f>AH248*Valores!$C$75</f>
        <v>-315.52932</v>
      </c>
      <c r="AW248" s="125">
        <f t="shared" si="33"/>
        <v>90451.73839999999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35995.28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7349.16</v>
      </c>
      <c r="N249" s="125">
        <f t="shared" si="30"/>
        <v>0</v>
      </c>
      <c r="O249" s="125">
        <f>Valores!$C$7*B249</f>
        <v>15451.920000000002</v>
      </c>
      <c r="P249" s="125">
        <f>ROUND(IF(B249&lt;15,(Valores!$E$5*B249),Valores!$D$5),2)</f>
        <v>15528.12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8139.24</v>
      </c>
      <c r="S249" s="125">
        <f>Valores!$C$18*B249</f>
        <v>4859.88</v>
      </c>
      <c r="T249" s="125">
        <f t="shared" si="36"/>
        <v>4859.88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15560.16</v>
      </c>
      <c r="AA249" s="125">
        <f>IF((Valores!$C$28)*B249&gt;Valores!$F$28,Valores!$F$28,(Valores!$C$28)*B249)</f>
        <v>381.71999999999997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317.88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</f>
        <v>7260.960000000001</v>
      </c>
      <c r="AH249" s="125">
        <f t="shared" si="34"/>
        <v>110844.32000000002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0</v>
      </c>
      <c r="AL249" s="125">
        <f>IF($F$3="NO",0,IF(Valores!$C$62*B249&gt;Valores!$F$62,Valores!$F$62,Valores!$C$62*B249))</f>
        <v>0</v>
      </c>
      <c r="AM249" s="125">
        <f t="shared" si="32"/>
        <v>0</v>
      </c>
      <c r="AN249" s="125">
        <f>AH249*Valores!$C$71</f>
        <v>-12192.875200000002</v>
      </c>
      <c r="AO249" s="125">
        <f>AH249*-Valores!$C$72</f>
        <v>0</v>
      </c>
      <c r="AP249" s="125">
        <f>AH249*Valores!$C$73</f>
        <v>-4987.9944000000005</v>
      </c>
      <c r="AQ249" s="125">
        <f>Valores!$C$100</f>
        <v>-554.86</v>
      </c>
      <c r="AR249" s="125">
        <f>IF($F$5=0,Valores!$C$101,(Valores!$C$101+$F$5*(Valores!$C$101)))</f>
        <v>-550</v>
      </c>
      <c r="AS249" s="125">
        <f t="shared" si="35"/>
        <v>92558.59040000002</v>
      </c>
      <c r="AT249" s="125">
        <f t="shared" si="29"/>
        <v>-12192.875200000002</v>
      </c>
      <c r="AU249" s="125">
        <f>AH249*Valores!$C$74</f>
        <v>-2992.7966400000005</v>
      </c>
      <c r="AV249" s="125">
        <f>AH249*Valores!$C$75</f>
        <v>-332.53296000000006</v>
      </c>
      <c r="AW249" s="125">
        <f t="shared" si="33"/>
        <v>95326.11520000001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35995.28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7349.16</v>
      </c>
      <c r="N250" s="125">
        <f t="shared" si="30"/>
        <v>0</v>
      </c>
      <c r="O250" s="125">
        <f>Valores!$C$7*B250</f>
        <v>15451.920000000002</v>
      </c>
      <c r="P250" s="125">
        <f>ROUND(IF(B250&lt;15,(Valores!$E$5*B250),Valores!$D$5),2)</f>
        <v>15528.12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8139.24</v>
      </c>
      <c r="S250" s="125">
        <f>Valores!$C$18*B250</f>
        <v>4859.88</v>
      </c>
      <c r="T250" s="125">
        <f t="shared" si="36"/>
        <v>4859.88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15560.16</v>
      </c>
      <c r="AA250" s="125">
        <f>IF((Valores!$C$28)*B250&gt;Valores!$F$28,Valores!$F$28,(Valores!$C$28)*B250)</f>
        <v>381.71999999999997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317.88</v>
      </c>
      <c r="AE250" s="192">
        <v>94</v>
      </c>
      <c r="AF250" s="125">
        <f>ROUND(AE250*Valores!$C$2,2)</f>
        <v>3569.15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</f>
        <v>7260.960000000001</v>
      </c>
      <c r="AH250" s="125">
        <f t="shared" si="34"/>
        <v>114413.47000000002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0</v>
      </c>
      <c r="AL250" s="125">
        <f>IF($F$3="NO",0,IF(Valores!$C$62*B250&gt;Valores!$F$62,Valores!$F$62,Valores!$C$62*B250))</f>
        <v>0</v>
      </c>
      <c r="AM250" s="125">
        <f t="shared" si="32"/>
        <v>0</v>
      </c>
      <c r="AN250" s="125">
        <f>AH250*Valores!$C$71</f>
        <v>-12585.481700000002</v>
      </c>
      <c r="AO250" s="125">
        <f>AH250*-Valores!$C$72</f>
        <v>0</v>
      </c>
      <c r="AP250" s="125">
        <f>AH250*Valores!$C$73</f>
        <v>-5148.6061500000005</v>
      </c>
      <c r="AQ250" s="125">
        <f>Valores!$C$100</f>
        <v>-554.86</v>
      </c>
      <c r="AR250" s="125">
        <f>IF($F$5=0,Valores!$C$101,(Valores!$C$101+$F$5*(Valores!$C$101)))</f>
        <v>-550</v>
      </c>
      <c r="AS250" s="125">
        <f t="shared" si="35"/>
        <v>95574.52215</v>
      </c>
      <c r="AT250" s="125">
        <f t="shared" si="29"/>
        <v>-12585.481700000002</v>
      </c>
      <c r="AU250" s="125">
        <f>AH250*Valores!$C$74</f>
        <v>-3089.1636900000003</v>
      </c>
      <c r="AV250" s="125">
        <f>AH250*Valores!$C$75</f>
        <v>-343.24041000000005</v>
      </c>
      <c r="AW250" s="125">
        <f t="shared" si="33"/>
        <v>98395.58420000001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38994.88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7961.59</v>
      </c>
      <c r="N251" s="125">
        <f t="shared" si="30"/>
        <v>0</v>
      </c>
      <c r="O251" s="125">
        <f>Valores!$C$7*B251</f>
        <v>16739.58</v>
      </c>
      <c r="P251" s="125">
        <f>ROUND(IF(B251&lt;15,(Valores!$E$5*B251),Valores!$D$5),2)</f>
        <v>16822.13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8817.51</v>
      </c>
      <c r="S251" s="125">
        <f>Valores!$C$18*B251</f>
        <v>5264.87</v>
      </c>
      <c r="T251" s="125">
        <f t="shared" si="36"/>
        <v>5264.87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16856.84</v>
      </c>
      <c r="AA251" s="125">
        <f>IF((Valores!$C$28)*B251&gt;Valores!$F$28,Valores!$F$28,(Valores!$C$28)*B251)</f>
        <v>413.53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344.37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</f>
        <v>7866.040000000001</v>
      </c>
      <c r="AH251" s="125">
        <f t="shared" si="34"/>
        <v>120081.34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0</v>
      </c>
      <c r="AL251" s="125">
        <f>IF($F$3="NO",0,IF(Valores!$C$62*B251&gt;Valores!$F$62,Valores!$F$62,Valores!$C$62*B251))</f>
        <v>0</v>
      </c>
      <c r="AM251" s="125">
        <f t="shared" si="32"/>
        <v>0</v>
      </c>
      <c r="AN251" s="125">
        <f>AH251*Valores!$C$71</f>
        <v>-13208.9474</v>
      </c>
      <c r="AO251" s="125">
        <f>AH251*-Valores!$C$72</f>
        <v>0</v>
      </c>
      <c r="AP251" s="125">
        <f>AH251*Valores!$C$73</f>
        <v>-5403.6603</v>
      </c>
      <c r="AQ251" s="125">
        <f>Valores!$C$100</f>
        <v>-554.86</v>
      </c>
      <c r="AR251" s="125">
        <f>IF($F$5=0,Valores!$C$101,(Valores!$C$101+$F$5*(Valores!$C$101)))</f>
        <v>-550</v>
      </c>
      <c r="AS251" s="125">
        <f t="shared" si="35"/>
        <v>100363.87229999999</v>
      </c>
      <c r="AT251" s="125">
        <f t="shared" si="29"/>
        <v>-13208.9474</v>
      </c>
      <c r="AU251" s="125">
        <f>AH251*Valores!$C$74</f>
        <v>-3242.19618</v>
      </c>
      <c r="AV251" s="125">
        <f>AH251*Valores!$C$75</f>
        <v>-360.24402</v>
      </c>
      <c r="AW251" s="125">
        <f t="shared" si="33"/>
        <v>103269.9524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38994.88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7961.59</v>
      </c>
      <c r="N252" s="125">
        <f t="shared" si="30"/>
        <v>0</v>
      </c>
      <c r="O252" s="125">
        <f>Valores!$C$7*B252</f>
        <v>16739.58</v>
      </c>
      <c r="P252" s="125">
        <f>ROUND(IF(B252&lt;15,(Valores!$E$5*B252),Valores!$D$5),2)</f>
        <v>16822.13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8817.51</v>
      </c>
      <c r="S252" s="125">
        <f>Valores!$C$18*B252</f>
        <v>5264.87</v>
      </c>
      <c r="T252" s="125">
        <f t="shared" si="36"/>
        <v>5264.87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16856.84</v>
      </c>
      <c r="AA252" s="125">
        <f>IF((Valores!$C$28)*B252&gt;Valores!$F$28,Valores!$F$28,(Valores!$C$28)*B252)</f>
        <v>413.53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344.37</v>
      </c>
      <c r="AE252" s="192">
        <v>94</v>
      </c>
      <c r="AF252" s="125">
        <f>ROUND(AE252*Valores!$C$2,2)</f>
        <v>3569.15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</f>
        <v>7866.040000000001</v>
      </c>
      <c r="AH252" s="125">
        <f t="shared" si="34"/>
        <v>123650.48999999999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0</v>
      </c>
      <c r="AL252" s="125">
        <f>IF($F$3="NO",0,IF(Valores!$C$62*B252&gt;Valores!$F$62,Valores!$F$62,Valores!$C$62*B252))</f>
        <v>0</v>
      </c>
      <c r="AM252" s="125">
        <f t="shared" si="32"/>
        <v>0</v>
      </c>
      <c r="AN252" s="125">
        <f>AH252*Valores!$C$71</f>
        <v>-13601.553899999999</v>
      </c>
      <c r="AO252" s="125">
        <f>AH252*-Valores!$C$72</f>
        <v>0</v>
      </c>
      <c r="AP252" s="125">
        <f>AH252*Valores!$C$73</f>
        <v>-5564.27205</v>
      </c>
      <c r="AQ252" s="125">
        <f>Valores!$C$100</f>
        <v>-554.86</v>
      </c>
      <c r="AR252" s="125">
        <f>IF($F$5=0,Valores!$C$101,(Valores!$C$101+$F$5*(Valores!$C$101)))</f>
        <v>-550</v>
      </c>
      <c r="AS252" s="125">
        <f t="shared" si="35"/>
        <v>103379.80404999999</v>
      </c>
      <c r="AT252" s="125">
        <f t="shared" si="29"/>
        <v>-13601.553899999999</v>
      </c>
      <c r="AU252" s="125">
        <f>AH252*Valores!$C$74</f>
        <v>-3338.5632299999997</v>
      </c>
      <c r="AV252" s="125">
        <f>AH252*Valores!$C$75</f>
        <v>-370.95147</v>
      </c>
      <c r="AW252" s="125">
        <f t="shared" si="33"/>
        <v>106339.42139999999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41994.49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8574.02</v>
      </c>
      <c r="N253" s="125">
        <f t="shared" si="30"/>
        <v>0</v>
      </c>
      <c r="O253" s="125">
        <f>Valores!$C$7*B253</f>
        <v>18027.24</v>
      </c>
      <c r="P253" s="125">
        <f>ROUND(IF(B253&lt;15,(Valores!$E$5*B253),Valores!$D$5),2)</f>
        <v>18116.14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9495.779999999999</v>
      </c>
      <c r="S253" s="125">
        <f>Valores!$C$18*B253</f>
        <v>5669.860000000001</v>
      </c>
      <c r="T253" s="125">
        <f t="shared" si="36"/>
        <v>5669.86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18153.52</v>
      </c>
      <c r="AA253" s="125">
        <f>IF((Valores!$C$28)*B253&gt;Valores!$F$28,Valores!$F$28,(Valores!$C$28)*B253)</f>
        <v>445.34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370.85999999999996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</f>
        <v>8471.12</v>
      </c>
      <c r="AH253" s="125">
        <f t="shared" si="34"/>
        <v>129318.37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0</v>
      </c>
      <c r="AL253" s="125">
        <f>IF($F$3="NO",0,IF(Valores!$C$62*B253&gt;Valores!$F$62,Valores!$F$62,Valores!$C$62*B253))</f>
        <v>0</v>
      </c>
      <c r="AM253" s="125">
        <f t="shared" si="32"/>
        <v>0</v>
      </c>
      <c r="AN253" s="125">
        <f>AH253*Valores!$C$71</f>
        <v>-14225.0207</v>
      </c>
      <c r="AO253" s="125">
        <f>AH253*-Valores!$C$72</f>
        <v>0</v>
      </c>
      <c r="AP253" s="125">
        <f>AH253*Valores!$C$73</f>
        <v>-5819.32665</v>
      </c>
      <c r="AQ253" s="125">
        <f>Valores!$C$100</f>
        <v>-554.86</v>
      </c>
      <c r="AR253" s="125">
        <f>IF($F$5=0,Valores!$C$101,(Valores!$C$101+$F$5*(Valores!$C$101)))</f>
        <v>-550</v>
      </c>
      <c r="AS253" s="125">
        <f t="shared" si="35"/>
        <v>108169.16265</v>
      </c>
      <c r="AT253" s="125">
        <f t="shared" si="29"/>
        <v>-14225.0207</v>
      </c>
      <c r="AU253" s="125">
        <f>AH253*Valores!$C$74</f>
        <v>-3491.59599</v>
      </c>
      <c r="AV253" s="125">
        <f>AH253*Valores!$C$75</f>
        <v>-387.95511</v>
      </c>
      <c r="AW253" s="125">
        <f t="shared" si="33"/>
        <v>111213.79819999999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41994.49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8574.02</v>
      </c>
      <c r="N254" s="125">
        <f t="shared" si="30"/>
        <v>0</v>
      </c>
      <c r="O254" s="125">
        <f>Valores!$C$7*B254</f>
        <v>18027.24</v>
      </c>
      <c r="P254" s="125">
        <f>ROUND(IF(B254&lt;15,(Valores!$E$5*B254),Valores!$D$5),2)</f>
        <v>18116.14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9495.779999999999</v>
      </c>
      <c r="S254" s="125">
        <f>Valores!$C$18*B254</f>
        <v>5669.860000000001</v>
      </c>
      <c r="T254" s="125">
        <f t="shared" si="36"/>
        <v>5669.86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18153.52</v>
      </c>
      <c r="AA254" s="125">
        <f>IF((Valores!$C$28)*B254&gt;Valores!$F$28,Valores!$F$28,(Valores!$C$28)*B254)</f>
        <v>445.34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370.85999999999996</v>
      </c>
      <c r="AE254" s="192">
        <v>94</v>
      </c>
      <c r="AF254" s="125">
        <f>ROUND(AE254*Valores!$C$2,2)</f>
        <v>3569.15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</f>
        <v>8471.12</v>
      </c>
      <c r="AH254" s="125">
        <f t="shared" si="34"/>
        <v>132887.52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0</v>
      </c>
      <c r="AL254" s="125">
        <f>IF($F$3="NO",0,IF(Valores!$C$62*B254&gt;Valores!$F$62,Valores!$F$62,Valores!$C$62*B254))</f>
        <v>0</v>
      </c>
      <c r="AM254" s="125">
        <f t="shared" si="32"/>
        <v>0</v>
      </c>
      <c r="AN254" s="125">
        <f>AH254*Valores!$C$71</f>
        <v>-14617.627199999999</v>
      </c>
      <c r="AO254" s="125">
        <f>AH254*-Valores!$C$72</f>
        <v>0</v>
      </c>
      <c r="AP254" s="125">
        <f>AH254*Valores!$C$73</f>
        <v>-5979.938399999999</v>
      </c>
      <c r="AQ254" s="125">
        <f>Valores!$C$100</f>
        <v>-554.86</v>
      </c>
      <c r="AR254" s="125">
        <f>IF($F$5=0,Valores!$C$101,(Valores!$C$101+$F$5*(Valores!$C$101)))</f>
        <v>-550</v>
      </c>
      <c r="AS254" s="125">
        <f t="shared" si="35"/>
        <v>111185.09439999999</v>
      </c>
      <c r="AT254" s="125">
        <f t="shared" si="29"/>
        <v>-14617.627199999999</v>
      </c>
      <c r="AU254" s="125">
        <f>AH254*Valores!$C$74</f>
        <v>-3587.9630399999996</v>
      </c>
      <c r="AV254" s="125">
        <f>AH254*Valores!$C$75</f>
        <v>-398.66256</v>
      </c>
      <c r="AW254" s="125">
        <f t="shared" si="33"/>
        <v>114283.26719999999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44994.09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9186.45</v>
      </c>
      <c r="N255" s="125">
        <f t="shared" si="30"/>
        <v>0</v>
      </c>
      <c r="O255" s="125">
        <f>Valores!$C$7*B255</f>
        <v>19314.9</v>
      </c>
      <c r="P255" s="125">
        <f>ROUND(IF(B255&lt;15,(Valores!$E$5*B255),Valores!$D$5),2)</f>
        <v>19410.1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10174.05</v>
      </c>
      <c r="S255" s="125">
        <f>Valores!$C$18*B255</f>
        <v>6074.85</v>
      </c>
      <c r="T255" s="125">
        <f t="shared" si="36"/>
        <v>6074.85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19450.2</v>
      </c>
      <c r="AA255" s="125">
        <f>IF((Valores!$C$28)*B255&gt;Valores!$F$28,Valores!$F$28,(Valores!$C$28)*B255)</f>
        <v>477.15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397.34999999999997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</f>
        <v>9076.2</v>
      </c>
      <c r="AH255" s="125">
        <f t="shared" si="34"/>
        <v>138555.34000000003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0</v>
      </c>
      <c r="AL255" s="125">
        <f>IF($F$3="NO",0,IF(Valores!$C$62*B255&gt;Valores!$F$62,Valores!$F$62,Valores!$C$62*B255))</f>
        <v>0</v>
      </c>
      <c r="AM255" s="125">
        <f t="shared" si="32"/>
        <v>0</v>
      </c>
      <c r="AN255" s="125">
        <f>AH255*Valores!$C$71</f>
        <v>-15241.087400000002</v>
      </c>
      <c r="AO255" s="125">
        <f>AH255*-Valores!$C$72</f>
        <v>0</v>
      </c>
      <c r="AP255" s="125">
        <f>AH255*Valores!$C$73</f>
        <v>-6234.990300000001</v>
      </c>
      <c r="AQ255" s="125">
        <f>Valores!$C$100</f>
        <v>-554.86</v>
      </c>
      <c r="AR255" s="125">
        <f>IF($F$5=0,Valores!$C$101,(Valores!$C$101+$F$5*(Valores!$C$101)))</f>
        <v>-550</v>
      </c>
      <c r="AS255" s="125">
        <f t="shared" si="35"/>
        <v>115974.40230000002</v>
      </c>
      <c r="AT255" s="125">
        <f t="shared" si="29"/>
        <v>-15241.087400000002</v>
      </c>
      <c r="AU255" s="125">
        <f>AH255*Valores!$C$74</f>
        <v>-3740.9941800000006</v>
      </c>
      <c r="AV255" s="125">
        <f>AH255*Valores!$C$75</f>
        <v>-415.66602000000006</v>
      </c>
      <c r="AW255" s="125">
        <f t="shared" si="33"/>
        <v>119157.59240000002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44994.09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9186.45</v>
      </c>
      <c r="N256" s="125">
        <f t="shared" si="30"/>
        <v>0</v>
      </c>
      <c r="O256" s="125">
        <f>Valores!$C$7*B256</f>
        <v>19314.9</v>
      </c>
      <c r="P256" s="125">
        <f>ROUND(IF(B256&lt;15,(Valores!$E$5*B256),Valores!$D$5),2)</f>
        <v>19410.1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10174.05</v>
      </c>
      <c r="S256" s="125">
        <f>Valores!$C$18*B256</f>
        <v>6074.85</v>
      </c>
      <c r="T256" s="125">
        <f t="shared" si="36"/>
        <v>6074.85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19450.2</v>
      </c>
      <c r="AA256" s="125">
        <f>IF((Valores!$C$28)*B256&gt;Valores!$F$28,Valores!$F$28,(Valores!$C$28)*B256)</f>
        <v>477.15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397.34999999999997</v>
      </c>
      <c r="AE256" s="192">
        <v>94</v>
      </c>
      <c r="AF256" s="125">
        <f>ROUND(AE256*Valores!$C$2,2)</f>
        <v>3569.15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</f>
        <v>9076.2</v>
      </c>
      <c r="AH256" s="125">
        <f t="shared" si="34"/>
        <v>142124.49000000002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0</v>
      </c>
      <c r="AL256" s="125">
        <f>IF($F$3="NO",0,IF(Valores!$C$62*B256&gt;Valores!$F$62,Valores!$F$62,Valores!$C$62*B256))</f>
        <v>0</v>
      </c>
      <c r="AM256" s="125">
        <f t="shared" si="32"/>
        <v>0</v>
      </c>
      <c r="AN256" s="125">
        <f>AH256*Valores!$C$71</f>
        <v>-15633.693900000002</v>
      </c>
      <c r="AO256" s="125">
        <f>AH256*-Valores!$C$72</f>
        <v>0</v>
      </c>
      <c r="AP256" s="125">
        <f>AH256*Valores!$C$73</f>
        <v>-6395.60205</v>
      </c>
      <c r="AQ256" s="125">
        <f>Valores!$C$100</f>
        <v>-554.86</v>
      </c>
      <c r="AR256" s="125">
        <f>IF($F$5=0,Valores!$C$101,(Valores!$C$101+$F$5*(Valores!$C$101)))</f>
        <v>-550</v>
      </c>
      <c r="AS256" s="125">
        <f t="shared" si="35"/>
        <v>118990.33405000002</v>
      </c>
      <c r="AT256" s="125">
        <f t="shared" si="29"/>
        <v>-15633.693900000002</v>
      </c>
      <c r="AU256" s="125">
        <f>AH256*Valores!$C$74</f>
        <v>-3837.3612300000004</v>
      </c>
      <c r="AV256" s="125">
        <f>AH256*Valores!$C$75</f>
        <v>-426.37347000000005</v>
      </c>
      <c r="AW256" s="125">
        <f t="shared" si="33"/>
        <v>122227.06140000002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47993.7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9798.88</v>
      </c>
      <c r="N257" s="125">
        <f t="shared" si="30"/>
        <v>0</v>
      </c>
      <c r="O257" s="125">
        <f>Valores!$C$7*B257</f>
        <v>20602.56</v>
      </c>
      <c r="P257" s="125">
        <f>ROUND(IF(B257&lt;15,(Valores!$E$5*B257),Valores!$D$5),2)</f>
        <v>19410.1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10852.32</v>
      </c>
      <c r="S257" s="125">
        <f>Valores!$C$18*B257</f>
        <v>6479.84</v>
      </c>
      <c r="T257" s="125">
        <f t="shared" si="36"/>
        <v>6479.84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20746.88</v>
      </c>
      <c r="AA257" s="125">
        <f>IF((Valores!$C$28)*B257&gt;Valores!$F$28,Valores!$F$28,(Valores!$C$28)*B257)</f>
        <v>508.96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423.84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</f>
        <v>9681.28</v>
      </c>
      <c r="AH257" s="125">
        <f t="shared" si="34"/>
        <v>146498.36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0</v>
      </c>
      <c r="AL257" s="125">
        <f>IF($F$3="NO",0,IF(Valores!$C$62*B257&gt;Valores!$F$62,Valores!$F$62,Valores!$C$62*B257))</f>
        <v>0</v>
      </c>
      <c r="AM257" s="125">
        <f t="shared" si="32"/>
        <v>0</v>
      </c>
      <c r="AN257" s="125">
        <f>AH257*Valores!$C$71</f>
        <v>-16114.819599999999</v>
      </c>
      <c r="AO257" s="125">
        <f>AH257*-Valores!$C$72</f>
        <v>0</v>
      </c>
      <c r="AP257" s="125">
        <f>AH257*Valores!$C$73</f>
        <v>-6592.426199999999</v>
      </c>
      <c r="AQ257" s="125">
        <f>Valores!$C$100</f>
        <v>-554.86</v>
      </c>
      <c r="AR257" s="125">
        <f>IF($F$5=0,Valores!$C$101,(Valores!$C$101+$F$5*(Valores!$C$101)))</f>
        <v>-550</v>
      </c>
      <c r="AS257" s="125">
        <f t="shared" si="35"/>
        <v>122686.2542</v>
      </c>
      <c r="AT257" s="125">
        <f t="shared" si="29"/>
        <v>-16114.819599999999</v>
      </c>
      <c r="AU257" s="125">
        <f>AH257*Valores!$C$74</f>
        <v>-3955.4557199999995</v>
      </c>
      <c r="AV257" s="125">
        <f>AH257*Valores!$C$75</f>
        <v>-439.49508</v>
      </c>
      <c r="AW257" s="125">
        <f t="shared" si="33"/>
        <v>125988.58959999999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47993.7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9798.88</v>
      </c>
      <c r="N258" s="125">
        <f t="shared" si="30"/>
        <v>0</v>
      </c>
      <c r="O258" s="125">
        <f>Valores!$C$7*B258</f>
        <v>20602.56</v>
      </c>
      <c r="P258" s="125">
        <f>ROUND(IF(B258&lt;15,(Valores!$E$5*B258),Valores!$D$5),2)</f>
        <v>19410.1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10852.32</v>
      </c>
      <c r="S258" s="125">
        <f>Valores!$C$18*B258</f>
        <v>6479.84</v>
      </c>
      <c r="T258" s="125">
        <f t="shared" si="36"/>
        <v>6479.84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20746.88</v>
      </c>
      <c r="AA258" s="125">
        <f>IF((Valores!$C$28)*B258&gt;Valores!$F$28,Valores!$F$28,(Valores!$C$28)*B258)</f>
        <v>508.96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423.84</v>
      </c>
      <c r="AE258" s="192">
        <v>94</v>
      </c>
      <c r="AF258" s="125">
        <f>ROUND(AE258*Valores!$C$2,2)</f>
        <v>3569.15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</f>
        <v>9681.28</v>
      </c>
      <c r="AH258" s="125">
        <f t="shared" si="34"/>
        <v>150067.50999999998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0</v>
      </c>
      <c r="AL258" s="125">
        <f>IF($F$3="NO",0,IF(Valores!$C$62*B258&gt;Valores!$F$62,Valores!$F$62,Valores!$C$62*B258))</f>
        <v>0</v>
      </c>
      <c r="AM258" s="125">
        <f t="shared" si="32"/>
        <v>0</v>
      </c>
      <c r="AN258" s="125">
        <f>AH258*Valores!$C$71</f>
        <v>-16507.426099999997</v>
      </c>
      <c r="AO258" s="125">
        <f>AH258*-Valores!$C$72</f>
        <v>0</v>
      </c>
      <c r="AP258" s="125">
        <f>AH258*Valores!$C$73</f>
        <v>-6753.037949999999</v>
      </c>
      <c r="AQ258" s="125">
        <f>Valores!$C$100</f>
        <v>-554.86</v>
      </c>
      <c r="AR258" s="125">
        <f>IF($F$5=0,Valores!$C$101,(Valores!$C$101+$F$5*(Valores!$C$101)))</f>
        <v>-550</v>
      </c>
      <c r="AS258" s="125">
        <f t="shared" si="35"/>
        <v>125702.18594999998</v>
      </c>
      <c r="AT258" s="125">
        <f t="shared" si="29"/>
        <v>-16507.426099999997</v>
      </c>
      <c r="AU258" s="125">
        <f>AH258*Valores!$C$74</f>
        <v>-4051.8227699999993</v>
      </c>
      <c r="AV258" s="125">
        <f>AH258*Valores!$C$75</f>
        <v>-450.20252999999997</v>
      </c>
      <c r="AW258" s="125">
        <f t="shared" si="33"/>
        <v>129058.05859999999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50993.31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10411.31</v>
      </c>
      <c r="N259" s="125">
        <f t="shared" si="30"/>
        <v>0</v>
      </c>
      <c r="O259" s="125">
        <f>Valores!$C$7*B259</f>
        <v>21890.22</v>
      </c>
      <c r="P259" s="125">
        <f>ROUND(IF(B259&lt;15,(Valores!$E$5*B259),Valores!$D$5),2)</f>
        <v>19410.1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11530.59</v>
      </c>
      <c r="S259" s="125">
        <f>Valores!$C$18*B259</f>
        <v>6884.83</v>
      </c>
      <c r="T259" s="125">
        <f t="shared" si="36"/>
        <v>6884.83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22043.56</v>
      </c>
      <c r="AA259" s="125">
        <f>IF((Valores!$C$28)*B259&gt;Valores!$F$28,Valores!$F$28,(Valores!$C$28)*B259)</f>
        <v>540.77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450.33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</f>
        <v>10286.36</v>
      </c>
      <c r="AH259" s="125">
        <f t="shared" si="34"/>
        <v>154441.38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0</v>
      </c>
      <c r="AL259" s="125">
        <f>IF($F$3="NO",0,IF(Valores!$C$62*B259&gt;Valores!$F$62,Valores!$F$62,Valores!$C$62*B259))</f>
        <v>0</v>
      </c>
      <c r="AM259" s="125">
        <f t="shared" si="32"/>
        <v>0</v>
      </c>
      <c r="AN259" s="125">
        <f>AH259*Valores!$C$71</f>
        <v>-16988.5518</v>
      </c>
      <c r="AO259" s="125">
        <f>AH259*-Valores!$C$72</f>
        <v>0</v>
      </c>
      <c r="AP259" s="125">
        <f>AH259*Valores!$C$73</f>
        <v>-6949.8621</v>
      </c>
      <c r="AQ259" s="125">
        <f>Valores!$C$100</f>
        <v>-554.86</v>
      </c>
      <c r="AR259" s="125">
        <f>IF($F$5=0,Valores!$C$101,(Valores!$C$101+$F$5*(Valores!$C$101)))</f>
        <v>-550</v>
      </c>
      <c r="AS259" s="125">
        <f t="shared" si="35"/>
        <v>129398.1061</v>
      </c>
      <c r="AT259" s="125">
        <f t="shared" si="29"/>
        <v>-16988.5518</v>
      </c>
      <c r="AU259" s="125">
        <f>AH259*Valores!$C$74</f>
        <v>-4169.91726</v>
      </c>
      <c r="AV259" s="125">
        <f>AH259*Valores!$C$75</f>
        <v>-463.32414</v>
      </c>
      <c r="AW259" s="125">
        <f t="shared" si="33"/>
        <v>132819.5868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50993.31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10411.31</v>
      </c>
      <c r="N260" s="125">
        <f t="shared" si="30"/>
        <v>0</v>
      </c>
      <c r="O260" s="125">
        <f>Valores!$C$7*B260</f>
        <v>21890.22</v>
      </c>
      <c r="P260" s="125">
        <f>ROUND(IF(B260&lt;15,(Valores!$E$5*B260),Valores!$D$5),2)</f>
        <v>19410.1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11530.59</v>
      </c>
      <c r="S260" s="125">
        <f>Valores!$C$18*B260</f>
        <v>6884.83</v>
      </c>
      <c r="T260" s="125">
        <f t="shared" si="36"/>
        <v>6884.83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22043.56</v>
      </c>
      <c r="AA260" s="125">
        <f>IF((Valores!$C$28)*B260&gt;Valores!$F$28,Valores!$F$28,(Valores!$C$28)*B260)</f>
        <v>540.77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450.33</v>
      </c>
      <c r="AE260" s="192">
        <v>94</v>
      </c>
      <c r="AF260" s="125">
        <f>ROUND(AE260*Valores!$C$2,2)</f>
        <v>3569.15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</f>
        <v>10286.36</v>
      </c>
      <c r="AH260" s="125">
        <f t="shared" si="34"/>
        <v>158010.52999999997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0</v>
      </c>
      <c r="AL260" s="125">
        <f>IF($F$3="NO",0,IF(Valores!$C$62*B260&gt;Valores!$F$62,Valores!$F$62,Valores!$C$62*B260))</f>
        <v>0</v>
      </c>
      <c r="AM260" s="125">
        <f t="shared" si="32"/>
        <v>0</v>
      </c>
      <c r="AN260" s="125">
        <f>AH260*Valores!$C$71</f>
        <v>-17381.158299999996</v>
      </c>
      <c r="AO260" s="125">
        <f>AH260*-Valores!$C$72</f>
        <v>0</v>
      </c>
      <c r="AP260" s="125">
        <f>AH260*Valores!$C$73</f>
        <v>-7110.4738499999985</v>
      </c>
      <c r="AQ260" s="125">
        <f>Valores!$C$100</f>
        <v>-554.86</v>
      </c>
      <c r="AR260" s="125">
        <f>IF($F$5=0,Valores!$C$101,(Valores!$C$101+$F$5*(Valores!$C$101)))</f>
        <v>-550</v>
      </c>
      <c r="AS260" s="125">
        <f t="shared" si="35"/>
        <v>132414.03784999996</v>
      </c>
      <c r="AT260" s="125">
        <f t="shared" si="29"/>
        <v>-17381.158299999996</v>
      </c>
      <c r="AU260" s="125">
        <f>AH260*Valores!$C$74</f>
        <v>-4266.284309999999</v>
      </c>
      <c r="AV260" s="125">
        <f>AH260*Valores!$C$75</f>
        <v>-474.03158999999994</v>
      </c>
      <c r="AW260" s="125">
        <f t="shared" si="33"/>
        <v>135889.05579999997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53992.91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11023.74</v>
      </c>
      <c r="N261" s="125">
        <f t="shared" si="30"/>
        <v>0</v>
      </c>
      <c r="O261" s="125">
        <f>Valores!$C$7*B261</f>
        <v>23177.88</v>
      </c>
      <c r="P261" s="125">
        <f>ROUND(IF(B261&lt;15,(Valores!$E$5*B261),Valores!$D$5),2)</f>
        <v>19410.1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12208.86</v>
      </c>
      <c r="S261" s="125">
        <f>Valores!$C$18*B261</f>
        <v>7289.82</v>
      </c>
      <c r="T261" s="125">
        <f t="shared" si="36"/>
        <v>7289.82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23340.24</v>
      </c>
      <c r="AA261" s="125">
        <f>IF((Valores!$C$28)*B261&gt;Valores!$F$28,Valores!$F$28,(Valores!$C$28)*B261)</f>
        <v>572.5799999999999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476.82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</f>
        <v>10891.44</v>
      </c>
      <c r="AH261" s="125">
        <f t="shared" si="34"/>
        <v>162384.38999999998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0</v>
      </c>
      <c r="AL261" s="125">
        <f>IF($F$3="NO",0,IF(Valores!$C$62*B261&gt;Valores!$F$62,Valores!$F$62,Valores!$C$62*B261))</f>
        <v>0</v>
      </c>
      <c r="AM261" s="125">
        <f t="shared" si="32"/>
        <v>0</v>
      </c>
      <c r="AN261" s="125">
        <f>AH261*Valores!$C$71</f>
        <v>-17862.2829</v>
      </c>
      <c r="AO261" s="125">
        <f>AH261*-Valores!$C$72</f>
        <v>0</v>
      </c>
      <c r="AP261" s="125">
        <f>AH261*Valores!$C$73</f>
        <v>-7307.297549999999</v>
      </c>
      <c r="AQ261" s="125">
        <f>Valores!$C$100</f>
        <v>-554.86</v>
      </c>
      <c r="AR261" s="125">
        <f>IF($F$5=0,Valores!$C$101,(Valores!$C$101+$F$5*(Valores!$C$101)))</f>
        <v>-550</v>
      </c>
      <c r="AS261" s="125">
        <f t="shared" si="35"/>
        <v>136109.94955</v>
      </c>
      <c r="AT261" s="125">
        <f aca="true" t="shared" si="41" ref="AT261:AT325">AN261</f>
        <v>-17862.2829</v>
      </c>
      <c r="AU261" s="125">
        <f>AH261*Valores!$C$74</f>
        <v>-4384.37853</v>
      </c>
      <c r="AV261" s="125">
        <f>AH261*Valores!$C$75</f>
        <v>-487.15317</v>
      </c>
      <c r="AW261" s="125">
        <f t="shared" si="33"/>
        <v>139650.57539999997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53992.91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11023.74</v>
      </c>
      <c r="N262" s="125">
        <f t="shared" si="30"/>
        <v>0</v>
      </c>
      <c r="O262" s="125">
        <f>Valores!$C$7*B262</f>
        <v>23177.88</v>
      </c>
      <c r="P262" s="125">
        <f>ROUND(IF(B262&lt;15,(Valores!$E$5*B262),Valores!$D$5),2)</f>
        <v>19410.1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12208.86</v>
      </c>
      <c r="S262" s="125">
        <f>Valores!$C$18*B262</f>
        <v>7289.82</v>
      </c>
      <c r="T262" s="125">
        <f t="shared" si="36"/>
        <v>7289.82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23340.24</v>
      </c>
      <c r="AA262" s="125">
        <f>IF((Valores!$C$28)*B262&gt;Valores!$F$28,Valores!$F$28,(Valores!$C$28)*B262)</f>
        <v>572.5799999999999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476.82</v>
      </c>
      <c r="AE262" s="192">
        <v>94</v>
      </c>
      <c r="AF262" s="125">
        <f>ROUND(AE262*Valores!$C$2,2)</f>
        <v>3569.15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</f>
        <v>10891.44</v>
      </c>
      <c r="AH262" s="125">
        <f t="shared" si="34"/>
        <v>165953.53999999998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0</v>
      </c>
      <c r="AL262" s="125">
        <f>IF($F$3="NO",0,IF(Valores!$C$62*B262&gt;Valores!$F$62,Valores!$F$62,Valores!$C$62*B262))</f>
        <v>0</v>
      </c>
      <c r="AM262" s="125">
        <f t="shared" si="32"/>
        <v>0</v>
      </c>
      <c r="AN262" s="125">
        <f>AH262*Valores!$C$71</f>
        <v>-18254.889399999996</v>
      </c>
      <c r="AO262" s="125">
        <f>AH262*-Valores!$C$72</f>
        <v>0</v>
      </c>
      <c r="AP262" s="125">
        <f>AH262*Valores!$C$73</f>
        <v>-7467.909299999998</v>
      </c>
      <c r="AQ262" s="125">
        <f>Valores!$C$100</f>
        <v>-554.86</v>
      </c>
      <c r="AR262" s="125">
        <f>IF($F$5=0,Valores!$C$101,(Valores!$C$101+$F$5*(Valores!$C$101)))</f>
        <v>-550</v>
      </c>
      <c r="AS262" s="125">
        <f t="shared" si="35"/>
        <v>139125.88129999998</v>
      </c>
      <c r="AT262" s="125">
        <f t="shared" si="41"/>
        <v>-18254.889399999996</v>
      </c>
      <c r="AU262" s="125">
        <f>AH262*Valores!$C$74</f>
        <v>-4480.74558</v>
      </c>
      <c r="AV262" s="125">
        <f>AH262*Valores!$C$75</f>
        <v>-497.8606199999999</v>
      </c>
      <c r="AW262" s="125">
        <f t="shared" si="33"/>
        <v>142720.04439999998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56992.52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11636.17</v>
      </c>
      <c r="N263" s="125">
        <f t="shared" si="30"/>
        <v>0</v>
      </c>
      <c r="O263" s="125">
        <f>Valores!$C$7*B263</f>
        <v>24465.54</v>
      </c>
      <c r="P263" s="125">
        <f>ROUND(IF(B263&lt;15,(Valores!$E$5*B263),Valores!$D$5),2)</f>
        <v>19410.1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12887.13</v>
      </c>
      <c r="S263" s="125">
        <f>Valores!$C$18*B263</f>
        <v>7694.81</v>
      </c>
      <c r="T263" s="125">
        <f t="shared" si="36"/>
        <v>7694.81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24636.920000000002</v>
      </c>
      <c r="AA263" s="125">
        <f>IF((Valores!$C$28)*B263&gt;Valores!$F$28,Valores!$F$28,(Valores!$C$28)*B263)</f>
        <v>604.39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503.30999999999995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</f>
        <v>11496.52</v>
      </c>
      <c r="AH263" s="125">
        <f t="shared" si="34"/>
        <v>170327.41000000003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0</v>
      </c>
      <c r="AL263" s="125">
        <f>IF($F$3="NO",0,IF(Valores!$C$62*B263&gt;Valores!$F$62,Valores!$F$62,Valores!$C$62*B263))</f>
        <v>0</v>
      </c>
      <c r="AM263" s="125">
        <f t="shared" si="32"/>
        <v>0</v>
      </c>
      <c r="AN263" s="125">
        <f>AH263*Valores!$C$71</f>
        <v>-18736.015100000004</v>
      </c>
      <c r="AO263" s="125">
        <f>AH263*-Valores!$C$72</f>
        <v>0</v>
      </c>
      <c r="AP263" s="125">
        <f>AH263*Valores!$C$73</f>
        <v>-7664.7334500000015</v>
      </c>
      <c r="AQ263" s="125">
        <f>Valores!$C$100</f>
        <v>-554.86</v>
      </c>
      <c r="AR263" s="125">
        <f>IF($F$5=0,Valores!$C$101,(Valores!$C$101+$F$5*(Valores!$C$101)))</f>
        <v>-550</v>
      </c>
      <c r="AS263" s="125">
        <f t="shared" si="35"/>
        <v>142821.80145000003</v>
      </c>
      <c r="AT263" s="125">
        <f t="shared" si="41"/>
        <v>-18736.015100000004</v>
      </c>
      <c r="AU263" s="125">
        <f>AH263*Valores!$C$74</f>
        <v>-4598.840070000001</v>
      </c>
      <c r="AV263" s="125">
        <f>AH263*Valores!$C$75</f>
        <v>-510.98223000000013</v>
      </c>
      <c r="AW263" s="125">
        <f t="shared" si="33"/>
        <v>146481.5726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56992.52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11636.17</v>
      </c>
      <c r="N264" s="125">
        <f aca="true" t="shared" si="42" ref="N264:N326">ROUND(SUM(F264,H264,J264,L264,X264,R264)*$H$2,2)</f>
        <v>0</v>
      </c>
      <c r="O264" s="125">
        <f>Valores!$C$7*B264</f>
        <v>24465.54</v>
      </c>
      <c r="P264" s="125">
        <f>ROUND(IF(B264&lt;15,(Valores!$E$5*B264),Valores!$D$5),2)</f>
        <v>19410.1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12887.13</v>
      </c>
      <c r="S264" s="125">
        <f>Valores!$C$18*B264</f>
        <v>7694.81</v>
      </c>
      <c r="T264" s="125">
        <f t="shared" si="36"/>
        <v>7694.81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24636.920000000002</v>
      </c>
      <c r="AA264" s="125">
        <f>IF((Valores!$C$28)*B264&gt;Valores!$F$28,Valores!$F$28,(Valores!$C$28)*B264)</f>
        <v>604.39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503.30999999999995</v>
      </c>
      <c r="AE264" s="192">
        <v>94</v>
      </c>
      <c r="AF264" s="125">
        <f>ROUND(AE264*Valores!$C$2,2)</f>
        <v>3569.15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</f>
        <v>11496.52</v>
      </c>
      <c r="AH264" s="125">
        <f t="shared" si="34"/>
        <v>173896.56000000003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0</v>
      </c>
      <c r="AL264" s="125">
        <f>IF($F$3="NO",0,IF(Valores!$C$62*B264&gt;Valores!$F$62,Valores!$F$62,Valores!$C$62*B264))</f>
        <v>0</v>
      </c>
      <c r="AM264" s="125">
        <f aca="true" t="shared" si="44" ref="AM264:AM326">SUM(AI264:AL264)</f>
        <v>0</v>
      </c>
      <c r="AN264" s="125">
        <f>AH264*Valores!$C$71</f>
        <v>-19128.621600000002</v>
      </c>
      <c r="AO264" s="125">
        <f>AH264*-Valores!$C$72</f>
        <v>0</v>
      </c>
      <c r="AP264" s="125">
        <f>AH264*Valores!$C$73</f>
        <v>-7825.345200000001</v>
      </c>
      <c r="AQ264" s="125">
        <f>Valores!$C$100</f>
        <v>-554.86</v>
      </c>
      <c r="AR264" s="125">
        <f>IF($F$5=0,Valores!$C$101,(Valores!$C$101+$F$5*(Valores!$C$101)))</f>
        <v>-550</v>
      </c>
      <c r="AS264" s="125">
        <f t="shared" si="35"/>
        <v>145837.73320000002</v>
      </c>
      <c r="AT264" s="125">
        <f t="shared" si="41"/>
        <v>-19128.621600000002</v>
      </c>
      <c r="AU264" s="125">
        <f>AH264*Valores!$C$74</f>
        <v>-4695.207120000001</v>
      </c>
      <c r="AV264" s="125">
        <f>AH264*Valores!$C$75</f>
        <v>-521.6896800000001</v>
      </c>
      <c r="AW264" s="125">
        <f aca="true" t="shared" si="45" ref="AW264:AW326">AH264+AM264+SUM(AT264:AV264)</f>
        <v>149551.04160000003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59992.13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12248.6</v>
      </c>
      <c r="N265" s="125">
        <f t="shared" si="42"/>
        <v>0</v>
      </c>
      <c r="O265" s="125">
        <f>Valores!$C$7*B265</f>
        <v>25753.2</v>
      </c>
      <c r="P265" s="125">
        <f>ROUND(IF(B265&lt;15,(Valores!$E$5*B265),Valores!$D$5),2)</f>
        <v>19410.1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13565.4</v>
      </c>
      <c r="S265" s="125">
        <f>Valores!$C$18*B265</f>
        <v>8099.8</v>
      </c>
      <c r="T265" s="125">
        <f t="shared" si="36"/>
        <v>8099.8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25933.600000000002</v>
      </c>
      <c r="AA265" s="125">
        <f>IF((Valores!$C$28)*B265&gt;Valores!$F$28,Valores!$F$28,(Valores!$C$28)*B265)</f>
        <v>636.1999999999999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529.8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</f>
        <v>12101.6</v>
      </c>
      <c r="AH265" s="125">
        <f aca="true" t="shared" si="46" ref="AH265:AH326">SUM(F265,H265,J265,L265,M265,N265,O265,P265,Q265,R265,T265,U265,V265,X265,Y265,Z265,AA265,AC265,AD265,AF265,AG265)</f>
        <v>178270.43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0</v>
      </c>
      <c r="AL265" s="125">
        <f>IF($F$3="NO",0,IF(Valores!$C$62*B265&gt;Valores!$F$62,Valores!$F$62,Valores!$C$62*B265))</f>
        <v>0</v>
      </c>
      <c r="AM265" s="125">
        <f t="shared" si="44"/>
        <v>0</v>
      </c>
      <c r="AN265" s="125">
        <f>AH265*Valores!$C$71</f>
        <v>-19609.7473</v>
      </c>
      <c r="AO265" s="125">
        <f>AH265*-Valores!$C$72</f>
        <v>0</v>
      </c>
      <c r="AP265" s="125">
        <f>AH265*Valores!$C$73</f>
        <v>-8022.169349999999</v>
      </c>
      <c r="AQ265" s="125">
        <f>Valores!$C$100</f>
        <v>-554.86</v>
      </c>
      <c r="AR265" s="125">
        <f>IF($F$5=0,Valores!$C$101,(Valores!$C$101+$F$5*(Valores!$C$101)))</f>
        <v>-550</v>
      </c>
      <c r="AS265" s="125">
        <f aca="true" t="shared" si="47" ref="AS265:AS326">AH265+SUM(AM265:AR265)</f>
        <v>149533.65334999998</v>
      </c>
      <c r="AT265" s="125">
        <f t="shared" si="41"/>
        <v>-19609.7473</v>
      </c>
      <c r="AU265" s="125">
        <f>AH265*Valores!$C$74</f>
        <v>-4813.3016099999995</v>
      </c>
      <c r="AV265" s="125">
        <f>AH265*Valores!$C$75</f>
        <v>-534.81129</v>
      </c>
      <c r="AW265" s="125">
        <f t="shared" si="45"/>
        <v>153312.5698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59992.13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12248.6</v>
      </c>
      <c r="N266" s="125">
        <f t="shared" si="42"/>
        <v>0</v>
      </c>
      <c r="O266" s="125">
        <f>Valores!$C$7*B266</f>
        <v>25753.2</v>
      </c>
      <c r="P266" s="125">
        <f>ROUND(IF(B266&lt;15,(Valores!$E$5*B266),Valores!$D$5),2)</f>
        <v>19410.1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13565.4</v>
      </c>
      <c r="S266" s="125">
        <f>Valores!$C$18*B266</f>
        <v>8099.8</v>
      </c>
      <c r="T266" s="125">
        <f t="shared" si="36"/>
        <v>8099.8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25933.600000000002</v>
      </c>
      <c r="AA266" s="125">
        <f>IF((Valores!$C$28)*B266&gt;Valores!$F$28,Valores!$F$28,(Valores!$C$28)*B266)</f>
        <v>636.1999999999999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529.8</v>
      </c>
      <c r="AE266" s="192">
        <v>94</v>
      </c>
      <c r="AF266" s="125">
        <f>ROUND(AE266*Valores!$C$2,2)</f>
        <v>3569.15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</f>
        <v>12101.6</v>
      </c>
      <c r="AH266" s="125">
        <f t="shared" si="46"/>
        <v>181839.58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0</v>
      </c>
      <c r="AL266" s="125">
        <f>IF($F$3="NO",0,IF(Valores!$C$62*B266&gt;Valores!$F$62,Valores!$F$62,Valores!$C$62*B266))</f>
        <v>0</v>
      </c>
      <c r="AM266" s="125">
        <f t="shared" si="44"/>
        <v>0</v>
      </c>
      <c r="AN266" s="125">
        <f>AH266*Valores!$C$71</f>
        <v>-20002.353799999997</v>
      </c>
      <c r="AO266" s="125">
        <f>AH266*-Valores!$C$72</f>
        <v>0</v>
      </c>
      <c r="AP266" s="125">
        <f>AH266*Valores!$C$73</f>
        <v>-8182.781099999999</v>
      </c>
      <c r="AQ266" s="125">
        <f>Valores!$C$100</f>
        <v>-554.86</v>
      </c>
      <c r="AR266" s="125">
        <f>IF($F$5=0,Valores!$C$101,(Valores!$C$101+$F$5*(Valores!$C$101)))</f>
        <v>-550</v>
      </c>
      <c r="AS266" s="125">
        <f t="shared" si="47"/>
        <v>152549.5851</v>
      </c>
      <c r="AT266" s="125">
        <f t="shared" si="41"/>
        <v>-20002.353799999997</v>
      </c>
      <c r="AU266" s="125">
        <f>AH266*Valores!$C$74</f>
        <v>-4909.668659999999</v>
      </c>
      <c r="AV266" s="125">
        <f>AH266*Valores!$C$75</f>
        <v>-545.51874</v>
      </c>
      <c r="AW266" s="125">
        <f t="shared" si="45"/>
        <v>156382.03879999998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62991.73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12861.03</v>
      </c>
      <c r="N267" s="125">
        <f t="shared" si="42"/>
        <v>0</v>
      </c>
      <c r="O267" s="125">
        <f>Valores!$C$7*B267</f>
        <v>27040.86</v>
      </c>
      <c r="P267" s="125">
        <f>ROUND(IF(B267&lt;15,(Valores!$E$5*B267),Valores!$D$5),2)</f>
        <v>19410.1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14243.67</v>
      </c>
      <c r="S267" s="125">
        <f>Valores!$C$18*B267</f>
        <v>8504.79</v>
      </c>
      <c r="T267" s="125">
        <f aca="true" t="shared" si="48" ref="T267:T299">ROUND(S267*(1+$H$2),2)</f>
        <v>8504.79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27230.280000000002</v>
      </c>
      <c r="AA267" s="125">
        <f>IF((Valores!$C$28)*B267&gt;Valores!$F$28,Valores!$F$28,(Valores!$C$28)*B267)</f>
        <v>668.01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556.29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</f>
        <v>12706.68</v>
      </c>
      <c r="AH267" s="125">
        <f t="shared" si="46"/>
        <v>186213.44000000003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0</v>
      </c>
      <c r="AL267" s="125">
        <f>IF($F$3="NO",0,IF(Valores!$C$62*B267&gt;Valores!$F$62,Valores!$F$62,Valores!$C$62*B267))</f>
        <v>0</v>
      </c>
      <c r="AM267" s="125">
        <f t="shared" si="44"/>
        <v>0</v>
      </c>
      <c r="AN267" s="125">
        <f>AH267*Valores!$C$71</f>
        <v>-20483.478400000004</v>
      </c>
      <c r="AO267" s="125">
        <f>AH267*-Valores!$C$72</f>
        <v>0</v>
      </c>
      <c r="AP267" s="125">
        <f>AH267*Valores!$C$73</f>
        <v>-8379.604800000001</v>
      </c>
      <c r="AQ267" s="125">
        <f>Valores!$C$100</f>
        <v>-554.86</v>
      </c>
      <c r="AR267" s="125">
        <f>IF($F$5=0,Valores!$C$101,(Valores!$C$101+$F$5*(Valores!$C$101)))</f>
        <v>-550</v>
      </c>
      <c r="AS267" s="125">
        <f t="shared" si="47"/>
        <v>156245.49680000002</v>
      </c>
      <c r="AT267" s="125">
        <f t="shared" si="41"/>
        <v>-20483.478400000004</v>
      </c>
      <c r="AU267" s="125">
        <f>AH267*Valores!$C$74</f>
        <v>-5027.762880000001</v>
      </c>
      <c r="AV267" s="125">
        <f>AH267*Valores!$C$75</f>
        <v>-558.6403200000001</v>
      </c>
      <c r="AW267" s="125">
        <f t="shared" si="45"/>
        <v>160143.55840000004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62991.73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12861.03</v>
      </c>
      <c r="N268" s="125">
        <f t="shared" si="42"/>
        <v>0</v>
      </c>
      <c r="O268" s="125">
        <f>Valores!$C$7*B268</f>
        <v>27040.86</v>
      </c>
      <c r="P268" s="125">
        <f>ROUND(IF(B268&lt;15,(Valores!$E$5*B268),Valores!$D$5),2)</f>
        <v>19410.1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14243.67</v>
      </c>
      <c r="S268" s="125">
        <f>Valores!$C$18*B268</f>
        <v>8504.79</v>
      </c>
      <c r="T268" s="125">
        <f t="shared" si="48"/>
        <v>8504.79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27230.280000000002</v>
      </c>
      <c r="AA268" s="125">
        <f>IF((Valores!$C$28)*B268&gt;Valores!$F$28,Valores!$F$28,(Valores!$C$28)*B268)</f>
        <v>668.01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556.29</v>
      </c>
      <c r="AE268" s="192">
        <v>94</v>
      </c>
      <c r="AF268" s="125">
        <f>ROUND(AE268*Valores!$C$2,2)</f>
        <v>3569.15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</f>
        <v>12706.68</v>
      </c>
      <c r="AH268" s="125">
        <f t="shared" si="46"/>
        <v>189782.59000000003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0</v>
      </c>
      <c r="AL268" s="125">
        <f>IF($F$3="NO",0,IF(Valores!$C$62*B268&gt;Valores!$F$62,Valores!$F$62,Valores!$C$62*B268))</f>
        <v>0</v>
      </c>
      <c r="AM268" s="125">
        <f t="shared" si="44"/>
        <v>0</v>
      </c>
      <c r="AN268" s="125">
        <f>AH268*Valores!$C$71</f>
        <v>-20876.0849</v>
      </c>
      <c r="AO268" s="125">
        <f>AH268*-Valores!$C$72</f>
        <v>0</v>
      </c>
      <c r="AP268" s="125">
        <f>AH268*Valores!$C$73</f>
        <v>-8540.216550000001</v>
      </c>
      <c r="AQ268" s="125">
        <f>Valores!$C$100</f>
        <v>-554.86</v>
      </c>
      <c r="AR268" s="125">
        <f>IF($F$5=0,Valores!$C$101,(Valores!$C$101+$F$5*(Valores!$C$101)))</f>
        <v>-550</v>
      </c>
      <c r="AS268" s="125">
        <f t="shared" si="47"/>
        <v>159261.42855</v>
      </c>
      <c r="AT268" s="125">
        <f t="shared" si="41"/>
        <v>-20876.0849</v>
      </c>
      <c r="AU268" s="125">
        <f>AH268*Valores!$C$74</f>
        <v>-5124.129930000001</v>
      </c>
      <c r="AV268" s="125">
        <f>AH268*Valores!$C$75</f>
        <v>-569.3477700000001</v>
      </c>
      <c r="AW268" s="125">
        <f t="shared" si="45"/>
        <v>163213.02740000002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65991.34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13473.46</v>
      </c>
      <c r="N269" s="125">
        <f t="shared" si="42"/>
        <v>0</v>
      </c>
      <c r="O269" s="125">
        <f>Valores!$C$7*B269</f>
        <v>28328.52</v>
      </c>
      <c r="P269" s="125">
        <f>ROUND(IF(B269&lt;15,(Valores!$E$5*B269),Valores!$D$5),2)</f>
        <v>19410.1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14921.939999999999</v>
      </c>
      <c r="S269" s="125">
        <f>Valores!$C$18*B269</f>
        <v>8909.78</v>
      </c>
      <c r="T269" s="125">
        <f t="shared" si="48"/>
        <v>8909.78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28526.960000000003</v>
      </c>
      <c r="AA269" s="125">
        <f>IF((Valores!$C$28)*B269&gt;Valores!$F$28,Valores!$F$28,(Valores!$C$28)*B269)</f>
        <v>699.8199999999999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582.78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</f>
        <v>13311.76</v>
      </c>
      <c r="AH269" s="125">
        <f t="shared" si="46"/>
        <v>194156.46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0</v>
      </c>
      <c r="AL269" s="125">
        <f>IF($F$3="NO",0,IF(Valores!$C$62*B269&gt;Valores!$F$62,Valores!$F$62,Valores!$C$62*B269))</f>
        <v>0</v>
      </c>
      <c r="AM269" s="125">
        <f t="shared" si="44"/>
        <v>0</v>
      </c>
      <c r="AN269" s="125">
        <f>AH269*Valores!$C$71</f>
        <v>-21357.2106</v>
      </c>
      <c r="AO269" s="125">
        <f>AH269*-Valores!$C$72</f>
        <v>0</v>
      </c>
      <c r="AP269" s="125">
        <f>AH269*Valores!$C$73</f>
        <v>-8737.0407</v>
      </c>
      <c r="AQ269" s="125">
        <f>Valores!$C$100</f>
        <v>-554.86</v>
      </c>
      <c r="AR269" s="125">
        <f>IF($F$5=0,Valores!$C$101,(Valores!$C$101+$F$5*(Valores!$C$101)))</f>
        <v>-550</v>
      </c>
      <c r="AS269" s="125">
        <f t="shared" si="47"/>
        <v>162957.3487</v>
      </c>
      <c r="AT269" s="125">
        <f t="shared" si="41"/>
        <v>-21357.2106</v>
      </c>
      <c r="AU269" s="125">
        <f>AH269*Valores!$C$74</f>
        <v>-5242.22442</v>
      </c>
      <c r="AV269" s="125">
        <f>AH269*Valores!$C$75</f>
        <v>-582.46938</v>
      </c>
      <c r="AW269" s="125">
        <f t="shared" si="45"/>
        <v>166974.5556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65991.34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13473.46</v>
      </c>
      <c r="N270" s="125">
        <f t="shared" si="42"/>
        <v>0</v>
      </c>
      <c r="O270" s="125">
        <f>Valores!$C$7*B270</f>
        <v>28328.52</v>
      </c>
      <c r="P270" s="125">
        <f>ROUND(IF(B270&lt;15,(Valores!$E$5*B270),Valores!$D$5),2)</f>
        <v>19410.1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14921.939999999999</v>
      </c>
      <c r="S270" s="125">
        <f>Valores!$C$18*B270</f>
        <v>8909.78</v>
      </c>
      <c r="T270" s="125">
        <f t="shared" si="48"/>
        <v>8909.78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28526.960000000003</v>
      </c>
      <c r="AA270" s="125">
        <f>IF((Valores!$C$28)*B270&gt;Valores!$F$28,Valores!$F$28,(Valores!$C$28)*B270)</f>
        <v>699.8199999999999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582.78</v>
      </c>
      <c r="AE270" s="192">
        <v>94</v>
      </c>
      <c r="AF270" s="125">
        <f>ROUND(AE270*Valores!$C$2,2)</f>
        <v>3569.15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</f>
        <v>13311.76</v>
      </c>
      <c r="AH270" s="125">
        <f t="shared" si="46"/>
        <v>197725.61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0</v>
      </c>
      <c r="AL270" s="125">
        <f>IF($F$3="NO",0,IF(Valores!$C$62*B270&gt;Valores!$F$62,Valores!$F$62,Valores!$C$62*B270))</f>
        <v>0</v>
      </c>
      <c r="AM270" s="125">
        <f t="shared" si="44"/>
        <v>0</v>
      </c>
      <c r="AN270" s="125">
        <f>AH270*Valores!$C$71</f>
        <v>-21749.8171</v>
      </c>
      <c r="AO270" s="125">
        <f>AH270*-Valores!$C$72</f>
        <v>0</v>
      </c>
      <c r="AP270" s="125">
        <f>AH270*Valores!$C$73</f>
        <v>-8897.65245</v>
      </c>
      <c r="AQ270" s="125">
        <f>Valores!$C$100</f>
        <v>-554.86</v>
      </c>
      <c r="AR270" s="125">
        <f>IF($F$5=0,Valores!$C$101,(Valores!$C$101+$F$5*(Valores!$C$101)))</f>
        <v>-550</v>
      </c>
      <c r="AS270" s="125">
        <f t="shared" si="47"/>
        <v>165973.28045</v>
      </c>
      <c r="AT270" s="125">
        <f t="shared" si="41"/>
        <v>-21749.8171</v>
      </c>
      <c r="AU270" s="125">
        <f>AH270*Valores!$C$74</f>
        <v>-5338.591469999999</v>
      </c>
      <c r="AV270" s="125">
        <f>AH270*Valores!$C$75</f>
        <v>-593.17683</v>
      </c>
      <c r="AW270" s="125">
        <f t="shared" si="45"/>
        <v>170044.02459999998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68990.94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14085.89</v>
      </c>
      <c r="N271" s="125">
        <f t="shared" si="42"/>
        <v>0</v>
      </c>
      <c r="O271" s="125">
        <f>Valores!$C$7*B271</f>
        <v>29616.18</v>
      </c>
      <c r="P271" s="125">
        <f>ROUND(IF(B271&lt;15,(Valores!$E$5*B271),Valores!$D$5),2)</f>
        <v>19410.1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15600.21</v>
      </c>
      <c r="S271" s="125">
        <f>Valores!$C$18*B271</f>
        <v>9314.77</v>
      </c>
      <c r="T271" s="125">
        <f t="shared" si="48"/>
        <v>9314.77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29823.640000000003</v>
      </c>
      <c r="AA271" s="125">
        <f>IF((Valores!$C$28)*B271&gt;Valores!$F$28,Valores!$F$28,(Valores!$C$28)*B271)</f>
        <v>731.63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609.27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</f>
        <v>13916.84</v>
      </c>
      <c r="AH271" s="125">
        <f t="shared" si="46"/>
        <v>202099.47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0</v>
      </c>
      <c r="AL271" s="125">
        <f>IF($F$3="NO",0,IF(Valores!$C$62*B271&gt;Valores!$F$62,Valores!$F$62,Valores!$C$62*B271))</f>
        <v>0</v>
      </c>
      <c r="AM271" s="125">
        <f t="shared" si="44"/>
        <v>0</v>
      </c>
      <c r="AN271" s="125">
        <f>AH271*Valores!$C$71</f>
        <v>-22230.9417</v>
      </c>
      <c r="AO271" s="125">
        <f>AH271*-Valores!$C$72</f>
        <v>0</v>
      </c>
      <c r="AP271" s="125">
        <f>AH271*Valores!$C$73</f>
        <v>-9094.47615</v>
      </c>
      <c r="AQ271" s="125">
        <f>Valores!$C$100</f>
        <v>-554.86</v>
      </c>
      <c r="AR271" s="125">
        <f>IF($F$5=0,Valores!$C$101,(Valores!$C$101+$F$5*(Valores!$C$101)))</f>
        <v>-550</v>
      </c>
      <c r="AS271" s="125">
        <f t="shared" si="47"/>
        <v>169669.19215000002</v>
      </c>
      <c r="AT271" s="125">
        <f t="shared" si="41"/>
        <v>-22230.9417</v>
      </c>
      <c r="AU271" s="125">
        <f>AH271*Valores!$C$74</f>
        <v>-5456.68569</v>
      </c>
      <c r="AV271" s="125">
        <f>AH271*Valores!$C$75</f>
        <v>-606.29841</v>
      </c>
      <c r="AW271" s="125">
        <f t="shared" si="45"/>
        <v>173805.5442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68990.94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14085.89</v>
      </c>
      <c r="N272" s="125">
        <f t="shared" si="42"/>
        <v>0</v>
      </c>
      <c r="O272" s="125">
        <f>Valores!$C$7*B272</f>
        <v>29616.18</v>
      </c>
      <c r="P272" s="125">
        <f>ROUND(IF(B272&lt;15,(Valores!$E$5*B272),Valores!$D$5),2)</f>
        <v>19410.1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15600.21</v>
      </c>
      <c r="S272" s="125">
        <f>Valores!$C$18*B272</f>
        <v>9314.77</v>
      </c>
      <c r="T272" s="125">
        <f t="shared" si="48"/>
        <v>9314.77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29823.640000000003</v>
      </c>
      <c r="AA272" s="125">
        <f>IF((Valores!$C$28)*B272&gt;Valores!$F$28,Valores!$F$28,(Valores!$C$28)*B272)</f>
        <v>731.63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609.27</v>
      </c>
      <c r="AE272" s="192">
        <v>94</v>
      </c>
      <c r="AF272" s="125">
        <f>ROUND(AE272*Valores!$C$2,2)</f>
        <v>3569.15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</f>
        <v>13916.84</v>
      </c>
      <c r="AH272" s="125">
        <f t="shared" si="46"/>
        <v>205668.62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0</v>
      </c>
      <c r="AL272" s="125">
        <f>IF($F$3="NO",0,IF(Valores!$C$62*B272&gt;Valores!$F$62,Valores!$F$62,Valores!$C$62*B272))</f>
        <v>0</v>
      </c>
      <c r="AM272" s="125">
        <f t="shared" si="44"/>
        <v>0</v>
      </c>
      <c r="AN272" s="125">
        <f>AH272*Valores!$C$71</f>
        <v>-22623.5482</v>
      </c>
      <c r="AO272" s="125">
        <f>AH272*-Valores!$C$72</f>
        <v>0</v>
      </c>
      <c r="AP272" s="125">
        <f>AH272*Valores!$C$73</f>
        <v>-9255.087899999999</v>
      </c>
      <c r="AQ272" s="125">
        <f>Valores!$C$100</f>
        <v>-554.86</v>
      </c>
      <c r="AR272" s="125">
        <f>IF($F$5=0,Valores!$C$101,(Valores!$C$101+$F$5*(Valores!$C$101)))</f>
        <v>-550</v>
      </c>
      <c r="AS272" s="125">
        <f t="shared" si="47"/>
        <v>172685.1239</v>
      </c>
      <c r="AT272" s="125">
        <f t="shared" si="41"/>
        <v>-22623.5482</v>
      </c>
      <c r="AU272" s="125">
        <f>AH272*Valores!$C$74</f>
        <v>-5553.05274</v>
      </c>
      <c r="AV272" s="125">
        <f>AH272*Valores!$C$75</f>
        <v>-617.00586</v>
      </c>
      <c r="AW272" s="125">
        <f t="shared" si="45"/>
        <v>176875.0132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71990.55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14698.32</v>
      </c>
      <c r="N273" s="125">
        <f t="shared" si="42"/>
        <v>0</v>
      </c>
      <c r="O273" s="125">
        <f>Valores!$C$7*B273</f>
        <v>30903.840000000004</v>
      </c>
      <c r="P273" s="125">
        <f>ROUND(IF(B273&lt;15,(Valores!$E$5*B273),Valores!$D$5),2)</f>
        <v>19410.1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16278.48</v>
      </c>
      <c r="S273" s="125">
        <f>Valores!$C$18*B273</f>
        <v>9719.76</v>
      </c>
      <c r="T273" s="125">
        <f t="shared" si="48"/>
        <v>9719.76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31120.32</v>
      </c>
      <c r="AA273" s="125">
        <f>IF((Valores!$C$28)*B273&gt;Valores!$F$28,Valores!$F$28,(Valores!$C$28)*B273)</f>
        <v>763.4399999999999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635.76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</f>
        <v>14521.920000000002</v>
      </c>
      <c r="AH273" s="125">
        <f t="shared" si="46"/>
        <v>210042.49000000005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0</v>
      </c>
      <c r="AL273" s="125">
        <f>IF($F$3="NO",0,IF(Valores!$C$62*B273&gt;Valores!$F$62,Valores!$F$62,Valores!$C$62*B273))</f>
        <v>0</v>
      </c>
      <c r="AM273" s="125">
        <f t="shared" si="44"/>
        <v>0</v>
      </c>
      <c r="AN273" s="125">
        <f>AH273*Valores!$C$71</f>
        <v>-23104.673900000005</v>
      </c>
      <c r="AO273" s="125">
        <f>AH273*-Valores!$C$72</f>
        <v>0</v>
      </c>
      <c r="AP273" s="125">
        <f>AH273*Valores!$C$73</f>
        <v>-9451.912050000003</v>
      </c>
      <c r="AQ273" s="125">
        <f>Valores!$C$100</f>
        <v>-554.86</v>
      </c>
      <c r="AR273" s="125">
        <f>IF($F$5=0,Valores!$C$101,(Valores!$C$101+$F$5*(Valores!$C$101)))</f>
        <v>-550</v>
      </c>
      <c r="AS273" s="125">
        <f t="shared" si="47"/>
        <v>176381.04405000003</v>
      </c>
      <c r="AT273" s="125">
        <f t="shared" si="41"/>
        <v>-23104.673900000005</v>
      </c>
      <c r="AU273" s="125">
        <f>AH273*Valores!$C$74</f>
        <v>-5671.147230000001</v>
      </c>
      <c r="AV273" s="125">
        <f>AH273*Valores!$C$75</f>
        <v>-630.1274700000001</v>
      </c>
      <c r="AW273" s="125">
        <f t="shared" si="45"/>
        <v>180636.54140000005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71990.55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14698.32</v>
      </c>
      <c r="N274" s="125">
        <f t="shared" si="42"/>
        <v>0</v>
      </c>
      <c r="O274" s="125">
        <f>Valores!$C$7*B274</f>
        <v>30903.840000000004</v>
      </c>
      <c r="P274" s="125">
        <f>ROUND(IF(B274&lt;15,(Valores!$E$5*B274),Valores!$D$5),2)</f>
        <v>19410.1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16278.48</v>
      </c>
      <c r="S274" s="125">
        <f>Valores!$C$18*B274</f>
        <v>9719.76</v>
      </c>
      <c r="T274" s="125">
        <f t="shared" si="48"/>
        <v>9719.76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31120.32</v>
      </c>
      <c r="AA274" s="125">
        <f>IF((Valores!$C$28)*B274&gt;Valores!$F$28,Valores!$F$28,(Valores!$C$28)*B274)</f>
        <v>763.4399999999999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635.76</v>
      </c>
      <c r="AE274" s="192">
        <v>94</v>
      </c>
      <c r="AF274" s="125">
        <f>ROUND(AE274*Valores!$C$2,2)</f>
        <v>3569.15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</f>
        <v>14521.920000000002</v>
      </c>
      <c r="AH274" s="125">
        <f t="shared" si="46"/>
        <v>213611.64000000004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0</v>
      </c>
      <c r="AL274" s="125">
        <f>IF($F$3="NO",0,IF(Valores!$C$62*B274&gt;Valores!$F$62,Valores!$F$62,Valores!$C$62*B274))</f>
        <v>0</v>
      </c>
      <c r="AM274" s="125">
        <f t="shared" si="44"/>
        <v>0</v>
      </c>
      <c r="AN274" s="125">
        <f>AH274*Valores!$C$71</f>
        <v>-23497.280400000003</v>
      </c>
      <c r="AO274" s="125">
        <f>AH274*-Valores!$C$72</f>
        <v>0</v>
      </c>
      <c r="AP274" s="125">
        <f>AH274*Valores!$C$73</f>
        <v>-9612.5238</v>
      </c>
      <c r="AQ274" s="125">
        <f>Valores!$C$100</f>
        <v>-554.86</v>
      </c>
      <c r="AR274" s="125">
        <f>IF($F$5=0,Valores!$C$101,(Valores!$C$101+$F$5*(Valores!$C$101)))</f>
        <v>-550</v>
      </c>
      <c r="AS274" s="125">
        <f t="shared" si="47"/>
        <v>179396.97580000004</v>
      </c>
      <c r="AT274" s="125">
        <f t="shared" si="41"/>
        <v>-23497.280400000003</v>
      </c>
      <c r="AU274" s="125">
        <f>AH274*Valores!$C$74</f>
        <v>-5767.514280000001</v>
      </c>
      <c r="AV274" s="125">
        <f>AH274*Valores!$C$75</f>
        <v>-640.8349200000001</v>
      </c>
      <c r="AW274" s="125">
        <f t="shared" si="45"/>
        <v>183706.01040000003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74990.16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15310.75</v>
      </c>
      <c r="N275" s="125">
        <f t="shared" si="42"/>
        <v>0</v>
      </c>
      <c r="O275" s="125">
        <f>Valores!$C$7*B275</f>
        <v>32191.500000000004</v>
      </c>
      <c r="P275" s="125">
        <f>ROUND(IF(B275&lt;15,(Valores!$E$5*B275),Valores!$D$5),2)</f>
        <v>19410.1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16956.75</v>
      </c>
      <c r="S275" s="125">
        <f>Valores!$C$18*B275</f>
        <v>10124.75</v>
      </c>
      <c r="T275" s="125">
        <f t="shared" si="48"/>
        <v>10124.75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32417</v>
      </c>
      <c r="AA275" s="125">
        <f>IF((Valores!$C$28)*B275&gt;Valores!$F$28,Valores!$F$28,(Valores!$C$28)*B275)</f>
        <v>795.25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662.25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</f>
        <v>15127.000000000002</v>
      </c>
      <c r="AH275" s="125">
        <f t="shared" si="46"/>
        <v>217985.51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0</v>
      </c>
      <c r="AL275" s="125">
        <f>IF($F$3="NO",0,IF(Valores!$C$62*B275&gt;Valores!$F$62,Valores!$F$62,Valores!$C$62*B275))</f>
        <v>0</v>
      </c>
      <c r="AM275" s="125">
        <f t="shared" si="44"/>
        <v>0</v>
      </c>
      <c r="AN275" s="125">
        <f>AH275*Valores!$C$71</f>
        <v>-23978.4061</v>
      </c>
      <c r="AO275" s="125">
        <f>AH275*-Valores!$C$72</f>
        <v>0</v>
      </c>
      <c r="AP275" s="125">
        <f>AH275*Valores!$C$73</f>
        <v>-9809.34795</v>
      </c>
      <c r="AQ275" s="125">
        <f>Valores!$C$100</f>
        <v>-554.86</v>
      </c>
      <c r="AR275" s="125">
        <f>IF($F$5=0,Valores!$C$101,(Valores!$C$101+$F$5*(Valores!$C$101)))</f>
        <v>-550</v>
      </c>
      <c r="AS275" s="125">
        <f t="shared" si="47"/>
        <v>183092.89595</v>
      </c>
      <c r="AT275" s="125">
        <f t="shared" si="41"/>
        <v>-23978.4061</v>
      </c>
      <c r="AU275" s="125">
        <f>AH275*Valores!$C$74</f>
        <v>-5885.60877</v>
      </c>
      <c r="AV275" s="125">
        <f>AH275*Valores!$C$75</f>
        <v>-653.95653</v>
      </c>
      <c r="AW275" s="125">
        <f t="shared" si="45"/>
        <v>187467.5386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74990.16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15310.75</v>
      </c>
      <c r="N276" s="125">
        <f t="shared" si="42"/>
        <v>0</v>
      </c>
      <c r="O276" s="125">
        <f>Valores!$C$7*B276</f>
        <v>32191.500000000004</v>
      </c>
      <c r="P276" s="125">
        <f>ROUND(IF(B276&lt;15,(Valores!$E$5*B276),Valores!$D$5),2)</f>
        <v>19410.1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16956.75</v>
      </c>
      <c r="S276" s="125">
        <f>Valores!$C$18*B276</f>
        <v>10124.75</v>
      </c>
      <c r="T276" s="125">
        <f t="shared" si="48"/>
        <v>10124.75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32417</v>
      </c>
      <c r="AA276" s="125">
        <f>IF((Valores!$C$28)*B276&gt;Valores!$F$28,Valores!$F$28,(Valores!$C$28)*B276)</f>
        <v>795.25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662.25</v>
      </c>
      <c r="AE276" s="192">
        <v>94</v>
      </c>
      <c r="AF276" s="125">
        <f>ROUND(AE276*Valores!$C$2,2)</f>
        <v>3569.15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</f>
        <v>15127.000000000002</v>
      </c>
      <c r="AH276" s="125">
        <f t="shared" si="46"/>
        <v>221554.66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0</v>
      </c>
      <c r="AL276" s="125">
        <f>IF($F$3="NO",0,IF(Valores!$C$62*B276&gt;Valores!$F$62,Valores!$F$62,Valores!$C$62*B276))</f>
        <v>0</v>
      </c>
      <c r="AM276" s="125">
        <f t="shared" si="44"/>
        <v>0</v>
      </c>
      <c r="AN276" s="125">
        <f>AH276*Valores!$C$71</f>
        <v>-24371.012600000002</v>
      </c>
      <c r="AO276" s="125">
        <f>AH276*-Valores!$C$72</f>
        <v>0</v>
      </c>
      <c r="AP276" s="125">
        <f>AH276*Valores!$C$73</f>
        <v>-9969.9597</v>
      </c>
      <c r="AQ276" s="125">
        <f>Valores!$C$100</f>
        <v>-554.86</v>
      </c>
      <c r="AR276" s="125">
        <f>IF($F$5=0,Valores!$C$101,(Valores!$C$101+$F$5*(Valores!$C$101)))</f>
        <v>-550</v>
      </c>
      <c r="AS276" s="125">
        <f t="shared" si="47"/>
        <v>186108.8277</v>
      </c>
      <c r="AT276" s="125">
        <f t="shared" si="41"/>
        <v>-24371.012600000002</v>
      </c>
      <c r="AU276" s="125">
        <f>AH276*Valores!$C$74</f>
        <v>-5981.97582</v>
      </c>
      <c r="AV276" s="125">
        <f>AH276*Valores!$C$75</f>
        <v>-664.66398</v>
      </c>
      <c r="AW276" s="125">
        <f t="shared" si="45"/>
        <v>190537.0076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77989.76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15923.18</v>
      </c>
      <c r="N277" s="125">
        <f t="shared" si="42"/>
        <v>0</v>
      </c>
      <c r="O277" s="125">
        <f>Valores!$C$7*B277</f>
        <v>33479.16</v>
      </c>
      <c r="P277" s="125">
        <f>ROUND(IF(B277&lt;15,(Valores!$E$5*B277),Valores!$D$5),2)</f>
        <v>19410.1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17635.02</v>
      </c>
      <c r="S277" s="125">
        <f>Valores!$C$18*B277</f>
        <v>10529.74</v>
      </c>
      <c r="T277" s="125">
        <f t="shared" si="48"/>
        <v>10529.74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33713.68</v>
      </c>
      <c r="AA277" s="125">
        <f>IF((Valores!$C$28)*B277&gt;Valores!$F$28,Valores!$F$28,(Valores!$C$28)*B277)</f>
        <v>827.06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688.74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</f>
        <v>15732.080000000002</v>
      </c>
      <c r="AH277" s="125">
        <f t="shared" si="46"/>
        <v>225928.51999999996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0</v>
      </c>
      <c r="AL277" s="125">
        <f>IF($F$3="NO",0,IF(Valores!$C$62*B277&gt;Valores!$F$62,Valores!$F$62,Valores!$C$62*B277))</f>
        <v>0</v>
      </c>
      <c r="AM277" s="125">
        <f t="shared" si="44"/>
        <v>0</v>
      </c>
      <c r="AN277" s="125">
        <f>AH277*Valores!$C$71</f>
        <v>-24852.137199999997</v>
      </c>
      <c r="AO277" s="125">
        <f>AH277*-Valores!$C$72</f>
        <v>0</v>
      </c>
      <c r="AP277" s="125">
        <f>AH277*Valores!$C$73</f>
        <v>-10166.783399999998</v>
      </c>
      <c r="AQ277" s="125">
        <f>Valores!$C$100</f>
        <v>-554.86</v>
      </c>
      <c r="AR277" s="125">
        <f>IF($F$5=0,Valores!$C$101,(Valores!$C$101+$F$5*(Valores!$C$101)))</f>
        <v>-550</v>
      </c>
      <c r="AS277" s="125">
        <f t="shared" si="47"/>
        <v>189804.73939999996</v>
      </c>
      <c r="AT277" s="125">
        <f t="shared" si="41"/>
        <v>-24852.137199999997</v>
      </c>
      <c r="AU277" s="125">
        <f>AH277*Valores!$C$74</f>
        <v>-6100.070039999999</v>
      </c>
      <c r="AV277" s="125">
        <f>AH277*Valores!$C$75</f>
        <v>-677.7855599999999</v>
      </c>
      <c r="AW277" s="125">
        <f t="shared" si="45"/>
        <v>194298.52719999995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77989.76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15923.18</v>
      </c>
      <c r="N278" s="125">
        <f t="shared" si="42"/>
        <v>0</v>
      </c>
      <c r="O278" s="125">
        <f>Valores!$C$7*B278</f>
        <v>33479.16</v>
      </c>
      <c r="P278" s="125">
        <f>ROUND(IF(B278&lt;15,(Valores!$E$5*B278),Valores!$D$5),2)</f>
        <v>19410.1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17635.02</v>
      </c>
      <c r="S278" s="125">
        <f>Valores!$C$18*B278</f>
        <v>10529.74</v>
      </c>
      <c r="T278" s="125">
        <f t="shared" si="48"/>
        <v>10529.74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33713.68</v>
      </c>
      <c r="AA278" s="125">
        <f>IF((Valores!$C$28)*B278&gt;Valores!$F$28,Valores!$F$28,(Valores!$C$28)*B278)</f>
        <v>827.06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688.74</v>
      </c>
      <c r="AE278" s="192">
        <v>94</v>
      </c>
      <c r="AF278" s="125">
        <f>ROUND(AE278*Valores!$C$2,2)</f>
        <v>3569.15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</f>
        <v>15732.080000000002</v>
      </c>
      <c r="AH278" s="125">
        <f t="shared" si="46"/>
        <v>229497.66999999998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0</v>
      </c>
      <c r="AL278" s="125">
        <f>IF($F$3="NO",0,IF(Valores!$C$62*B278&gt;Valores!$F$62,Valores!$F$62,Valores!$C$62*B278))</f>
        <v>0</v>
      </c>
      <c r="AM278" s="125">
        <f t="shared" si="44"/>
        <v>0</v>
      </c>
      <c r="AN278" s="125">
        <f>AH278*Valores!$C$71</f>
        <v>-25244.7437</v>
      </c>
      <c r="AO278" s="125">
        <f>AH278*-Valores!$C$72</f>
        <v>0</v>
      </c>
      <c r="AP278" s="125">
        <f>AH278*Valores!$C$73</f>
        <v>-10327.395149999998</v>
      </c>
      <c r="AQ278" s="125">
        <f>Valores!$C$100</f>
        <v>-554.86</v>
      </c>
      <c r="AR278" s="125">
        <f>IF($F$5=0,Valores!$C$101,(Valores!$C$101+$F$5*(Valores!$C$101)))</f>
        <v>-550</v>
      </c>
      <c r="AS278" s="125">
        <f t="shared" si="47"/>
        <v>192820.67114999998</v>
      </c>
      <c r="AT278" s="125">
        <f t="shared" si="41"/>
        <v>-25244.7437</v>
      </c>
      <c r="AU278" s="125">
        <f>AH278*Valores!$C$74</f>
        <v>-6196.437089999999</v>
      </c>
      <c r="AV278" s="125">
        <f>AH278*Valores!$C$75</f>
        <v>-688.4930099999999</v>
      </c>
      <c r="AW278" s="125">
        <f t="shared" si="45"/>
        <v>197367.9962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80989.37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16535.61</v>
      </c>
      <c r="N279" s="125">
        <f t="shared" si="42"/>
        <v>0</v>
      </c>
      <c r="O279" s="125">
        <f>Valores!$C$7*B279</f>
        <v>34766.82</v>
      </c>
      <c r="P279" s="125">
        <f>ROUND(IF(B279&lt;15,(Valores!$E$5*B279),Valores!$D$5),2)</f>
        <v>19410.1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18313.29</v>
      </c>
      <c r="S279" s="125">
        <f>Valores!$C$18*B279</f>
        <v>10934.73</v>
      </c>
      <c r="T279" s="125">
        <f t="shared" si="48"/>
        <v>10934.73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35010.36</v>
      </c>
      <c r="AA279" s="125">
        <f>IF((Valores!$C$28)*B279&gt;Valores!$F$28,Valores!$F$28,(Valores!$C$28)*B279)</f>
        <v>858.87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715.2299999999999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</f>
        <v>16337.160000000002</v>
      </c>
      <c r="AH279" s="125">
        <f t="shared" si="46"/>
        <v>233871.54000000004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0</v>
      </c>
      <c r="AL279" s="125">
        <f>IF($F$3="NO",0,IF(Valores!$C$62*B279&gt;Valores!$F$62,Valores!$F$62,Valores!$C$62*B279))</f>
        <v>0</v>
      </c>
      <c r="AM279" s="125">
        <f t="shared" si="44"/>
        <v>0</v>
      </c>
      <c r="AN279" s="125">
        <f>AH279*Valores!$C$71</f>
        <v>-25725.869400000003</v>
      </c>
      <c r="AO279" s="125">
        <f>AH279*-Valores!$C$72</f>
        <v>0</v>
      </c>
      <c r="AP279" s="125">
        <f>AH279*Valores!$C$73</f>
        <v>-10524.2193</v>
      </c>
      <c r="AQ279" s="125">
        <f>Valores!$C$100</f>
        <v>-554.86</v>
      </c>
      <c r="AR279" s="125">
        <f>IF($F$5=0,Valores!$C$101,(Valores!$C$101+$F$5*(Valores!$C$101)))</f>
        <v>-550</v>
      </c>
      <c r="AS279" s="125">
        <f t="shared" si="47"/>
        <v>196516.59130000003</v>
      </c>
      <c r="AT279" s="125">
        <f t="shared" si="41"/>
        <v>-25725.869400000003</v>
      </c>
      <c r="AU279" s="125">
        <f>AH279*Valores!$C$74</f>
        <v>-6314.531580000001</v>
      </c>
      <c r="AV279" s="125">
        <f>AH279*Valores!$C$75</f>
        <v>-701.6146200000002</v>
      </c>
      <c r="AW279" s="125">
        <f t="shared" si="45"/>
        <v>201129.52440000002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80989.37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16535.61</v>
      </c>
      <c r="N280" s="125">
        <f t="shared" si="42"/>
        <v>0</v>
      </c>
      <c r="O280" s="125">
        <f>Valores!$C$7*B280</f>
        <v>34766.82</v>
      </c>
      <c r="P280" s="125">
        <f>ROUND(IF(B280&lt;15,(Valores!$E$5*B280),Valores!$D$5),2)</f>
        <v>19410.1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18313.29</v>
      </c>
      <c r="S280" s="125">
        <f>Valores!$C$18*B280</f>
        <v>10934.73</v>
      </c>
      <c r="T280" s="125">
        <f t="shared" si="48"/>
        <v>10934.73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35010.36</v>
      </c>
      <c r="AA280" s="125">
        <f>IF((Valores!$C$28)*B280&gt;Valores!$F$28,Valores!$F$28,(Valores!$C$28)*B280)</f>
        <v>858.87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715.2299999999999</v>
      </c>
      <c r="AE280" s="192">
        <v>94</v>
      </c>
      <c r="AF280" s="125">
        <f>ROUND(AE280*Valores!$C$2,2)</f>
        <v>3569.15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</f>
        <v>16337.160000000002</v>
      </c>
      <c r="AH280" s="125">
        <f t="shared" si="46"/>
        <v>237440.69000000003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0</v>
      </c>
      <c r="AL280" s="125">
        <f>IF($F$3="NO",0,IF(Valores!$C$62*B280&gt;Valores!$F$62,Valores!$F$62,Valores!$C$62*B280))</f>
        <v>0</v>
      </c>
      <c r="AM280" s="125">
        <f t="shared" si="44"/>
        <v>0</v>
      </c>
      <c r="AN280" s="125">
        <f>AH280*Valores!$C$71</f>
        <v>-26118.475900000005</v>
      </c>
      <c r="AO280" s="125">
        <f>AH280*-Valores!$C$72</f>
        <v>0</v>
      </c>
      <c r="AP280" s="125">
        <f>AH280*Valores!$C$73</f>
        <v>-10684.83105</v>
      </c>
      <c r="AQ280" s="125">
        <f>Valores!$C$100</f>
        <v>-554.86</v>
      </c>
      <c r="AR280" s="125">
        <f>IF($F$5=0,Valores!$C$101,(Valores!$C$101+$F$5*(Valores!$C$101)))</f>
        <v>-550</v>
      </c>
      <c r="AS280" s="125">
        <f t="shared" si="47"/>
        <v>199532.52305000002</v>
      </c>
      <c r="AT280" s="125">
        <f t="shared" si="41"/>
        <v>-26118.475900000005</v>
      </c>
      <c r="AU280" s="125">
        <f>AH280*Valores!$C$74</f>
        <v>-6410.898630000001</v>
      </c>
      <c r="AV280" s="125">
        <f>AH280*Valores!$C$75</f>
        <v>-712.32207</v>
      </c>
      <c r="AW280" s="125">
        <f t="shared" si="45"/>
        <v>204198.99340000004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83988.98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17148.04</v>
      </c>
      <c r="N281" s="125">
        <f t="shared" si="42"/>
        <v>0</v>
      </c>
      <c r="O281" s="125">
        <f>Valores!$C$7*B281</f>
        <v>36054.48</v>
      </c>
      <c r="P281" s="125">
        <f>ROUND(IF(B281&lt;15,(Valores!$E$5*B281),Valores!$D$5),2)</f>
        <v>19410.1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18991.559999999998</v>
      </c>
      <c r="S281" s="125">
        <f>Valores!$C$18*B281</f>
        <v>11339.720000000001</v>
      </c>
      <c r="T281" s="125">
        <f t="shared" si="48"/>
        <v>11339.72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36307.04</v>
      </c>
      <c r="AA281" s="125">
        <f>IF((Valores!$C$28)*B281&gt;Valores!$F$28,Valores!$F$28,(Valores!$C$28)*B281)</f>
        <v>890.68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741.7199999999999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</f>
        <v>16942.24</v>
      </c>
      <c r="AH281" s="125">
        <f t="shared" si="46"/>
        <v>241814.56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0</v>
      </c>
      <c r="AL281" s="125">
        <f>IF($F$3="NO",0,IF(Valores!$C$62*B281&gt;Valores!$F$62,Valores!$F$62,Valores!$C$62*B281))</f>
        <v>0</v>
      </c>
      <c r="AM281" s="125">
        <f t="shared" si="44"/>
        <v>0</v>
      </c>
      <c r="AN281" s="125">
        <f>AH281*Valores!$C$71</f>
        <v>-26599.601599999998</v>
      </c>
      <c r="AO281" s="125">
        <f>AH281*-Valores!$C$72</f>
        <v>0</v>
      </c>
      <c r="AP281" s="125">
        <f>AH281*Valores!$C$73</f>
        <v>-10881.6552</v>
      </c>
      <c r="AQ281" s="125">
        <f>Valores!$C$100</f>
        <v>-554.86</v>
      </c>
      <c r="AR281" s="125">
        <f>IF($F$5=0,Valores!$C$101,(Valores!$C$101+$F$5*(Valores!$C$101)))</f>
        <v>-550</v>
      </c>
      <c r="AS281" s="125">
        <f t="shared" si="47"/>
        <v>203228.4432</v>
      </c>
      <c r="AT281" s="125">
        <f t="shared" si="41"/>
        <v>-26599.601599999998</v>
      </c>
      <c r="AU281" s="125">
        <f>AH281*Valores!$C$74</f>
        <v>-6528.99312</v>
      </c>
      <c r="AV281" s="125">
        <f>AH281*Valores!$C$75</f>
        <v>-725.44368</v>
      </c>
      <c r="AW281" s="125">
        <f t="shared" si="45"/>
        <v>207960.5216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83988.98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17148.04</v>
      </c>
      <c r="N282" s="125">
        <f t="shared" si="42"/>
        <v>0</v>
      </c>
      <c r="O282" s="125">
        <f>Valores!$C$7*B282</f>
        <v>36054.48</v>
      </c>
      <c r="P282" s="125">
        <f>ROUND(IF(B282&lt;15,(Valores!$E$5*B282),Valores!$D$5),2)</f>
        <v>19410.1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18991.559999999998</v>
      </c>
      <c r="S282" s="125">
        <f>Valores!$C$18*B282</f>
        <v>11339.720000000001</v>
      </c>
      <c r="T282" s="125">
        <f t="shared" si="48"/>
        <v>11339.72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36307.04</v>
      </c>
      <c r="AA282" s="125">
        <f>IF((Valores!$C$28)*B282&gt;Valores!$F$28,Valores!$F$28,(Valores!$C$28)*B282)</f>
        <v>890.68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741.7199999999999</v>
      </c>
      <c r="AE282" s="192">
        <v>94</v>
      </c>
      <c r="AF282" s="125">
        <f>ROUND(AE282*Valores!$C$2,2)</f>
        <v>3569.15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</f>
        <v>16942.24</v>
      </c>
      <c r="AH282" s="125">
        <f t="shared" si="46"/>
        <v>245383.71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0</v>
      </c>
      <c r="AL282" s="125">
        <f>IF($F$3="NO",0,IF(Valores!$C$62*B282&gt;Valores!$F$62,Valores!$F$62,Valores!$C$62*B282))</f>
        <v>0</v>
      </c>
      <c r="AM282" s="125">
        <f t="shared" si="44"/>
        <v>0</v>
      </c>
      <c r="AN282" s="125">
        <f>AH282*Valores!$C$71</f>
        <v>-26992.2081</v>
      </c>
      <c r="AO282" s="125">
        <f>AH282*-Valores!$C$72</f>
        <v>0</v>
      </c>
      <c r="AP282" s="125">
        <f>AH282*Valores!$C$73</f>
        <v>-11042.26695</v>
      </c>
      <c r="AQ282" s="125">
        <f>Valores!$C$100</f>
        <v>-554.86</v>
      </c>
      <c r="AR282" s="125">
        <f>IF($F$5=0,Valores!$C$101,(Valores!$C$101+$F$5*(Valores!$C$101)))</f>
        <v>-550</v>
      </c>
      <c r="AS282" s="125">
        <f t="shared" si="47"/>
        <v>206244.37495</v>
      </c>
      <c r="AT282" s="125">
        <f t="shared" si="41"/>
        <v>-26992.2081</v>
      </c>
      <c r="AU282" s="125">
        <f>AH282*Valores!$C$74</f>
        <v>-6625.36017</v>
      </c>
      <c r="AV282" s="125">
        <f>AH282*Valores!$C$75</f>
        <v>-736.15113</v>
      </c>
      <c r="AW282" s="125">
        <f t="shared" si="45"/>
        <v>211029.9906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86988.58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17760.47</v>
      </c>
      <c r="N283" s="125">
        <f t="shared" si="42"/>
        <v>0</v>
      </c>
      <c r="O283" s="125">
        <f>Valores!$C$7*B283</f>
        <v>37342.14</v>
      </c>
      <c r="P283" s="125">
        <f>ROUND(IF(B283&lt;15,(Valores!$E$5*B283),Valores!$D$5),2)</f>
        <v>19410.1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19669.829999999998</v>
      </c>
      <c r="S283" s="125">
        <f>Valores!$C$18*B283</f>
        <v>11744.710000000001</v>
      </c>
      <c r="T283" s="125">
        <f t="shared" si="48"/>
        <v>11744.71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37603.72</v>
      </c>
      <c r="AA283" s="125">
        <f>IF((Valores!$C$28)*B283&gt;Valores!$F$28,Valores!$F$28,(Valores!$C$28)*B283)</f>
        <v>922.49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768.2099999999999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</f>
        <v>17547.32</v>
      </c>
      <c r="AH283" s="125">
        <f t="shared" si="46"/>
        <v>249757.56999999998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0</v>
      </c>
      <c r="AL283" s="125">
        <f>IF($F$3="NO",0,IF(Valores!$C$62*B283&gt;Valores!$F$62,Valores!$F$62,Valores!$C$62*B283))</f>
        <v>0</v>
      </c>
      <c r="AM283" s="125">
        <f t="shared" si="44"/>
        <v>0</v>
      </c>
      <c r="AN283" s="125">
        <f>AH283*Valores!$C$71</f>
        <v>-27473.3327</v>
      </c>
      <c r="AO283" s="125">
        <f>AH283*-Valores!$C$72</f>
        <v>0</v>
      </c>
      <c r="AP283" s="125">
        <f>AH283*Valores!$C$73</f>
        <v>-11239.090649999998</v>
      </c>
      <c r="AQ283" s="125">
        <f>Valores!$C$100</f>
        <v>-554.86</v>
      </c>
      <c r="AR283" s="125">
        <f>IF($F$5=0,Valores!$C$101,(Valores!$C$101+$F$5*(Valores!$C$101)))</f>
        <v>-550</v>
      </c>
      <c r="AS283" s="125">
        <f t="shared" si="47"/>
        <v>209940.28664999997</v>
      </c>
      <c r="AT283" s="125">
        <f t="shared" si="41"/>
        <v>-27473.3327</v>
      </c>
      <c r="AU283" s="125">
        <f>AH283*Valores!$C$74</f>
        <v>-6743.454389999999</v>
      </c>
      <c r="AV283" s="125">
        <f>AH283*Valores!$C$75</f>
        <v>-749.27271</v>
      </c>
      <c r="AW283" s="125">
        <f t="shared" si="45"/>
        <v>214791.5102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86988.58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17760.47</v>
      </c>
      <c r="N284" s="125">
        <f t="shared" si="42"/>
        <v>0</v>
      </c>
      <c r="O284" s="125">
        <f>Valores!$C$7*B284</f>
        <v>37342.14</v>
      </c>
      <c r="P284" s="125">
        <f>ROUND(IF(B284&lt;15,(Valores!$E$5*B284),Valores!$D$5),2)</f>
        <v>19410.1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19669.829999999998</v>
      </c>
      <c r="S284" s="125">
        <f>Valores!$C$18*B284</f>
        <v>11744.710000000001</v>
      </c>
      <c r="T284" s="125">
        <f t="shared" si="48"/>
        <v>11744.71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37603.72</v>
      </c>
      <c r="AA284" s="125">
        <f>IF((Valores!$C$28)*B284&gt;Valores!$F$28,Valores!$F$28,(Valores!$C$28)*B284)</f>
        <v>922.49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768.2099999999999</v>
      </c>
      <c r="AE284" s="192">
        <v>94</v>
      </c>
      <c r="AF284" s="125">
        <f>ROUND(AE284*Valores!$C$2,2)</f>
        <v>3569.15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</f>
        <v>17547.32</v>
      </c>
      <c r="AH284" s="125">
        <f t="shared" si="46"/>
        <v>253326.71999999997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0</v>
      </c>
      <c r="AL284" s="125">
        <f>IF($F$3="NO",0,IF(Valores!$C$62*B284&gt;Valores!$F$62,Valores!$F$62,Valores!$C$62*B284))</f>
        <v>0</v>
      </c>
      <c r="AM284" s="125">
        <f t="shared" si="44"/>
        <v>0</v>
      </c>
      <c r="AN284" s="125">
        <f>AH284*Valores!$C$71</f>
        <v>-27865.939199999997</v>
      </c>
      <c r="AO284" s="125">
        <f>AH284*-Valores!$C$72</f>
        <v>0</v>
      </c>
      <c r="AP284" s="125">
        <f>AH284*Valores!$C$73</f>
        <v>-11399.702399999998</v>
      </c>
      <c r="AQ284" s="125">
        <f>Valores!$C$100</f>
        <v>-554.86</v>
      </c>
      <c r="AR284" s="125">
        <f>IF($F$5=0,Valores!$C$101,(Valores!$C$101+$F$5*(Valores!$C$101)))</f>
        <v>-550</v>
      </c>
      <c r="AS284" s="125">
        <f t="shared" si="47"/>
        <v>212956.21839999998</v>
      </c>
      <c r="AT284" s="125">
        <f t="shared" si="41"/>
        <v>-27865.939199999997</v>
      </c>
      <c r="AU284" s="125">
        <f>AH284*Valores!$C$74</f>
        <v>-6839.821439999999</v>
      </c>
      <c r="AV284" s="125">
        <f>AH284*Valores!$C$75</f>
        <v>-759.98016</v>
      </c>
      <c r="AW284" s="125">
        <f t="shared" si="45"/>
        <v>217860.97919999997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89988.19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18372.9</v>
      </c>
      <c r="N285" s="125">
        <f t="shared" si="42"/>
        <v>0</v>
      </c>
      <c r="O285" s="125">
        <f>Valores!$C$7*B285</f>
        <v>38629.8</v>
      </c>
      <c r="P285" s="125">
        <f>ROUND(IF(B285&lt;15,(Valores!$E$5*B285),Valores!$D$5),2)</f>
        <v>19410.1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20348.1</v>
      </c>
      <c r="S285" s="125">
        <f>Valores!$C$18*B285</f>
        <v>12149.7</v>
      </c>
      <c r="T285" s="125">
        <f t="shared" si="48"/>
        <v>12149.7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38900.4</v>
      </c>
      <c r="AA285" s="125">
        <f>IF((Valores!$C$28)*B285&gt;Valores!$F$28,Valores!$F$28,(Valores!$C$28)*B285)</f>
        <v>954.3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793.88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18152.34</v>
      </c>
      <c r="AH285" s="125">
        <f t="shared" si="46"/>
        <v>257699.71000000002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0</v>
      </c>
      <c r="AL285" s="125">
        <f>IF($F$3="NO",0,IF(Valores!$C$62*B285&gt;Valores!$F$62,Valores!$F$62,Valores!$C$62*B285))</f>
        <v>0</v>
      </c>
      <c r="AM285" s="125">
        <f t="shared" si="44"/>
        <v>0</v>
      </c>
      <c r="AN285" s="125">
        <f>AH285*Valores!$C$71</f>
        <v>-28346.968100000002</v>
      </c>
      <c r="AO285" s="125">
        <f>AH285*-Valores!$C$72</f>
        <v>0</v>
      </c>
      <c r="AP285" s="125">
        <f>AH285*Valores!$C$73</f>
        <v>-11596.48695</v>
      </c>
      <c r="AQ285" s="125">
        <f>Valores!$C$100</f>
        <v>-554.86</v>
      </c>
      <c r="AR285" s="125">
        <f>IF($F$5=0,Valores!$C$101,(Valores!$C$101+$F$5*(Valores!$C$101)))</f>
        <v>-550</v>
      </c>
      <c r="AS285" s="125">
        <f t="shared" si="47"/>
        <v>216651.39495000002</v>
      </c>
      <c r="AT285" s="125">
        <f t="shared" si="41"/>
        <v>-28346.968100000002</v>
      </c>
      <c r="AU285" s="125">
        <f>AH285*Valores!$C$74</f>
        <v>-6957.89217</v>
      </c>
      <c r="AV285" s="125">
        <f>AH285*Valores!$C$75</f>
        <v>-773.0991300000001</v>
      </c>
      <c r="AW285" s="125">
        <f t="shared" si="45"/>
        <v>221621.75060000003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89988.19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18372.9</v>
      </c>
      <c r="N286" s="125">
        <f t="shared" si="42"/>
        <v>0</v>
      </c>
      <c r="O286" s="125">
        <f>Valores!$C$7*B286</f>
        <v>38629.8</v>
      </c>
      <c r="P286" s="125">
        <f>ROUND(IF(B286&lt;15,(Valores!$E$5*B286),Valores!$D$5),2)</f>
        <v>19410.1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20348.1</v>
      </c>
      <c r="S286" s="125">
        <f>Valores!$C$18*B286</f>
        <v>12149.7</v>
      </c>
      <c r="T286" s="125">
        <f t="shared" si="48"/>
        <v>12149.7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38900.4</v>
      </c>
      <c r="AA286" s="125">
        <f>IF((Valores!$C$28)*B286&gt;Valores!$F$28,Valores!$F$28,(Valores!$C$28)*B286)</f>
        <v>954.3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793.88</v>
      </c>
      <c r="AE286" s="192">
        <v>94</v>
      </c>
      <c r="AF286" s="125">
        <f>ROUND(AE286*Valores!$C$2,2)</f>
        <v>3569.15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18152.34</v>
      </c>
      <c r="AH286" s="125">
        <f t="shared" si="46"/>
        <v>261268.86000000002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0</v>
      </c>
      <c r="AL286" s="125">
        <f>IF($F$3="NO",0,IF(Valores!$C$62*B286&gt;Valores!$F$62,Valores!$F$62,Valores!$C$62*B286))</f>
        <v>0</v>
      </c>
      <c r="AM286" s="125">
        <f t="shared" si="44"/>
        <v>0</v>
      </c>
      <c r="AN286" s="125">
        <f>AH286*Valores!$C$71</f>
        <v>-28739.574600000004</v>
      </c>
      <c r="AO286" s="125">
        <f>AH286*-Valores!$C$72</f>
        <v>0</v>
      </c>
      <c r="AP286" s="125">
        <f>AH286*Valores!$C$73</f>
        <v>-11757.0987</v>
      </c>
      <c r="AQ286" s="125">
        <f>Valores!$C$100</f>
        <v>-554.86</v>
      </c>
      <c r="AR286" s="125">
        <f>IF($F$5=0,Valores!$C$101,(Valores!$C$101+$F$5*(Valores!$C$101)))</f>
        <v>-550</v>
      </c>
      <c r="AS286" s="125">
        <f t="shared" si="47"/>
        <v>219667.3267</v>
      </c>
      <c r="AT286" s="125">
        <f t="shared" si="41"/>
        <v>-28739.574600000004</v>
      </c>
      <c r="AU286" s="125">
        <f>AH286*Valores!$C$74</f>
        <v>-7054.25922</v>
      </c>
      <c r="AV286" s="125">
        <f>AH286*Valores!$C$75</f>
        <v>-783.80658</v>
      </c>
      <c r="AW286" s="125">
        <f t="shared" si="45"/>
        <v>224691.2196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92987.8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18985.33</v>
      </c>
      <c r="N287" s="125">
        <f t="shared" si="42"/>
        <v>0</v>
      </c>
      <c r="O287" s="125">
        <f>Valores!$C$7*B287</f>
        <v>39917.46</v>
      </c>
      <c r="P287" s="125">
        <f>ROUND(IF(B287&lt;15,(Valores!$E$5*B287),Valores!$D$5),2)</f>
        <v>19410.1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21026.37</v>
      </c>
      <c r="S287" s="125">
        <f>Valores!$C$18*B287</f>
        <v>12554.69</v>
      </c>
      <c r="T287" s="125">
        <f t="shared" si="48"/>
        <v>12554.69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40197.08</v>
      </c>
      <c r="AA287" s="125">
        <f>IF((Valores!$C$28)*B287&gt;Valores!$F$28,Valores!$F$28,(Valores!$C$28)*B287)</f>
        <v>986.11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793.88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18152.34</v>
      </c>
      <c r="AH287" s="125">
        <f t="shared" si="46"/>
        <v>265011.16000000003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0</v>
      </c>
      <c r="AL287" s="125">
        <f>IF($F$3="NO",0,IF(Valores!$C$62*B287&gt;Valores!$F$62,Valores!$F$62,Valores!$C$62*B287))</f>
        <v>0</v>
      </c>
      <c r="AM287" s="125">
        <f t="shared" si="44"/>
        <v>0</v>
      </c>
      <c r="AN287" s="125">
        <f>AH287*Valores!$C$71</f>
        <v>-29151.227600000002</v>
      </c>
      <c r="AO287" s="125">
        <f>AH287*-Valores!$C$72</f>
        <v>0</v>
      </c>
      <c r="AP287" s="125">
        <f>AH287*Valores!$C$73</f>
        <v>-11925.5022</v>
      </c>
      <c r="AQ287" s="125">
        <f>Valores!$C$100</f>
        <v>-554.86</v>
      </c>
      <c r="AR287" s="125">
        <f>IF($F$5=0,Valores!$C$101,(Valores!$C$101+$F$5*(Valores!$C$101)))</f>
        <v>-550</v>
      </c>
      <c r="AS287" s="125">
        <f t="shared" si="47"/>
        <v>222829.57020000002</v>
      </c>
      <c r="AT287" s="125">
        <f t="shared" si="41"/>
        <v>-29151.227600000002</v>
      </c>
      <c r="AU287" s="125">
        <f>AH287*Valores!$C$74</f>
        <v>-7155.3013200000005</v>
      </c>
      <c r="AV287" s="125">
        <f>AH287*Valores!$C$75</f>
        <v>-795.0334800000002</v>
      </c>
      <c r="AW287" s="125">
        <f t="shared" si="45"/>
        <v>227909.59760000004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92987.8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18985.33</v>
      </c>
      <c r="N288" s="125">
        <f t="shared" si="42"/>
        <v>0</v>
      </c>
      <c r="O288" s="125">
        <f>Valores!$C$7*B288</f>
        <v>39917.46</v>
      </c>
      <c r="P288" s="125">
        <f>ROUND(IF(B288&lt;15,(Valores!$E$5*B288),Valores!$D$5),2)</f>
        <v>19410.1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21026.37</v>
      </c>
      <c r="S288" s="125">
        <f>Valores!$C$18*B288</f>
        <v>12554.69</v>
      </c>
      <c r="T288" s="125">
        <f t="shared" si="48"/>
        <v>12554.69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40197.08</v>
      </c>
      <c r="AA288" s="125">
        <f>IF((Valores!$C$28)*B288&gt;Valores!$F$28,Valores!$F$28,(Valores!$C$28)*B288)</f>
        <v>986.11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793.88</v>
      </c>
      <c r="AE288" s="192">
        <v>94</v>
      </c>
      <c r="AF288" s="125">
        <f>ROUND(AE288*Valores!$C$2,2)</f>
        <v>3569.15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18152.34</v>
      </c>
      <c r="AH288" s="125">
        <f t="shared" si="46"/>
        <v>268580.31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0</v>
      </c>
      <c r="AL288" s="125">
        <f>IF($F$3="NO",0,IF(Valores!$C$62*B288&gt;Valores!$F$62,Valores!$F$62,Valores!$C$62*B288))</f>
        <v>0</v>
      </c>
      <c r="AM288" s="125">
        <f t="shared" si="44"/>
        <v>0</v>
      </c>
      <c r="AN288" s="125">
        <f>AH288*Valores!$C$71</f>
        <v>-29543.8341</v>
      </c>
      <c r="AO288" s="125">
        <f>AH288*-Valores!$C$72</f>
        <v>0</v>
      </c>
      <c r="AP288" s="125">
        <f>AH288*Valores!$C$73</f>
        <v>-12086.113949999999</v>
      </c>
      <c r="AQ288" s="125">
        <f>Valores!$C$100</f>
        <v>-554.86</v>
      </c>
      <c r="AR288" s="125">
        <f>IF($F$5=0,Valores!$C$101,(Valores!$C$101+$F$5*(Valores!$C$101)))</f>
        <v>-550</v>
      </c>
      <c r="AS288" s="125">
        <f t="shared" si="47"/>
        <v>225845.50195</v>
      </c>
      <c r="AT288" s="125">
        <f t="shared" si="41"/>
        <v>-29543.8341</v>
      </c>
      <c r="AU288" s="125">
        <f>AH288*Valores!$C$74</f>
        <v>-7251.668369999999</v>
      </c>
      <c r="AV288" s="125">
        <f>AH288*Valores!$C$75</f>
        <v>-805.74093</v>
      </c>
      <c r="AW288" s="125">
        <f t="shared" si="45"/>
        <v>230979.0666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95987.4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19597.76</v>
      </c>
      <c r="N289" s="125">
        <f t="shared" si="42"/>
        <v>0</v>
      </c>
      <c r="O289" s="125">
        <f>Valores!$C$7*B289</f>
        <v>41205.12</v>
      </c>
      <c r="P289" s="125">
        <f>ROUND(IF(B289&lt;15,(Valores!$E$5*B289),Valores!$D$5),2)</f>
        <v>19410.1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21704.64</v>
      </c>
      <c r="S289" s="125">
        <f>Valores!$C$18*B289</f>
        <v>12959.68</v>
      </c>
      <c r="T289" s="125">
        <f t="shared" si="48"/>
        <v>12959.68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41493.76</v>
      </c>
      <c r="AA289" s="125">
        <f>IF((Valores!$C$28)*B289&gt;Valores!$F$28,Valores!$F$28,(Valores!$C$28)*B289)</f>
        <v>1017.92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793.88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18152.34</v>
      </c>
      <c r="AH289" s="125">
        <f t="shared" si="46"/>
        <v>272322.60000000003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0</v>
      </c>
      <c r="AL289" s="125">
        <f>IF($F$3="NO",0,IF(Valores!$C$62*B289&gt;Valores!$F$62,Valores!$F$62,Valores!$C$62*B289))</f>
        <v>0</v>
      </c>
      <c r="AM289" s="125">
        <f t="shared" si="44"/>
        <v>0</v>
      </c>
      <c r="AN289" s="125">
        <f>AH289*Valores!$C$71</f>
        <v>-29955.486000000004</v>
      </c>
      <c r="AO289" s="125">
        <f>AH289*-Valores!$C$72</f>
        <v>0</v>
      </c>
      <c r="AP289" s="125">
        <f>AH289*Valores!$C$73</f>
        <v>-12254.517000000002</v>
      </c>
      <c r="AQ289" s="125">
        <f>Valores!$C$100</f>
        <v>-554.86</v>
      </c>
      <c r="AR289" s="125">
        <f>IF($F$5=0,Valores!$C$101,(Valores!$C$101+$F$5*(Valores!$C$101)))</f>
        <v>-550</v>
      </c>
      <c r="AS289" s="125">
        <f t="shared" si="47"/>
        <v>229007.73700000002</v>
      </c>
      <c r="AT289" s="125">
        <f t="shared" si="41"/>
        <v>-29955.486000000004</v>
      </c>
      <c r="AU289" s="125">
        <f>AH289*Valores!$C$74</f>
        <v>-7352.7102</v>
      </c>
      <c r="AV289" s="125">
        <f>AH289*Valores!$C$75</f>
        <v>-816.9678000000001</v>
      </c>
      <c r="AW289" s="125">
        <f t="shared" si="45"/>
        <v>234197.43600000005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95987.4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19597.76</v>
      </c>
      <c r="N290" s="125">
        <f t="shared" si="42"/>
        <v>0</v>
      </c>
      <c r="O290" s="125">
        <f>Valores!$C$7*B290</f>
        <v>41205.12</v>
      </c>
      <c r="P290" s="125">
        <f>ROUND(IF(B290&lt;15,(Valores!$E$5*B290),Valores!$D$5),2)</f>
        <v>19410.1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21704.64</v>
      </c>
      <c r="S290" s="125">
        <f>Valores!$C$18*B290</f>
        <v>12959.68</v>
      </c>
      <c r="T290" s="125">
        <f t="shared" si="48"/>
        <v>12959.68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41493.76</v>
      </c>
      <c r="AA290" s="125">
        <f>IF((Valores!$C$28)*B290&gt;Valores!$F$28,Valores!$F$28,(Valores!$C$28)*B290)</f>
        <v>1017.92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793.88</v>
      </c>
      <c r="AE290" s="192">
        <v>94</v>
      </c>
      <c r="AF290" s="125">
        <f>ROUND(AE290*Valores!$C$2,2)</f>
        <v>3569.15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18152.34</v>
      </c>
      <c r="AH290" s="125">
        <f t="shared" si="46"/>
        <v>275891.75000000006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0</v>
      </c>
      <c r="AL290" s="125">
        <f>IF($F$3="NO",0,IF(Valores!$C$62*B290&gt;Valores!$F$62,Valores!$F$62,Valores!$C$62*B290))</f>
        <v>0</v>
      </c>
      <c r="AM290" s="125">
        <f t="shared" si="44"/>
        <v>0</v>
      </c>
      <c r="AN290" s="125">
        <f>AH290*Valores!$C$71</f>
        <v>-30348.092500000006</v>
      </c>
      <c r="AO290" s="125">
        <f>AH290*-Valores!$C$72</f>
        <v>0</v>
      </c>
      <c r="AP290" s="125">
        <f>AH290*Valores!$C$73</f>
        <v>-12415.128750000002</v>
      </c>
      <c r="AQ290" s="125">
        <f>Valores!$C$100</f>
        <v>-554.86</v>
      </c>
      <c r="AR290" s="125">
        <f>IF($F$5=0,Valores!$C$101,(Valores!$C$101+$F$5*(Valores!$C$101)))</f>
        <v>-550</v>
      </c>
      <c r="AS290" s="125">
        <f t="shared" si="47"/>
        <v>232023.66875000004</v>
      </c>
      <c r="AT290" s="125">
        <f t="shared" si="41"/>
        <v>-30348.092500000006</v>
      </c>
      <c r="AU290" s="125">
        <f>AH290*Valores!$C$74</f>
        <v>-7449.077250000001</v>
      </c>
      <c r="AV290" s="125">
        <f>AH290*Valores!$C$75</f>
        <v>-827.6752500000002</v>
      </c>
      <c r="AW290" s="125">
        <f t="shared" si="45"/>
        <v>237266.90500000006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98987.01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20210.19</v>
      </c>
      <c r="N291" s="125">
        <f t="shared" si="42"/>
        <v>0</v>
      </c>
      <c r="O291" s="125">
        <f>Valores!$C$7*B291</f>
        <v>42492.780000000006</v>
      </c>
      <c r="P291" s="125">
        <f>ROUND(IF(B291&lt;15,(Valores!$E$5*B291),Valores!$D$5),2)</f>
        <v>19410.1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22382.91</v>
      </c>
      <c r="S291" s="125">
        <f>Valores!$C$18*B291</f>
        <v>13364.67</v>
      </c>
      <c r="T291" s="125">
        <f t="shared" si="48"/>
        <v>13364.67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42790.44</v>
      </c>
      <c r="AA291" s="125">
        <f>IF((Valores!$C$28)*B291&gt;Valores!$F$28,Valores!$F$28,(Valores!$C$28)*B291)</f>
        <v>1049.73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793.88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18152.34</v>
      </c>
      <c r="AH291" s="125">
        <f t="shared" si="46"/>
        <v>279634.05000000005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0</v>
      </c>
      <c r="AL291" s="125">
        <f>IF($F$3="NO",0,IF(Valores!$C$62*B291&gt;Valores!$F$62,Valores!$F$62,Valores!$C$62*B291))</f>
        <v>0</v>
      </c>
      <c r="AM291" s="125">
        <f t="shared" si="44"/>
        <v>0</v>
      </c>
      <c r="AN291" s="125">
        <f>AH291*Valores!$C$71</f>
        <v>-30759.745500000005</v>
      </c>
      <c r="AO291" s="125">
        <f>AH291*-Valores!$C$72</f>
        <v>0</v>
      </c>
      <c r="AP291" s="125">
        <f>AH291*Valores!$C$73</f>
        <v>-12583.532250000002</v>
      </c>
      <c r="AQ291" s="125">
        <f>Valores!$C$100</f>
        <v>-554.86</v>
      </c>
      <c r="AR291" s="125">
        <f>IF($F$5=0,Valores!$C$101,(Valores!$C$101+$F$5*(Valores!$C$101)))</f>
        <v>-550</v>
      </c>
      <c r="AS291" s="125">
        <f t="shared" si="47"/>
        <v>235185.91225000005</v>
      </c>
      <c r="AT291" s="125">
        <f t="shared" si="41"/>
        <v>-30759.745500000005</v>
      </c>
      <c r="AU291" s="125">
        <f>AH291*Valores!$C$74</f>
        <v>-7550.119350000001</v>
      </c>
      <c r="AV291" s="125">
        <f>AH291*Valores!$C$75</f>
        <v>-838.9021500000001</v>
      </c>
      <c r="AW291" s="125">
        <f t="shared" si="45"/>
        <v>240485.28300000005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98987.01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20210.19</v>
      </c>
      <c r="N292" s="125">
        <f t="shared" si="42"/>
        <v>0</v>
      </c>
      <c r="O292" s="125">
        <f>Valores!$C$7*B292</f>
        <v>42492.780000000006</v>
      </c>
      <c r="P292" s="125">
        <f>ROUND(IF(B292&lt;15,(Valores!$E$5*B292),Valores!$D$5),2)</f>
        <v>19410.1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22382.91</v>
      </c>
      <c r="S292" s="125">
        <f>Valores!$C$18*B292</f>
        <v>13364.67</v>
      </c>
      <c r="T292" s="125">
        <f t="shared" si="48"/>
        <v>13364.67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42790.44</v>
      </c>
      <c r="AA292" s="125">
        <f>IF((Valores!$C$28)*B292&gt;Valores!$F$28,Valores!$F$28,(Valores!$C$28)*B292)</f>
        <v>1049.73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793.88</v>
      </c>
      <c r="AE292" s="192">
        <v>94</v>
      </c>
      <c r="AF292" s="125">
        <f>ROUND(AE292*Valores!$C$2,2)</f>
        <v>3569.15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18152.34</v>
      </c>
      <c r="AH292" s="125">
        <f t="shared" si="46"/>
        <v>283203.20000000007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0</v>
      </c>
      <c r="AL292" s="125">
        <f>IF($F$3="NO",0,IF(Valores!$C$62*B292&gt;Valores!$F$62,Valores!$F$62,Valores!$C$62*B292))</f>
        <v>0</v>
      </c>
      <c r="AM292" s="125">
        <f t="shared" si="44"/>
        <v>0</v>
      </c>
      <c r="AN292" s="125">
        <f>AH292*Valores!$C$71</f>
        <v>-31152.352000000006</v>
      </c>
      <c r="AO292" s="125">
        <f>AH292*-Valores!$C$72</f>
        <v>0</v>
      </c>
      <c r="AP292" s="125">
        <f>AH292*Valores!$C$73</f>
        <v>-12744.144000000002</v>
      </c>
      <c r="AQ292" s="125">
        <f>Valores!$C$100</f>
        <v>-554.86</v>
      </c>
      <c r="AR292" s="125">
        <f>IF($F$5=0,Valores!$C$101,(Valores!$C$101+$F$5*(Valores!$C$101)))</f>
        <v>-550</v>
      </c>
      <c r="AS292" s="125">
        <f t="shared" si="47"/>
        <v>238201.84400000007</v>
      </c>
      <c r="AT292" s="125">
        <f t="shared" si="41"/>
        <v>-31152.352000000006</v>
      </c>
      <c r="AU292" s="125">
        <f>AH292*Valores!$C$74</f>
        <v>-7646.486400000002</v>
      </c>
      <c r="AV292" s="125">
        <f>AH292*Valores!$C$75</f>
        <v>-849.6096000000002</v>
      </c>
      <c r="AW292" s="125">
        <f t="shared" si="45"/>
        <v>243554.75200000007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101986.61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20822.62</v>
      </c>
      <c r="N293" s="125">
        <f t="shared" si="42"/>
        <v>0</v>
      </c>
      <c r="O293" s="125">
        <f>Valores!$C$7*B293</f>
        <v>43780.44</v>
      </c>
      <c r="P293" s="125">
        <f>ROUND(IF(B293&lt;15,(Valores!$E$5*B293),Valores!$D$5),2)</f>
        <v>19410.1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23061.18</v>
      </c>
      <c r="S293" s="125">
        <f>Valores!$C$18*B293</f>
        <v>13769.66</v>
      </c>
      <c r="T293" s="125">
        <f t="shared" si="48"/>
        <v>13769.66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44087.12</v>
      </c>
      <c r="AA293" s="125">
        <f>IF((Valores!$C$28)*B293&gt;Valores!$F$28,Valores!$F$28,(Valores!$C$28)*B293)</f>
        <v>1081.54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793.88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18152.34</v>
      </c>
      <c r="AH293" s="125">
        <f t="shared" si="46"/>
        <v>286945.49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0</v>
      </c>
      <c r="AL293" s="125">
        <f>IF($F$3="NO",0,IF(Valores!$C$62*B293&gt;Valores!$F$62,Valores!$F$62,Valores!$C$62*B293))</f>
        <v>0</v>
      </c>
      <c r="AM293" s="125">
        <f t="shared" si="44"/>
        <v>0</v>
      </c>
      <c r="AN293" s="125">
        <f>AH293*Valores!$C$71</f>
        <v>-31564.0039</v>
      </c>
      <c r="AO293" s="125">
        <f>AH293*-Valores!$C$72</f>
        <v>0</v>
      </c>
      <c r="AP293" s="125">
        <f>AH293*Valores!$C$73</f>
        <v>-12912.54705</v>
      </c>
      <c r="AQ293" s="125">
        <f>Valores!$C$100</f>
        <v>-554.86</v>
      </c>
      <c r="AR293" s="125">
        <f>IF($F$5=0,Valores!$C$101,(Valores!$C$101+$F$5*(Valores!$C$101)))</f>
        <v>-550</v>
      </c>
      <c r="AS293" s="125">
        <f t="shared" si="47"/>
        <v>241364.07905</v>
      </c>
      <c r="AT293" s="125">
        <f t="shared" si="41"/>
        <v>-31564.0039</v>
      </c>
      <c r="AU293" s="125">
        <f>AH293*Valores!$C$74</f>
        <v>-7747.52823</v>
      </c>
      <c r="AV293" s="125">
        <f>AH293*Valores!$C$75</f>
        <v>-860.83647</v>
      </c>
      <c r="AW293" s="125">
        <f t="shared" si="45"/>
        <v>246773.1214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101986.61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20822.62</v>
      </c>
      <c r="N294" s="125">
        <f t="shared" si="42"/>
        <v>0</v>
      </c>
      <c r="O294" s="125">
        <f>Valores!$C$7*B294</f>
        <v>43780.44</v>
      </c>
      <c r="P294" s="125">
        <f>ROUND(IF(B294&lt;15,(Valores!$E$5*B294),Valores!$D$5),2)</f>
        <v>19410.1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23061.18</v>
      </c>
      <c r="S294" s="125">
        <f>Valores!$C$18*B294</f>
        <v>13769.66</v>
      </c>
      <c r="T294" s="125">
        <f t="shared" si="48"/>
        <v>13769.66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44087.12</v>
      </c>
      <c r="AA294" s="125">
        <f>IF((Valores!$C$28)*B294&gt;Valores!$F$28,Valores!$F$28,(Valores!$C$28)*B294)</f>
        <v>1081.54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793.88</v>
      </c>
      <c r="AE294" s="192">
        <v>94</v>
      </c>
      <c r="AF294" s="125">
        <f>ROUND(AE294*Valores!$C$2,2)</f>
        <v>3569.15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18152.34</v>
      </c>
      <c r="AH294" s="125">
        <f t="shared" si="46"/>
        <v>290514.64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0</v>
      </c>
      <c r="AL294" s="125">
        <f>IF($F$3="NO",0,IF(Valores!$C$62*B294&gt;Valores!$F$62,Valores!$F$62,Valores!$C$62*B294))</f>
        <v>0</v>
      </c>
      <c r="AM294" s="125">
        <f t="shared" si="44"/>
        <v>0</v>
      </c>
      <c r="AN294" s="125">
        <f>AH294*Valores!$C$71</f>
        <v>-31956.6104</v>
      </c>
      <c r="AO294" s="125">
        <f>AH294*-Valores!$C$72</f>
        <v>0</v>
      </c>
      <c r="AP294" s="125">
        <f>AH294*Valores!$C$73</f>
        <v>-13073.1588</v>
      </c>
      <c r="AQ294" s="125">
        <f>Valores!$C$100</f>
        <v>-554.86</v>
      </c>
      <c r="AR294" s="125">
        <f>IF($F$5=0,Valores!$C$101,(Valores!$C$101+$F$5*(Valores!$C$101)))</f>
        <v>-550</v>
      </c>
      <c r="AS294" s="125">
        <f t="shared" si="47"/>
        <v>244380.01080000002</v>
      </c>
      <c r="AT294" s="125">
        <f t="shared" si="41"/>
        <v>-31956.6104</v>
      </c>
      <c r="AU294" s="125">
        <f>AH294*Valores!$C$74</f>
        <v>-7843.895280000001</v>
      </c>
      <c r="AV294" s="125">
        <f>AH294*Valores!$C$75</f>
        <v>-871.5439200000001</v>
      </c>
      <c r="AW294" s="125">
        <f t="shared" si="45"/>
        <v>249842.59040000002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104986.22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21409.93</v>
      </c>
      <c r="N295" s="125">
        <f t="shared" si="42"/>
        <v>0</v>
      </c>
      <c r="O295" s="125">
        <f>Valores!$C$7*B295</f>
        <v>45068.100000000006</v>
      </c>
      <c r="P295" s="125">
        <f>ROUND(IF(B295&lt;15,(Valores!$E$5*B295),Valores!$D$5),2)</f>
        <v>19410.1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23572.010000000002</v>
      </c>
      <c r="S295" s="125">
        <f>Valores!$C$18*B295</f>
        <v>14174.65</v>
      </c>
      <c r="T295" s="125">
        <f t="shared" si="48"/>
        <v>14174.65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45383.8</v>
      </c>
      <c r="AA295" s="125">
        <f>IF((Valores!$C$28)*B295&gt;Valores!$F$28,Valores!$F$28,(Valores!$C$28)*B295)</f>
        <v>1113.35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793.88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18152.34</v>
      </c>
      <c r="AH295" s="125">
        <f t="shared" si="46"/>
        <v>294064.38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0</v>
      </c>
      <c r="AL295" s="125">
        <f>IF($F$3="NO",0,IF(Valores!$C$62*B295&gt;Valores!$F$62,Valores!$F$62,Valores!$C$62*B295))</f>
        <v>0</v>
      </c>
      <c r="AM295" s="125">
        <f t="shared" si="44"/>
        <v>0</v>
      </c>
      <c r="AN295" s="125">
        <f>AH295*Valores!$C$71</f>
        <v>-32347.0818</v>
      </c>
      <c r="AO295" s="125">
        <f>AH295*-Valores!$C$72</f>
        <v>0</v>
      </c>
      <c r="AP295" s="125">
        <f>AH295*Valores!$C$73</f>
        <v>-13232.8971</v>
      </c>
      <c r="AQ295" s="125">
        <f>Valores!$C$100</f>
        <v>-554.86</v>
      </c>
      <c r="AR295" s="125">
        <f>IF($F$5=0,Valores!$C$101,(Valores!$C$101+$F$5*(Valores!$C$101)))</f>
        <v>-550</v>
      </c>
      <c r="AS295" s="125">
        <f t="shared" si="47"/>
        <v>247379.5411</v>
      </c>
      <c r="AT295" s="125">
        <f t="shared" si="41"/>
        <v>-32347.0818</v>
      </c>
      <c r="AU295" s="125">
        <f>AH295*Valores!$C$74</f>
        <v>-7939.73826</v>
      </c>
      <c r="AV295" s="125">
        <f>AH295*Valores!$C$75</f>
        <v>-882.1931400000001</v>
      </c>
      <c r="AW295" s="125">
        <f t="shared" si="45"/>
        <v>252895.36680000002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104986.22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21409.93</v>
      </c>
      <c r="N296" s="125">
        <f t="shared" si="42"/>
        <v>0</v>
      </c>
      <c r="O296" s="125">
        <f>Valores!$C$7*B296</f>
        <v>45068.100000000006</v>
      </c>
      <c r="P296" s="125">
        <f>ROUND(IF(B296&lt;15,(Valores!$E$5*B296),Valores!$D$5),2)</f>
        <v>19410.1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23572.010000000002</v>
      </c>
      <c r="S296" s="125">
        <f>Valores!$C$18*B296</f>
        <v>14174.65</v>
      </c>
      <c r="T296" s="125">
        <f t="shared" si="48"/>
        <v>14174.65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45383.8</v>
      </c>
      <c r="AA296" s="125">
        <f>IF((Valores!$C$28)*B296&gt;Valores!$F$28,Valores!$F$28,(Valores!$C$28)*B296)</f>
        <v>1113.35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793.88</v>
      </c>
      <c r="AE296" s="192">
        <v>94</v>
      </c>
      <c r="AF296" s="125">
        <f>ROUND(AE296*Valores!$C$2,2)</f>
        <v>3569.15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18152.34</v>
      </c>
      <c r="AH296" s="125">
        <f t="shared" si="46"/>
        <v>297633.53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0</v>
      </c>
      <c r="AL296" s="125">
        <f>IF($F$3="NO",0,IF(Valores!$C$62*B296&gt;Valores!$F$62,Valores!$F$62,Valores!$C$62*B296))</f>
        <v>0</v>
      </c>
      <c r="AM296" s="125">
        <f t="shared" si="44"/>
        <v>0</v>
      </c>
      <c r="AN296" s="125">
        <f>AH296*Valores!$C$71</f>
        <v>-32739.6883</v>
      </c>
      <c r="AO296" s="125">
        <f>AH296*-Valores!$C$72</f>
        <v>0</v>
      </c>
      <c r="AP296" s="125">
        <f>AH296*Valores!$C$73</f>
        <v>-13393.50885</v>
      </c>
      <c r="AQ296" s="125">
        <f>Valores!$C$100</f>
        <v>-554.86</v>
      </c>
      <c r="AR296" s="125">
        <f>IF($F$5=0,Valores!$C$101,(Valores!$C$101+$F$5*(Valores!$C$101)))</f>
        <v>-550</v>
      </c>
      <c r="AS296" s="125">
        <f t="shared" si="47"/>
        <v>250395.47285000002</v>
      </c>
      <c r="AT296" s="125">
        <f t="shared" si="41"/>
        <v>-32739.6883</v>
      </c>
      <c r="AU296" s="125">
        <f>AH296*Valores!$C$74</f>
        <v>-8036.105310000001</v>
      </c>
      <c r="AV296" s="125">
        <f>AH296*Valores!$C$75</f>
        <v>-892.9005900000001</v>
      </c>
      <c r="AW296" s="125">
        <f t="shared" si="45"/>
        <v>255964.83580000003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107985.83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21920.62</v>
      </c>
      <c r="N297" s="125">
        <f t="shared" si="42"/>
        <v>0</v>
      </c>
      <c r="O297" s="125">
        <f>Valores!$C$7*B297</f>
        <v>46355.76</v>
      </c>
      <c r="P297" s="125">
        <f>ROUND(IF(B297&lt;15,(Valores!$E$5*B297),Valores!$D$5),2)</f>
        <v>19410.1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23572.010000000002</v>
      </c>
      <c r="S297" s="125">
        <f>Valores!$C$18*B297</f>
        <v>14579.64</v>
      </c>
      <c r="T297" s="125">
        <f t="shared" si="48"/>
        <v>14579.64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46680.48</v>
      </c>
      <c r="AA297" s="125">
        <f>IF((Valores!$C$28)*B297&gt;Valores!$F$28,Valores!$F$28,(Valores!$C$28)*B297)</f>
        <v>1145.1599999999999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793.88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18152.34</v>
      </c>
      <c r="AH297" s="125">
        <f t="shared" si="46"/>
        <v>300595.82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0</v>
      </c>
      <c r="AL297" s="125">
        <f>IF($F$3="NO",0,IF(Valores!$C$62*B297&gt;Valores!$F$62,Valores!$F$62,Valores!$C$62*B297))</f>
        <v>0</v>
      </c>
      <c r="AM297" s="125">
        <f t="shared" si="44"/>
        <v>0</v>
      </c>
      <c r="AN297" s="125">
        <f>AH297*Valores!$C$71</f>
        <v>-33065.5402</v>
      </c>
      <c r="AO297" s="125">
        <f>AH297*-Valores!$C$72</f>
        <v>0</v>
      </c>
      <c r="AP297" s="125">
        <f>AH297*Valores!$C$73</f>
        <v>-13526.8119</v>
      </c>
      <c r="AQ297" s="125">
        <f>Valores!$C$100</f>
        <v>-554.86</v>
      </c>
      <c r="AR297" s="125">
        <f>IF($F$5=0,Valores!$C$101,(Valores!$C$101+$F$5*(Valores!$C$101)))</f>
        <v>-550</v>
      </c>
      <c r="AS297" s="125">
        <f t="shared" si="47"/>
        <v>252898.6079</v>
      </c>
      <c r="AT297" s="125">
        <f t="shared" si="41"/>
        <v>-33065.5402</v>
      </c>
      <c r="AU297" s="125">
        <f>AH297*Valores!$C$74</f>
        <v>-8116.0871400000005</v>
      </c>
      <c r="AV297" s="125">
        <f>AH297*Valores!$C$75</f>
        <v>-901.78746</v>
      </c>
      <c r="AW297" s="125">
        <f t="shared" si="45"/>
        <v>258512.4052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107985.83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21920.62</v>
      </c>
      <c r="N298" s="125">
        <f t="shared" si="42"/>
        <v>0</v>
      </c>
      <c r="O298" s="125">
        <f>Valores!$C$7*B298</f>
        <v>46355.76</v>
      </c>
      <c r="P298" s="125">
        <f>ROUND(IF(B298&lt;15,(Valores!$E$5*B298),Valores!$D$5),2)</f>
        <v>19410.1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23572.010000000002</v>
      </c>
      <c r="S298" s="125">
        <f>Valores!$C$18*B298</f>
        <v>14579.64</v>
      </c>
      <c r="T298" s="125">
        <f t="shared" si="48"/>
        <v>14579.64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46680.48</v>
      </c>
      <c r="AA298" s="125">
        <f>IF((Valores!$C$28)*B298&gt;Valores!$F$28,Valores!$F$28,(Valores!$C$28)*B298)</f>
        <v>1145.1599999999999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793.88</v>
      </c>
      <c r="AE298" s="192">
        <v>94</v>
      </c>
      <c r="AF298" s="125">
        <f>ROUND(AE298*Valores!$C$2,2)</f>
        <v>3569.15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18152.34</v>
      </c>
      <c r="AH298" s="125">
        <f t="shared" si="46"/>
        <v>304164.97000000003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0</v>
      </c>
      <c r="AL298" s="125">
        <f>IF($F$3="NO",0,IF(Valores!$C$62*B298&gt;Valores!$F$62,Valores!$F$62,Valores!$C$62*B298))</f>
        <v>0</v>
      </c>
      <c r="AM298" s="125">
        <f t="shared" si="44"/>
        <v>0</v>
      </c>
      <c r="AN298" s="125">
        <f>AH298*Valores!$C$71</f>
        <v>-33458.146700000005</v>
      </c>
      <c r="AO298" s="125">
        <f>AH298*-Valores!$C$72</f>
        <v>0</v>
      </c>
      <c r="AP298" s="125">
        <f>AH298*Valores!$C$73</f>
        <v>-13687.42365</v>
      </c>
      <c r="AQ298" s="125">
        <f>Valores!$C$100</f>
        <v>-554.86</v>
      </c>
      <c r="AR298" s="125">
        <f>IF($F$5=0,Valores!$C$101,(Valores!$C$101+$F$5*(Valores!$C$101)))</f>
        <v>-550</v>
      </c>
      <c r="AS298" s="125">
        <f t="shared" si="47"/>
        <v>255914.53965000002</v>
      </c>
      <c r="AT298" s="125">
        <f t="shared" si="41"/>
        <v>-33458.146700000005</v>
      </c>
      <c r="AU298" s="125">
        <f>AH298*Valores!$C$74</f>
        <v>-8212.45419</v>
      </c>
      <c r="AV298" s="125">
        <f>AH298*Valores!$C$75</f>
        <v>-912.4949100000001</v>
      </c>
      <c r="AW298" s="125">
        <f t="shared" si="45"/>
        <v>261581.87420000002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2999.61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612.43</v>
      </c>
      <c r="N299" s="125">
        <f t="shared" si="42"/>
        <v>0</v>
      </c>
      <c r="O299" s="125">
        <f>Valores!$C$7*B299</f>
        <v>1287.66</v>
      </c>
      <c r="P299" s="125">
        <f>ROUND(IF(B299&lt;15,(Valores!$E$5*B299),Valores!$D$5),2)</f>
        <v>1294.01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678.27</v>
      </c>
      <c r="S299" s="125">
        <f>Valores!$C$18*B299</f>
        <v>404.99</v>
      </c>
      <c r="T299" s="125">
        <f t="shared" si="48"/>
        <v>404.99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1296.68</v>
      </c>
      <c r="AA299" s="125">
        <f>IF((Valores!$C$28)*B299&gt;Valores!$F$28,Valores!$F$28,(Valores!$C$28)*B299)</f>
        <v>31.81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26.49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605.08</v>
      </c>
      <c r="AH299" s="125">
        <f t="shared" si="46"/>
        <v>9237.029999999999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0</v>
      </c>
      <c r="AL299" s="125">
        <f>IF($F$3="NO",0,IF(Valores!$C$62*B299&gt;Valores!$F$62,Valores!$F$62,Valores!$C$62*B299))</f>
        <v>0</v>
      </c>
      <c r="AM299" s="125">
        <f t="shared" si="44"/>
        <v>0</v>
      </c>
      <c r="AN299" s="125">
        <f>AH299*Valores!$C$71</f>
        <v>-1016.0732999999999</v>
      </c>
      <c r="AO299" s="125">
        <f>AH299*-Valores!$C$72</f>
        <v>0</v>
      </c>
      <c r="AP299" s="125">
        <f>AH299*Valores!$C$73</f>
        <v>-415.6663499999999</v>
      </c>
      <c r="AQ299" s="125">
        <f>Valores!$C$100</f>
        <v>-554.86</v>
      </c>
      <c r="AR299" s="125">
        <f>IF($F$5=0,Valores!$C$101,(Valores!$C$101+$F$5*(Valores!$C$101)))</f>
        <v>-550</v>
      </c>
      <c r="AS299" s="125">
        <f t="shared" si="47"/>
        <v>6700.430349999999</v>
      </c>
      <c r="AT299" s="125">
        <f t="shared" si="41"/>
        <v>-1016.0732999999999</v>
      </c>
      <c r="AU299" s="125">
        <f>AH299*Valores!$C$74</f>
        <v>-249.39980999999997</v>
      </c>
      <c r="AV299" s="125">
        <f>AH299*Valores!$C$75</f>
        <v>-27.71109</v>
      </c>
      <c r="AW299" s="125">
        <f t="shared" si="45"/>
        <v>7943.845799999999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9226.64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2588.02</v>
      </c>
      <c r="Q300" s="125">
        <v>0</v>
      </c>
      <c r="R300" s="125">
        <f>IF($F$4="NO",Valores!C50,Valores!C50/2)</f>
        <v>1008.42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Valores!$C$98</f>
        <v>2784.63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913.82</v>
      </c>
      <c r="AH300" s="125">
        <f t="shared" si="46"/>
        <v>16521.53</v>
      </c>
      <c r="AI300" s="125">
        <f>Valores!$C$33</f>
        <v>0</v>
      </c>
      <c r="AJ300" s="125">
        <f>Valores!$C$91</f>
        <v>0</v>
      </c>
      <c r="AK300" s="125">
        <f>AK299*2</f>
        <v>0</v>
      </c>
      <c r="AL300" s="125">
        <v>0</v>
      </c>
      <c r="AM300" s="125">
        <f t="shared" si="44"/>
        <v>0</v>
      </c>
      <c r="AN300" s="125">
        <f>AH300*Valores!$C$71</f>
        <v>-1817.3682999999999</v>
      </c>
      <c r="AO300" s="125">
        <f>AH300*-Valores!$C$72</f>
        <v>0</v>
      </c>
      <c r="AP300" s="125">
        <f>AH300*Valores!$C$73</f>
        <v>-743.46885</v>
      </c>
      <c r="AQ300" s="125">
        <f>Valores!$C$100</f>
        <v>-554.86</v>
      </c>
      <c r="AR300" s="125">
        <f>IF($F$5=0,Valores!$C$101,(Valores!$C$101+$F$5*(Valores!$C$101)))</f>
        <v>-550</v>
      </c>
      <c r="AS300" s="125">
        <f t="shared" si="47"/>
        <v>12855.832849999999</v>
      </c>
      <c r="AT300" s="125">
        <f t="shared" si="41"/>
        <v>-1817.3682999999999</v>
      </c>
      <c r="AU300" s="125">
        <f>AH300*Valores!$C$74</f>
        <v>-446.08131</v>
      </c>
      <c r="AV300" s="125">
        <f>AH300*Valores!$C$75</f>
        <v>-49.564589999999995</v>
      </c>
      <c r="AW300" s="125">
        <f t="shared" si="45"/>
        <v>14208.5158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651</v>
      </c>
      <c r="B301" s="123">
        <v>1</v>
      </c>
      <c r="C301" s="126">
        <v>294</v>
      </c>
      <c r="D301" s="124" t="s">
        <v>652</v>
      </c>
      <c r="E301" s="194">
        <f>E300/2</f>
        <v>121.5</v>
      </c>
      <c r="F301" s="125">
        <f>ROUND(E301*Valores!$C$2,2)</f>
        <v>4613.32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1294.01</v>
      </c>
      <c r="Q301" s="125">
        <v>0</v>
      </c>
      <c r="R301" s="125">
        <f>IF($F$4="NO",Valores!C51,Valores!C51/2)</f>
        <v>504.21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Valores!$C$99</f>
        <v>1392.315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456.91</v>
      </c>
      <c r="AH301" s="125">
        <f t="shared" si="46"/>
        <v>8260.765</v>
      </c>
      <c r="AI301" s="125">
        <f>Valores!C34</f>
        <v>0</v>
      </c>
      <c r="AJ301" s="125">
        <f>Valores!$C$92</f>
        <v>0</v>
      </c>
      <c r="AK301" s="125">
        <f>AK300/2</f>
        <v>0</v>
      </c>
      <c r="AL301" s="125">
        <v>0</v>
      </c>
      <c r="AM301" s="125">
        <f t="shared" si="44"/>
        <v>0</v>
      </c>
      <c r="AN301" s="125">
        <f>AH301*Valores!$C$71</f>
        <v>-908.6841499999999</v>
      </c>
      <c r="AO301" s="125">
        <v>0</v>
      </c>
      <c r="AP301" s="125">
        <f>AH301*Valores!$C$73</f>
        <v>-371.734425</v>
      </c>
      <c r="AQ301" s="125">
        <f>Valores!$C$100</f>
        <v>-554.86</v>
      </c>
      <c r="AR301" s="125">
        <f>IF($F$5=0,Valores!$C$101,(Valores!$C$101+$F$5*(Valores!$C$101)))</f>
        <v>-550</v>
      </c>
      <c r="AS301" s="125">
        <f t="shared" si="47"/>
        <v>5875.486424999999</v>
      </c>
      <c r="AT301" s="125">
        <f>AN301</f>
        <v>-908.6841499999999</v>
      </c>
      <c r="AU301" s="125">
        <f>AH301*Valores!$C$74</f>
        <v>-223.040655</v>
      </c>
      <c r="AV301" s="125">
        <f>AH301*Valores!$C$75</f>
        <v>-24.782294999999998</v>
      </c>
      <c r="AW301" s="125">
        <f t="shared" si="45"/>
        <v>7104.2579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26578.79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5512.93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10174.05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42265.770000000004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-4649.234700000001</v>
      </c>
      <c r="AO302" s="125">
        <f>AH302*-Valores!$C$72</f>
        <v>0</v>
      </c>
      <c r="AP302" s="125">
        <f>AH302*Valores!$C$73</f>
        <v>-1901.95965</v>
      </c>
      <c r="AQ302" s="125">
        <v>0</v>
      </c>
      <c r="AR302" s="125">
        <v>0</v>
      </c>
      <c r="AS302" s="125">
        <f t="shared" si="47"/>
        <v>35714.575650000006</v>
      </c>
      <c r="AT302" s="125">
        <f t="shared" si="41"/>
        <v>-4649.234700000001</v>
      </c>
      <c r="AU302" s="125">
        <f>AH302*Valores!$C$74</f>
        <v>-1141.17579</v>
      </c>
      <c r="AV302" s="125">
        <f>AH302*Valores!$C$75</f>
        <v>-126.79731000000001</v>
      </c>
      <c r="AW302" s="125">
        <f t="shared" si="45"/>
        <v>36348.5622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18984.85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3865.13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6782.7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29632.68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-3259.5948</v>
      </c>
      <c r="AO303" s="125">
        <f>AH303*-Valores!$C$72</f>
        <v>0</v>
      </c>
      <c r="AP303" s="125">
        <f>AH303*Valores!$C$73</f>
        <v>-1333.4705999999999</v>
      </c>
      <c r="AQ303" s="125">
        <v>0</v>
      </c>
      <c r="AR303" s="125">
        <v>0</v>
      </c>
      <c r="AS303" s="125">
        <f t="shared" si="47"/>
        <v>25039.6146</v>
      </c>
      <c r="AT303" s="125">
        <f t="shared" si="41"/>
        <v>-3259.5948</v>
      </c>
      <c r="AU303" s="125">
        <f>AH303*Valores!$C$74</f>
        <v>-800.08236</v>
      </c>
      <c r="AV303" s="125">
        <f>AH303*Valores!$C$75</f>
        <v>-88.89804000000001</v>
      </c>
      <c r="AW303" s="125">
        <f t="shared" si="45"/>
        <v>25484.1048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11390.91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2217.34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3391.35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16999.6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-1869.956</v>
      </c>
      <c r="AO304" s="125">
        <f>AH304*-Valores!$C$72</f>
        <v>0</v>
      </c>
      <c r="AP304" s="125">
        <f>AH304*Valores!$C$73</f>
        <v>-764.9819999999999</v>
      </c>
      <c r="AQ304" s="125">
        <v>0</v>
      </c>
      <c r="AR304" s="125">
        <v>0</v>
      </c>
      <c r="AS304" s="125">
        <f t="shared" si="47"/>
        <v>14364.661999999998</v>
      </c>
      <c r="AT304" s="125">
        <f t="shared" si="41"/>
        <v>-1869.956</v>
      </c>
      <c r="AU304" s="125">
        <f>AH304*Valores!$C$74</f>
        <v>-458.9892</v>
      </c>
      <c r="AV304" s="125">
        <f>AH304*Valores!$C$75</f>
        <v>-50.998799999999996</v>
      </c>
      <c r="AW304" s="125">
        <f t="shared" si="45"/>
        <v>14619.655999999999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5885.3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984.54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678.27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7548.110000000001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-830.2921000000001</v>
      </c>
      <c r="AO305" s="125">
        <f>AH305*-Valores!$C$72</f>
        <v>0</v>
      </c>
      <c r="AP305" s="125">
        <f>AH305*Valores!$C$73</f>
        <v>-339.66495000000003</v>
      </c>
      <c r="AQ305" s="125">
        <v>0</v>
      </c>
      <c r="AR305" s="125">
        <v>0</v>
      </c>
      <c r="AS305" s="125">
        <f t="shared" si="47"/>
        <v>6378.152950000001</v>
      </c>
      <c r="AT305" s="125">
        <f t="shared" si="41"/>
        <v>-830.2921000000001</v>
      </c>
      <c r="AU305" s="125">
        <f>AH305*Valores!$C$74</f>
        <v>-203.79897000000003</v>
      </c>
      <c r="AV305" s="125">
        <f>AH305*Valores!$C$75</f>
        <v>-22.644330000000004</v>
      </c>
      <c r="AW305" s="125">
        <f t="shared" si="45"/>
        <v>6491.3746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11770.61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1969.07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1356.54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15096.220000000001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-1660.5842000000002</v>
      </c>
      <c r="AO306" s="125">
        <f>AH306*-Valores!$C$72</f>
        <v>0</v>
      </c>
      <c r="AP306" s="125">
        <f>AH306*Valores!$C$73</f>
        <v>-679.3299000000001</v>
      </c>
      <c r="AQ306" s="125">
        <v>0</v>
      </c>
      <c r="AR306" s="125">
        <v>0</v>
      </c>
      <c r="AS306" s="125">
        <f t="shared" si="47"/>
        <v>12756.305900000001</v>
      </c>
      <c r="AT306" s="125">
        <f t="shared" si="41"/>
        <v>-1660.5842000000002</v>
      </c>
      <c r="AU306" s="125">
        <f>AH306*Valores!$C$74</f>
        <v>-407.59794000000005</v>
      </c>
      <c r="AV306" s="125">
        <f>AH306*Valores!$C$75</f>
        <v>-45.28866000000001</v>
      </c>
      <c r="AW306" s="125">
        <f t="shared" si="45"/>
        <v>12982.7492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17655.91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2953.61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2034.81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22644.33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-2490.8763000000004</v>
      </c>
      <c r="AO307" s="125">
        <f>AH307*-Valores!$C$72</f>
        <v>0</v>
      </c>
      <c r="AP307" s="125">
        <f>AH307*Valores!$C$73</f>
        <v>-1018.99485</v>
      </c>
      <c r="AQ307" s="125">
        <v>0</v>
      </c>
      <c r="AR307" s="125">
        <v>0</v>
      </c>
      <c r="AS307" s="125">
        <f t="shared" si="47"/>
        <v>19134.458850000003</v>
      </c>
      <c r="AT307" s="125">
        <f t="shared" si="41"/>
        <v>-2490.8763000000004</v>
      </c>
      <c r="AU307" s="125">
        <f>AH307*Valores!$C$74</f>
        <v>-611.39691</v>
      </c>
      <c r="AV307" s="125">
        <f>AH307*Valores!$C$75</f>
        <v>-67.93299</v>
      </c>
      <c r="AW307" s="125">
        <f t="shared" si="45"/>
        <v>19474.1238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23541.21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3938.14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2713.08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30192.43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-3321.1673</v>
      </c>
      <c r="AO308" s="125">
        <f>AH308*-Valores!$C$72</f>
        <v>0</v>
      </c>
      <c r="AP308" s="125">
        <f>AH308*Valores!$C$73</f>
        <v>-1358.65935</v>
      </c>
      <c r="AQ308" s="125">
        <v>0</v>
      </c>
      <c r="AR308" s="125">
        <v>0</v>
      </c>
      <c r="AS308" s="125">
        <f t="shared" si="47"/>
        <v>25512.60335</v>
      </c>
      <c r="AT308" s="125">
        <f t="shared" si="41"/>
        <v>-3321.1673</v>
      </c>
      <c r="AU308" s="125">
        <f>AH308*Valores!$C$74</f>
        <v>-815.19561</v>
      </c>
      <c r="AV308" s="125">
        <f>AH308*Valores!$C$75</f>
        <v>-90.57729</v>
      </c>
      <c r="AW308" s="125">
        <f t="shared" si="45"/>
        <v>25965.4898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29426.52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4922.68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3391.35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37740.549999999996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-4151.460499999999</v>
      </c>
      <c r="AO309" s="125">
        <f>AH309*-Valores!$C$72</f>
        <v>0</v>
      </c>
      <c r="AP309" s="125">
        <f>AH309*Valores!$C$73</f>
        <v>-1698.3247499999998</v>
      </c>
      <c r="AQ309" s="125">
        <v>0</v>
      </c>
      <c r="AR309" s="125">
        <v>0</v>
      </c>
      <c r="AS309" s="125">
        <f t="shared" si="47"/>
        <v>31890.764749999995</v>
      </c>
      <c r="AT309" s="125">
        <f t="shared" si="41"/>
        <v>-4151.460499999999</v>
      </c>
      <c r="AU309" s="125">
        <f>AH309*Valores!$C$74</f>
        <v>-1018.9948499999998</v>
      </c>
      <c r="AV309" s="125">
        <f>AH309*Valores!$C$75</f>
        <v>-113.22164999999998</v>
      </c>
      <c r="AW309" s="125">
        <f t="shared" si="45"/>
        <v>32456.872999999996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35311.82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5907.22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4069.62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45288.66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-4981.752600000001</v>
      </c>
      <c r="AO310" s="125">
        <f>AH310*-Valores!$C$72</f>
        <v>0</v>
      </c>
      <c r="AP310" s="125">
        <f>AH310*Valores!$C$73</f>
        <v>-2037.9897</v>
      </c>
      <c r="AQ310" s="125">
        <v>0</v>
      </c>
      <c r="AR310" s="125">
        <v>0</v>
      </c>
      <c r="AS310" s="125">
        <f t="shared" si="47"/>
        <v>38268.917700000005</v>
      </c>
      <c r="AT310" s="125">
        <f t="shared" si="41"/>
        <v>-4981.752600000001</v>
      </c>
      <c r="AU310" s="125">
        <f>AH310*Valores!$C$74</f>
        <v>-1222.79382</v>
      </c>
      <c r="AV310" s="125">
        <f>AH310*Valores!$C$75</f>
        <v>-135.86598</v>
      </c>
      <c r="AW310" s="125">
        <f t="shared" si="45"/>
        <v>38948.2476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41197.12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6891.75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4747.889999999999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52836.76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-5812.0436</v>
      </c>
      <c r="AO311" s="125">
        <f>AH311*-Valores!$C$72</f>
        <v>0</v>
      </c>
      <c r="AP311" s="125">
        <f>AH311*Valores!$C$73</f>
        <v>-2377.6542</v>
      </c>
      <c r="AQ311" s="125">
        <v>0</v>
      </c>
      <c r="AR311" s="125">
        <v>0</v>
      </c>
      <c r="AS311" s="125">
        <f t="shared" si="47"/>
        <v>44647.0622</v>
      </c>
      <c r="AT311" s="125">
        <f t="shared" si="41"/>
        <v>-5812.0436</v>
      </c>
      <c r="AU311" s="125">
        <f>AH311*Valores!$C$74</f>
        <v>-1426.5925200000001</v>
      </c>
      <c r="AV311" s="125">
        <f>AH311*Valores!$C$75</f>
        <v>-158.51028000000002</v>
      </c>
      <c r="AW311" s="125">
        <f t="shared" si="45"/>
        <v>45439.613600000004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47082.43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7876.29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5426.16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60384.880000000005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-6642.336800000001</v>
      </c>
      <c r="AO312" s="125">
        <f>AH312*-Valores!$C$72</f>
        <v>0</v>
      </c>
      <c r="AP312" s="125">
        <f>AH312*Valores!$C$73</f>
        <v>-2717.3196000000003</v>
      </c>
      <c r="AQ312" s="125">
        <v>0</v>
      </c>
      <c r="AR312" s="125">
        <v>0</v>
      </c>
      <c r="AS312" s="125">
        <f t="shared" si="47"/>
        <v>51025.223600000005</v>
      </c>
      <c r="AT312" s="125">
        <f t="shared" si="41"/>
        <v>-6642.336800000001</v>
      </c>
      <c r="AU312" s="125">
        <f>AH312*Valores!$C$74</f>
        <v>-1630.3917600000002</v>
      </c>
      <c r="AV312" s="125">
        <f>AH312*Valores!$C$75</f>
        <v>-181.15464000000003</v>
      </c>
      <c r="AW312" s="125">
        <f t="shared" si="45"/>
        <v>51930.9968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52967.73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8860.82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6104.43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67932.98000000001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-7472.627800000001</v>
      </c>
      <c r="AO313" s="125">
        <f>AH313*-Valores!$C$72</f>
        <v>0</v>
      </c>
      <c r="AP313" s="125">
        <f>AH313*Valores!$C$73</f>
        <v>-3056.9841000000006</v>
      </c>
      <c r="AQ313" s="125">
        <v>0</v>
      </c>
      <c r="AR313" s="125">
        <v>0</v>
      </c>
      <c r="AS313" s="125">
        <f t="shared" si="47"/>
        <v>57403.36810000001</v>
      </c>
      <c r="AT313" s="125">
        <f t="shared" si="41"/>
        <v>-7472.627800000001</v>
      </c>
      <c r="AU313" s="125">
        <f>AH313*Valores!$C$74</f>
        <v>-1834.1904600000003</v>
      </c>
      <c r="AV313" s="125">
        <f>AH313*Valores!$C$75</f>
        <v>-203.79894000000004</v>
      </c>
      <c r="AW313" s="125">
        <f t="shared" si="45"/>
        <v>58422.36280000001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58853.04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9845.36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6782.7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75481.09999999999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-8302.920999999998</v>
      </c>
      <c r="AO314" s="125">
        <f>AH314*-Valores!$C$72</f>
        <v>0</v>
      </c>
      <c r="AP314" s="125">
        <f>AH314*Valores!$C$73</f>
        <v>-3396.6494999999995</v>
      </c>
      <c r="AQ314" s="125">
        <v>0</v>
      </c>
      <c r="AR314" s="125">
        <v>0</v>
      </c>
      <c r="AS314" s="125">
        <f t="shared" si="47"/>
        <v>63781.52949999999</v>
      </c>
      <c r="AT314" s="125">
        <f t="shared" si="41"/>
        <v>-8302.920999999998</v>
      </c>
      <c r="AU314" s="125">
        <f>AH314*Valores!$C$74</f>
        <v>-2037.9896999999996</v>
      </c>
      <c r="AV314" s="125">
        <f>AH314*Valores!$C$75</f>
        <v>-226.44329999999997</v>
      </c>
      <c r="AW314" s="125">
        <f t="shared" si="45"/>
        <v>64913.74599999999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64738.34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10829.9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7460.969999999999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83029.20999999999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-9133.213099999999</v>
      </c>
      <c r="AO315" s="125">
        <f>AH315*-Valores!$C$72</f>
        <v>0</v>
      </c>
      <c r="AP315" s="125">
        <f>AH315*Valores!$C$73</f>
        <v>-3736.3144499999994</v>
      </c>
      <c r="AQ315" s="125">
        <v>0</v>
      </c>
      <c r="AR315" s="125">
        <v>0</v>
      </c>
      <c r="AS315" s="125">
        <f t="shared" si="47"/>
        <v>70159.68245</v>
      </c>
      <c r="AT315" s="125">
        <f t="shared" si="41"/>
        <v>-9133.213099999999</v>
      </c>
      <c r="AU315" s="125">
        <f>AH315*Valores!$C$74</f>
        <v>-2241.78867</v>
      </c>
      <c r="AV315" s="125">
        <f>AH315*Valores!$C$75</f>
        <v>-249.08763</v>
      </c>
      <c r="AW315" s="125">
        <f t="shared" si="45"/>
        <v>71405.1206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70623.64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11814.43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8139.24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90577.31000000001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-9963.504100000002</v>
      </c>
      <c r="AO316" s="125">
        <f>AH316*-Valores!$C$72</f>
        <v>0</v>
      </c>
      <c r="AP316" s="125">
        <f>AH316*Valores!$C$73</f>
        <v>-4075.9789500000006</v>
      </c>
      <c r="AQ316" s="125">
        <v>0</v>
      </c>
      <c r="AR316" s="125">
        <v>0</v>
      </c>
      <c r="AS316" s="125">
        <f t="shared" si="47"/>
        <v>76537.82695000002</v>
      </c>
      <c r="AT316" s="125">
        <f t="shared" si="41"/>
        <v>-9963.504100000002</v>
      </c>
      <c r="AU316" s="125">
        <f>AH316*Valores!$C$74</f>
        <v>-2445.58737</v>
      </c>
      <c r="AV316" s="125">
        <f>AH316*Valores!$C$75</f>
        <v>-271.73193000000003</v>
      </c>
      <c r="AW316" s="125">
        <f t="shared" si="45"/>
        <v>77896.4866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76508.95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12798.97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8817.51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98125.43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-10793.7973</v>
      </c>
      <c r="AO317" s="125">
        <f>AH317*-Valores!$C$72</f>
        <v>0</v>
      </c>
      <c r="AP317" s="125">
        <f>AH317*Valores!$C$73</f>
        <v>-4415.64435</v>
      </c>
      <c r="AQ317" s="125">
        <v>0</v>
      </c>
      <c r="AR317" s="125">
        <v>0</v>
      </c>
      <c r="AS317" s="125">
        <f t="shared" si="47"/>
        <v>82915.98835</v>
      </c>
      <c r="AT317" s="125">
        <f t="shared" si="41"/>
        <v>-10793.7973</v>
      </c>
      <c r="AU317" s="125">
        <f>AH317*Valores!$C$74</f>
        <v>-2649.3866099999996</v>
      </c>
      <c r="AV317" s="125">
        <f>AH317*Valores!$C$75</f>
        <v>-294.37629</v>
      </c>
      <c r="AW317" s="125">
        <f t="shared" si="45"/>
        <v>84387.86979999999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82394.25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13783.5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9495.779999999999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105673.53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-11624.0883</v>
      </c>
      <c r="AO318" s="125">
        <f>AH318*-Valores!$C$72</f>
        <v>0</v>
      </c>
      <c r="AP318" s="125">
        <f>AH318*Valores!$C$73</f>
        <v>-4755.308849999999</v>
      </c>
      <c r="AQ318" s="125">
        <v>0</v>
      </c>
      <c r="AR318" s="125">
        <v>0</v>
      </c>
      <c r="AS318" s="125">
        <f t="shared" si="47"/>
        <v>89294.13285</v>
      </c>
      <c r="AT318" s="125">
        <f t="shared" si="41"/>
        <v>-11624.0883</v>
      </c>
      <c r="AU318" s="125">
        <f>AH318*Valores!$C$74</f>
        <v>-2853.18531</v>
      </c>
      <c r="AV318" s="125">
        <f>AH318*Valores!$C$75</f>
        <v>-317.02059</v>
      </c>
      <c r="AW318" s="125">
        <f t="shared" si="45"/>
        <v>90879.2358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88279.55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14768.04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10174.05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113221.64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-12454.3804</v>
      </c>
      <c r="AO319" s="125">
        <f>AH319*-Valores!$C$72</f>
        <v>0</v>
      </c>
      <c r="AP319" s="125">
        <f>AH319*Valores!$C$73</f>
        <v>-5094.9738</v>
      </c>
      <c r="AQ319" s="125">
        <v>0</v>
      </c>
      <c r="AR319" s="125">
        <v>0</v>
      </c>
      <c r="AS319" s="125">
        <f t="shared" si="47"/>
        <v>95672.2858</v>
      </c>
      <c r="AT319" s="125">
        <f t="shared" si="41"/>
        <v>-12454.3804</v>
      </c>
      <c r="AU319" s="125">
        <f>AH319*Valores!$C$74</f>
        <v>-3056.98428</v>
      </c>
      <c r="AV319" s="125">
        <f>AH319*Valores!$C$75</f>
        <v>-339.66492</v>
      </c>
      <c r="AW319" s="125">
        <f t="shared" si="45"/>
        <v>97370.6104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94164.86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15752.58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10852.32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120769.76000000001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-13284.673600000002</v>
      </c>
      <c r="AO320" s="125">
        <f>AH320*-Valores!$C$72</f>
        <v>0</v>
      </c>
      <c r="AP320" s="125">
        <f>AH320*Valores!$C$73</f>
        <v>-5434.6392000000005</v>
      </c>
      <c r="AQ320" s="125">
        <v>0</v>
      </c>
      <c r="AR320" s="125">
        <v>0</v>
      </c>
      <c r="AS320" s="125">
        <f t="shared" si="47"/>
        <v>102050.44720000001</v>
      </c>
      <c r="AT320" s="125">
        <f t="shared" si="41"/>
        <v>-13284.673600000002</v>
      </c>
      <c r="AU320" s="125">
        <f>AH320*Valores!$C$74</f>
        <v>-3260.7835200000004</v>
      </c>
      <c r="AV320" s="125">
        <f>AH320*Valores!$C$75</f>
        <v>-362.30928000000006</v>
      </c>
      <c r="AW320" s="125">
        <f t="shared" si="45"/>
        <v>103861.9936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10441.67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1008.42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Valores!$C$98</f>
        <v>2784.63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913.82</v>
      </c>
      <c r="AH321" s="125">
        <f t="shared" si="46"/>
        <v>15148.54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-1666.3394</v>
      </c>
      <c r="AO321" s="125">
        <f>AH321*-Valores!$C$72</f>
        <v>0</v>
      </c>
      <c r="AP321" s="125">
        <f>AH321*Valores!$C$73</f>
        <v>-681.6843</v>
      </c>
      <c r="AQ321" s="125">
        <v>0</v>
      </c>
      <c r="AR321" s="125">
        <v>0</v>
      </c>
      <c r="AS321" s="125">
        <f t="shared" si="47"/>
        <v>12800.516300000001</v>
      </c>
      <c r="AT321" s="125">
        <f t="shared" si="41"/>
        <v>-1666.3394</v>
      </c>
      <c r="AU321" s="125">
        <f>AH321*Valores!$C$74</f>
        <v>-409.01058</v>
      </c>
      <c r="AV321" s="125">
        <f>AH321*Valores!$C$75</f>
        <v>-45.445620000000005</v>
      </c>
      <c r="AW321" s="125">
        <f t="shared" si="45"/>
        <v>13027.744400000001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9302.58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1008.42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Valores!$C$98</f>
        <v>2784.63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913.82</v>
      </c>
      <c r="AH322" s="125">
        <f t="shared" si="46"/>
        <v>14009.45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-1541.0395</v>
      </c>
      <c r="AO322" s="125">
        <f>AH322*-Valores!$C$72</f>
        <v>0</v>
      </c>
      <c r="AP322" s="125">
        <f>AH322*Valores!$C$73</f>
        <v>-630.42525</v>
      </c>
      <c r="AQ322" s="125">
        <v>0</v>
      </c>
      <c r="AR322" s="125">
        <v>0</v>
      </c>
      <c r="AS322" s="125">
        <f t="shared" si="47"/>
        <v>11837.985250000002</v>
      </c>
      <c r="AT322" s="125">
        <f t="shared" si="41"/>
        <v>-1541.0395</v>
      </c>
      <c r="AU322" s="125">
        <f>AH322*Valores!$C$74</f>
        <v>-378.25515</v>
      </c>
      <c r="AV322" s="125">
        <f>AH322*Valores!$C$75</f>
        <v>-42.02835</v>
      </c>
      <c r="AW322" s="125">
        <f t="shared" si="45"/>
        <v>12048.127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9036.79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1008.42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Valores!$C$98</f>
        <v>2784.63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913.82</v>
      </c>
      <c r="AH323" s="125">
        <f t="shared" si="46"/>
        <v>13743.66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-1511.8026</v>
      </c>
      <c r="AO323" s="125">
        <f>AH323*-Valores!$C$72</f>
        <v>0</v>
      </c>
      <c r="AP323" s="125">
        <f>AH323*Valores!$C$73</f>
        <v>-618.4647</v>
      </c>
      <c r="AQ323" s="125">
        <v>0</v>
      </c>
      <c r="AR323" s="125">
        <v>0</v>
      </c>
      <c r="AS323" s="125">
        <f t="shared" si="47"/>
        <v>11613.3927</v>
      </c>
      <c r="AT323" s="125">
        <f t="shared" si="41"/>
        <v>-1511.8026</v>
      </c>
      <c r="AU323" s="125">
        <f>AH323*Valores!$C$74</f>
        <v>-371.07882</v>
      </c>
      <c r="AV323" s="125">
        <f>AH323*Valores!$C$75</f>
        <v>-41.23098</v>
      </c>
      <c r="AW323" s="125">
        <f t="shared" si="45"/>
        <v>11819.5476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9302.58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1008.42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Valores!$C$98</f>
        <v>2784.63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913.82</v>
      </c>
      <c r="AH324" s="125">
        <f t="shared" si="46"/>
        <v>14009.45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-1541.0395</v>
      </c>
      <c r="AO324" s="125">
        <f>AH324*-Valores!$C$72</f>
        <v>0</v>
      </c>
      <c r="AP324" s="125">
        <f>AH324*Valores!$C$73</f>
        <v>-630.42525</v>
      </c>
      <c r="AQ324" s="125">
        <v>0</v>
      </c>
      <c r="AR324" s="125">
        <v>0</v>
      </c>
      <c r="AS324" s="125">
        <f t="shared" si="47"/>
        <v>11837.985250000002</v>
      </c>
      <c r="AT324" s="125">
        <f t="shared" si="41"/>
        <v>-1541.0395</v>
      </c>
      <c r="AU324" s="125">
        <f>AH324*Valores!$C$74</f>
        <v>-378.25515</v>
      </c>
      <c r="AV324" s="125">
        <f>AH324*Valores!$C$75</f>
        <v>-42.02835</v>
      </c>
      <c r="AW324" s="125">
        <f t="shared" si="45"/>
        <v>12048.127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9226.64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1008.42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Valores!$C$98</f>
        <v>2784.63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913.82</v>
      </c>
      <c r="AH325" s="125">
        <f t="shared" si="46"/>
        <v>13933.509999999998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-1532.6861</v>
      </c>
      <c r="AO325" s="125">
        <f>AH325*-Valores!$C$72</f>
        <v>0</v>
      </c>
      <c r="AP325" s="125">
        <f>AH325*Valores!$C$73</f>
        <v>-627.0079499999999</v>
      </c>
      <c r="AQ325" s="125">
        <v>0</v>
      </c>
      <c r="AR325" s="125">
        <v>0</v>
      </c>
      <c r="AS325" s="125">
        <f t="shared" si="47"/>
        <v>11773.815949999998</v>
      </c>
      <c r="AT325" s="125">
        <f t="shared" si="41"/>
        <v>-1532.6861</v>
      </c>
      <c r="AU325" s="125">
        <f>AH325*Valores!$C$74</f>
        <v>-376.20476999999994</v>
      </c>
      <c r="AV325" s="125">
        <f>AH325*Valores!$C$75</f>
        <v>-41.800529999999995</v>
      </c>
      <c r="AW325" s="125">
        <f t="shared" si="45"/>
        <v>11982.818599999999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8922.88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1008.42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Valores!$C$98</f>
        <v>2784.63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913.82</v>
      </c>
      <c r="AH326" s="125">
        <f t="shared" si="46"/>
        <v>13629.75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-1499.2725</v>
      </c>
      <c r="AO326" s="125">
        <f>AH326*-Valores!$C$72</f>
        <v>0</v>
      </c>
      <c r="AP326" s="125">
        <f>AH326*Valores!$C$73</f>
        <v>-613.33875</v>
      </c>
      <c r="AQ326" s="125">
        <v>0</v>
      </c>
      <c r="AR326" s="125">
        <v>0</v>
      </c>
      <c r="AS326" s="125">
        <f t="shared" si="47"/>
        <v>11517.13875</v>
      </c>
      <c r="AT326" s="125">
        <f>AN326</f>
        <v>-1499.2725</v>
      </c>
      <c r="AU326" s="125">
        <f>AH326*Valores!$C$74</f>
        <v>-368.00325</v>
      </c>
      <c r="AV326" s="125">
        <f>AH326*Valores!$C$75</f>
        <v>-40.889250000000004</v>
      </c>
      <c r="AW326" s="125">
        <f t="shared" si="45"/>
        <v>11721.585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3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660</v>
      </c>
      <c r="B1" t="s">
        <v>661</v>
      </c>
      <c r="C1" t="s">
        <v>76</v>
      </c>
      <c r="D1" t="s">
        <v>691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693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701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697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698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699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700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702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703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704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705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706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707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709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708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710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711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712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713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714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715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716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717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718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719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720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721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722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723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724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725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726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727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728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729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730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731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732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733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734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735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736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737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738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739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740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741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742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743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744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745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746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747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748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749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750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751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752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753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754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755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756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757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758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759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760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761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762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763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764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765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766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767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768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769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770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771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772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773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774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775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776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777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778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779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780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781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782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783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787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785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784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788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786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789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790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791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792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793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794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795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796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797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798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799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800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801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802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803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804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652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663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692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687</v>
      </c>
      <c r="B3" s="204" t="s">
        <v>690</v>
      </c>
      <c r="E3" s="206" t="s">
        <v>805</v>
      </c>
      <c r="F3" s="207"/>
      <c r="G3" s="206" t="s">
        <v>806</v>
      </c>
      <c r="H3" s="207"/>
      <c r="I3" s="206" t="s">
        <v>807</v>
      </c>
      <c r="J3" s="207"/>
      <c r="K3" s="206" t="s">
        <v>694</v>
      </c>
    </row>
    <row r="4" spans="2:11" ht="12.75" hidden="1">
      <c r="B4" t="s">
        <v>689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687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664</v>
      </c>
      <c r="C6" s="8">
        <v>0</v>
      </c>
      <c r="D6" s="209">
        <f>_xlfn.IFNA(VLOOKUP(E$4,'Escala Docente'!$C$8:$AW$326,4,FALSE),0)</f>
        <v>8998.82</v>
      </c>
      <c r="E6" s="203">
        <f>ROUND(D6*E$1/30,2)</f>
        <v>8998.82</v>
      </c>
      <c r="F6" s="209">
        <f>_xlfn.IFNA(VLOOKUP(G$4,'Escala Docente'!$C$8:$AW$326,4,FALSE),0)</f>
        <v>36868.58</v>
      </c>
      <c r="G6" s="203">
        <f>ROUND(F6*G$1/30,2)</f>
        <v>36868.58</v>
      </c>
      <c r="H6" s="209">
        <f>_xlfn.IFNA(VLOOKUP(I$4,'Escala Docente'!$C$8:$AW$326,4,FALSE),0)</f>
        <v>94164.86</v>
      </c>
      <c r="I6" s="203">
        <f>ROUND(H6*I$1/30,2)</f>
        <v>94164.86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665</v>
      </c>
      <c r="C7" s="8">
        <f>Valores!F89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666</v>
      </c>
      <c r="C8" s="8">
        <f>Valores!F96</f>
        <v>55692.53</v>
      </c>
      <c r="D8" s="209">
        <f>_xlfn.IFNA(VLOOKUP(E$4,'Escala Docente'!$C$8:$AW$326,24,FALSE),0)</f>
        <v>3890.04</v>
      </c>
      <c r="E8" s="203">
        <f>IF((ROUND(D8*E$1/30,2)+(ROUND(F8*$G$1/30,2))+ROUND(H8*$I$1/30,2)+ROUND(J8*$K$1/30,2))&gt;C8,C8,(ROUND(D8*E$1/30,2)+ROUND(F8*$G$1/30,2)+ROUND(H8*$I$1/30,2)+ROUND(J8*$K$1/30,2)))</f>
        <v>31736.3</v>
      </c>
      <c r="F8" s="209">
        <f>_xlfn.IFNA(VLOOKUP(G$4,'Escala Docente'!$C$8:$AW$326,24,FALSE),0)</f>
        <v>27846.26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667</v>
      </c>
      <c r="C9" s="8">
        <v>0</v>
      </c>
      <c r="D9" s="209">
        <f>_xlfn.IFNA(VLOOKUP(E$4,'Escala Docente'!$C$8:$AW$326,13,FALSE),0)</f>
        <v>3862.9800000000005</v>
      </c>
      <c r="E9" s="203">
        <f>ROUND(D9*E$1/30,2)</f>
        <v>3862.98</v>
      </c>
      <c r="F9" s="209">
        <f>_xlfn.IFNA(VLOOKUP(G$4,'Escala Docente'!$C$8:$AW$326,13,FALSE),0)</f>
        <v>32810.75</v>
      </c>
      <c r="G9" s="203">
        <f>ROUND(F9*G$1/30,2)</f>
        <v>32810.75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668</v>
      </c>
      <c r="C10" s="8">
        <f>IF('Escala Docente'!$F$4="NO",Valores!F46,Valores!F46/2)</f>
        <v>23572.010000000002</v>
      </c>
      <c r="D10" s="209">
        <f>_xlfn.IFNA(VLOOKUP(E$4,'Escala Docente'!$C$8:$AW$326,16,FALSE),0)</f>
        <v>2034.81</v>
      </c>
      <c r="E10" s="203">
        <f>IF((ROUND(D10*E$1/30,2)+(ROUND(F10*$G$1/30,2))+ROUND(H10*$I$1/30,2)+ROUND(J10*$K$1/30,2))&gt;C10,C10,(ROUND(D10*E$1/30,2)+ROUND(F10*$G$1/30,2)+ROUND(H10*$I$1/30,2)+ROUND(J10*$K$1/30,2)))</f>
        <v>23572.010000000002</v>
      </c>
      <c r="F10" s="209">
        <f>_xlfn.IFNA(VLOOKUP(G$4,'Escala Docente'!$C$8:$AW$326,16,FALSE),0)</f>
        <v>12724.28</v>
      </c>
      <c r="G10" s="203">
        <f>IF($E10&gt;0,0,ROUND($F10*G$1/30,2))</f>
        <v>0</v>
      </c>
      <c r="H10" s="209">
        <f>_xlfn.IFNA(VLOOKUP(I$4,'Escala Docente'!$C$8:$AW$326,16,FALSE),0)</f>
        <v>10852.32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669</v>
      </c>
      <c r="C11" s="8">
        <f>Valores!F26</f>
        <v>793.88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670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682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16117.43</v>
      </c>
      <c r="G13" s="203">
        <f>ROUND(F13*G$1/30,2)</f>
        <v>16117.43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671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672</v>
      </c>
      <c r="C15" s="8">
        <f>Valores!D5</f>
        <v>19410.1</v>
      </c>
      <c r="D15" s="209">
        <f>_xlfn.IFNA(VLOOKUP(E$4,'Escala Docente'!$C$8:$AW$326,14,FALSE),0)</f>
        <v>3882.03</v>
      </c>
      <c r="E15" s="203">
        <f>IF((ROUND(D15*E$1/30,2)+(ROUND(F15*$G$1/30,2))+ROUND(H15*$I$1/30,2)+ROUND(J15*$K$1/30,2))&gt;C15,C15,(ROUND(D15*E$1/30,2)+ROUND(F15*$G$1/30,2)+ROUND(H15*$I$1/30,2)+ROUND(J15*$K$1/30,2)))</f>
        <v>19410.1</v>
      </c>
      <c r="F15" s="209">
        <f>_xlfn.IFNA(VLOOKUP(G$4,'Escala Docente'!$C$8:$AW$326,14,FALSE),0)</f>
        <v>19410.1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673</v>
      </c>
      <c r="C16" s="8">
        <f>Valores!F25</f>
        <v>1191.455104</v>
      </c>
      <c r="D16" s="209">
        <f>_xlfn.IFNA(VLOOKUP(E$4,'Escala Docente'!$C$8:$AW$326,25,FALSE),0)</f>
        <v>95.42999999999999</v>
      </c>
      <c r="E16" s="203">
        <f>ROUND(D16*E$1/30,2)</f>
        <v>95.43</v>
      </c>
      <c r="F16" s="209">
        <f>_xlfn.IFNA(VLOOKUP(G$4,'Escala Docente'!$C$8:$AW$326,25,FALSE),0)</f>
        <v>793.88</v>
      </c>
      <c r="G16" s="203">
        <f>IF(E16&gt;=C16,0,IF((F16*G$1/30)&gt;(E16-C16),F16*G$1/30,E16-C16))</f>
        <v>793.88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686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685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674</v>
      </c>
      <c r="B19" s="102"/>
      <c r="C19" s="8">
        <v>0</v>
      </c>
      <c r="D19" s="209">
        <f>_xlfn.IFNA(VLOOKUP(E$4,'Escala Docente'!$C$8:$AW$326,12,FALSE),0)</f>
        <v>0</v>
      </c>
      <c r="E19" s="203">
        <f>ROUND(E6+E12+E18+E10+E17,2)*'Escala Docente'!$H$2</f>
        <v>0</v>
      </c>
      <c r="F19" s="209">
        <f>_xlfn.IFNA(VLOOKUP(G$4,'Escala Docente'!$C$8:$AW$326,12,FALSE),0)</f>
        <v>0</v>
      </c>
      <c r="G19" s="203">
        <f>ROUND(G6+G12+G18+G10+G17,2)*'Escala Docente'!$H$2</f>
        <v>0</v>
      </c>
      <c r="H19" s="209">
        <f>_xlfn.IFNA(VLOOKUP(I$4,'Escala Docente'!$C$8:$AW$326,12,FALSE),0)</f>
        <v>0</v>
      </c>
      <c r="I19" s="203">
        <f>ROUND(I6+I12+I18+I10+I17,2)*'Escala Docente'!$H$2</f>
        <v>0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681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675</v>
      </c>
      <c r="C21" s="8">
        <v>0</v>
      </c>
      <c r="D21" s="209">
        <f>_xlfn.IFNA(VLOOKUP(E$4,'Escala Docente'!$C$8:$AW$326,18,FALSE),0)</f>
        <v>1214.97</v>
      </c>
      <c r="E21" s="203">
        <f>ROUND(D21*E$1/30,2)</f>
        <v>1214.97</v>
      </c>
      <c r="F21" s="209">
        <f>_xlfn.IFNA(VLOOKUP(G$4,'Escala Docente'!$C$8:$AW$326,18,FALSE),0)</f>
        <v>18061.41</v>
      </c>
      <c r="G21" s="203">
        <f>ROUND(F21*G$1/30,2)</f>
        <v>18061.41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679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684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695</v>
      </c>
      <c r="C24" s="8">
        <f>Valores!F38</f>
        <v>0</v>
      </c>
      <c r="D24" s="209">
        <f>_xlfn.IFNA(VLOOKUP(E$4,'Escala Docente'!$C$8:$AW$326,35,FALSE),0)</f>
        <v>0</v>
      </c>
      <c r="E24" s="203">
        <f>ROUND(D24*E$1/30,2)</f>
        <v>0</v>
      </c>
      <c r="F24" s="209">
        <f>_xlfn.IFNA(VLOOKUP(G$4,'Escala Docente'!$C$8:$AW$326,35,FALSE),0)</f>
        <v>0</v>
      </c>
      <c r="G24" s="203">
        <f>ROUND(F24*G$1/30,2)</f>
        <v>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676</v>
      </c>
      <c r="C25" s="8">
        <f>IF('Escala Docente'!$F$4="NO",Valores!F63,Valores!F63/2)</f>
        <v>18152.34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677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678</v>
      </c>
      <c r="C27" s="8" t="e">
        <f>IF('Escala Docente'!$F$4="NO",Valores!#REF!,Valores!#REF!/2)</f>
        <v>#REF!</v>
      </c>
      <c r="D27" s="209">
        <f>_xlfn.IFNA(VLOOKUP(E$4,'Escala Docente'!$C$8:$AW$326,31,FALSE),0)</f>
        <v>1815.2400000000002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9076.17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680</v>
      </c>
      <c r="C28" s="8">
        <f>Valores!F62</f>
        <v>327.6</v>
      </c>
      <c r="D28" s="209">
        <f>_xlfn.IFNA(VLOOKUP(E$4,'Escala Docente'!$C$8:$AW$326,36,FALSE),0)</f>
        <v>0</v>
      </c>
      <c r="E28" s="203">
        <f>ROUND(D28*E$1/30,2)</f>
        <v>0</v>
      </c>
      <c r="F28" s="209">
        <f>_xlfn.IFNA(VLOOKUP(G$4,'Escala Docente'!$C$8:$AW$326,36,FALSE),0)</f>
        <v>0</v>
      </c>
      <c r="G28" s="203">
        <f>IF(E28&gt;=C28,0,IF((F28*G$1/30)&gt;(E28-C28),F28*G$1/30,E28-C28))</f>
        <v>0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683</v>
      </c>
      <c r="C29" s="8">
        <v>0</v>
      </c>
      <c r="D29" s="209">
        <f>_xlfn.IFNA(VLOOKUP(E$4,'Escala Docente'!$C$8:$AW$326,11,FALSE),0)</f>
        <v>1837.29</v>
      </c>
      <c r="E29" s="210">
        <f>ROUND(IF('Escala Docente'!$H$2=0,IF(AND(MID(E$3,1,5)&lt;&gt;"13930",MID(E$3,1,5)&lt;&gt;"13940"),(SUM(E6+E12+E14+E18+E10+E17+E21)*Valores!$C$4),0),0),2)</f>
        <v>5067.87</v>
      </c>
      <c r="F29" s="209">
        <f>_xlfn.IFNA(VLOOKUP(G$4,'Escala Docente'!$C$8:$AW$326,11,FALSE),0)</f>
        <v>10148.14</v>
      </c>
      <c r="G29" s="210">
        <f>ROUND(IF('Escala Docente'!$H$2=0,IF(AND(MID(G$3,1,5)&lt;&gt;"13930",MID(G$3,1,5)&lt;&gt;"13940"),(SUM(G6+G12+G14+G18+G10+G17+G21)*Valores!$C$4),0),0),2)</f>
        <v>8239.5</v>
      </c>
      <c r="H29" s="209">
        <f>_xlfn.IFNA(VLOOKUP(I$4,'Escala Docente'!$C$8:$AW$326,11,FALSE),0)</f>
        <v>15752.58</v>
      </c>
      <c r="I29" s="210">
        <f>ROUND(IF('Escala Docente'!$H$2=0,IF(AND(MID(I$3,1,5)&lt;&gt;"13930",MID(I$3,1,5)&lt;&gt;"13940"),(SUM(I6+I12+I14+I18+I10+I17+I21)*Valores!$C$4),0),0),2)</f>
        <v>14124.73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3" t="str">
        <f ca="1">MID(CELL("FILENAME",L41),FIND("[",CELL("FILENAME",L41))+1,FIND("]",CELL("FILENAME",L41))-FIND("[",CELL("FILENAME",L41))-1)</f>
        <v>Esc Doc 2023 05 Cba V 1 2.xlsx</v>
      </c>
      <c r="B1" s="233"/>
      <c r="C1" s="233"/>
      <c r="D1" s="233"/>
      <c r="E1" s="233"/>
      <c r="F1" s="233"/>
      <c r="G1" s="233"/>
      <c r="H1" s="233"/>
      <c r="I1" s="233"/>
      <c r="J1" s="23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4" t="s">
        <v>49</v>
      </c>
      <c r="B2" s="234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5" t="s">
        <v>501</v>
      </c>
      <c r="R3" s="235"/>
      <c r="S3" s="235"/>
      <c r="T3" s="236" t="s">
        <v>502</v>
      </c>
      <c r="U3" s="236"/>
      <c r="V3" s="236"/>
      <c r="W3" s="236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2023-04-02T21:02:07Z</cp:lastPrinted>
  <dcterms:created xsi:type="dcterms:W3CDTF">2005-08-10T23:49:01Z</dcterms:created>
  <dcterms:modified xsi:type="dcterms:W3CDTF">2023-05-29T15:21:00Z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