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25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Docente'!$A$7:$AZ$326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'Valores'!$A$1:$J$95</definedName>
    <definedName name="_xlnm.Print_Area" localSheetId="1">'Escala Docente'!$A$1:$AL$326</definedName>
    <definedName name="_xlnm.Print_Area" localSheetId="4">'UPC'!$A$2:$J$37</definedName>
    <definedName name="_xlnm.Print_Area" localSheetId="0">'Valores'!$A$1:$G$89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62913"/>
</workbook>
</file>

<file path=xl/sharedStrings.xml><?xml version="1.0" encoding="utf-8"?>
<sst xmlns="http://schemas.openxmlformats.org/spreadsheetml/2006/main" count="1596" uniqueCount="818">
  <si>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</si>
  <si>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</si>
  <si>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</si>
  <si>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</si>
  <si>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</si>
  <si>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</si>
  <si>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</si>
  <si>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</si>
  <si>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</si>
  <si>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</si>
  <si>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</si>
  <si>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</si>
  <si>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</si>
  <si>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</si>
  <si>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</si>
  <si>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</si>
  <si>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</si>
  <si>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</si>
  <si>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</si>
  <si>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</si>
  <si>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</si>
  <si>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</si>
  <si>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</si>
  <si>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</si>
  <si>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</si>
  <si>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</si>
  <si>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</si>
  <si>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</si>
  <si>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</si>
  <si>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</si>
  <si>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</si>
  <si>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</si>
  <si>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</si>
  <si>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</si>
  <si>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</si>
  <si>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</si>
  <si>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</si>
  <si>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</si>
  <si>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</si>
  <si>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</si>
  <si>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</si>
  <si>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</si>
  <si>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</si>
  <si>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</si>
  <si>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</si>
  <si>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</si>
  <si>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</si>
  <si>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</si>
  <si>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</si>
  <si>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</si>
  <si>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</si>
  <si>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</si>
  <si>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</si>
  <si>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</si>
  <si>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</si>
  <si>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</si>
  <si>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</si>
  <si>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</si>
  <si>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</si>
  <si>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</si>
  <si>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</si>
  <si>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</si>
  <si>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</si>
  <si>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</si>
  <si>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</si>
  <si>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</si>
  <si>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</si>
  <si>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</si>
  <si>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</si>
  <si>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</si>
  <si>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 Pers Jub Compl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</si>
  <si>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</si>
  <si>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</si>
  <si>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</si>
  <si>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</si>
  <si>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</si>
  <si>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</si>
  <si>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</si>
  <si>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</si>
  <si>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</si>
  <si>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</si>
  <si>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</si>
  <si>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</si>
  <si>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</si>
  <si>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</si>
  <si>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</si>
  <si>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</si>
  <si>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</si>
  <si>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</si>
  <si>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</si>
  <si>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</si>
  <si>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</si>
  <si>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</si>
  <si>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</si>
  <si>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</si>
  <si>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</si>
  <si>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</si>
  <si>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</si>
  <si>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</si>
  <si>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</si>
  <si>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</si>
  <si>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</si>
  <si>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</si>
  <si>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</si>
  <si>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</si>
  <si>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</si>
  <si>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</si>
  <si>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</si>
  <si>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C660070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</si>
  <si>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</si>
  <si>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</si>
  <si>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</si>
  <si>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</si>
  <si>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</si>
  <si>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</si>
  <si>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</si>
  <si>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</si>
  <si>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</si>
  <si>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</si>
  <si>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</si>
  <si>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</si>
  <si>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</si>
  <si>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</si>
  <si>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</si>
  <si>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</si>
  <si>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</si>
  <si>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</si>
  <si>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</si>
  <si>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</si>
  <si>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</si>
  <si>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</si>
  <si>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</si>
  <si>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</si>
  <si>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</si>
  <si>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</si>
  <si>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</si>
  <si>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</si>
  <si>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</si>
  <si>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</si>
  <si>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</si>
  <si>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</si>
  <si>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</si>
  <si>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</si>
  <si>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</si>
  <si>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</si>
  <si>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</si>
  <si>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</si>
  <si>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</si>
  <si>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</si>
  <si>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</si>
  <si>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</si>
  <si>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</si>
  <si>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</si>
  <si>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</si>
  <si>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</si>
  <si>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</si>
  <si>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</si>
  <si>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</si>
  <si>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</si>
  <si>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</si>
  <si>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</si>
  <si>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</si>
  <si>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</si>
  <si>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</si>
  <si>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</si>
  <si>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</si>
  <si>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</si>
  <si>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</si>
  <si>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</si>
  <si>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</si>
  <si>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</si>
  <si>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</si>
  <si>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</si>
  <si>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</si>
  <si>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</si>
  <si>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</si>
  <si>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</si>
  <si>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</si>
  <si>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</si>
  <si>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</si>
  <si>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</si>
  <si>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</si>
  <si>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</si>
  <si>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</si>
  <si>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</si>
  <si>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</si>
  <si>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</si>
  <si>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</si>
  <si>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</si>
  <si>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</si>
  <si>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</si>
  <si>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</si>
  <si>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</si>
  <si>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</si>
  <si>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</si>
  <si>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</si>
  <si>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</si>
  <si>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</si>
  <si>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</si>
  <si>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</si>
  <si>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</si>
  <si>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</si>
  <si>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</si>
  <si>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</si>
  <si>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</si>
  <si>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</si>
  <si>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</si>
  <si>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</si>
  <si>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</si>
  <si>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</si>
  <si>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</si>
  <si>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</si>
  <si>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</si>
  <si>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</si>
  <si>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</si>
  <si>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</si>
  <si>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</si>
  <si>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</si>
  <si>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</si>
  <si>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</si>
  <si>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</si>
  <si>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</si>
  <si>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</si>
  <si>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</si>
  <si>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</si>
  <si>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</si>
  <si>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</si>
  <si>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</si>
  <si>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</si>
  <si>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</si>
  <si>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</si>
  <si>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</si>
  <si>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</si>
  <si>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</si>
  <si>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</si>
  <si>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</si>
  <si>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</si>
  <si>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</si>
  <si>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</si>
  <si>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</si>
  <si>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</si>
  <si>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</si>
  <si>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</si>
  <si>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</si>
  <si>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</si>
  <si>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</si>
  <si>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</si>
  <si>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</si>
  <si>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</si>
  <si>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</si>
  <si>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</si>
  <si>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</si>
  <si>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</si>
  <si>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</si>
  <si>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</si>
  <si>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</si>
  <si>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</si>
  <si>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</si>
  <si>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</si>
  <si>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</si>
  <si>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</si>
  <si>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</si>
  <si>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</si>
  <si>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</si>
  <si>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</si>
  <si>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</si>
  <si>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</si>
  <si>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</si>
  <si>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</si>
  <si>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</si>
  <si>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</si>
  <si>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</si>
  <si>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</si>
  <si>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</si>
  <si>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</si>
  <si>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</si>
  <si>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</si>
  <si>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</si>
  <si>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</si>
  <si>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</si>
  <si>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</si>
  <si>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</si>
  <si>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</si>
  <si>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</si>
  <si>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</si>
  <si>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</si>
  <si>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</si>
  <si>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</si>
  <si>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</si>
  <si>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</si>
  <si>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</si>
  <si>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</si>
  <si>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</si>
  <si>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</si>
  <si>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</si>
  <si>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</si>
  <si>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</si>
  <si>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</si>
  <si>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</si>
  <si>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</si>
  <si>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</si>
  <si>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</si>
  <si>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</si>
  <si>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</si>
  <si>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</si>
  <si>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</si>
  <si>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</si>
  <si>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</si>
  <si>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</si>
  <si>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</si>
  <si>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</si>
  <si>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</si>
  <si>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</si>
  <si>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</si>
  <si>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</si>
  <si>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</si>
  <si>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</si>
  <si>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</si>
  <si>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</si>
  <si>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</si>
  <si>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</si>
  <si>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</si>
  <si>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</si>
  <si>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</si>
  <si>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</si>
  <si>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</si>
  <si>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</si>
  <si>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</si>
  <si>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</si>
  <si>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</si>
  <si>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</si>
  <si>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</si>
  <si>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</si>
  <si>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</si>
  <si>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</si>
  <si>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</si>
  <si>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</si>
  <si>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</si>
  <si>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</si>
  <si>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</si>
  <si>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</si>
  <si>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</si>
  <si>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</si>
  <si>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</si>
  <si>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</si>
  <si>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</si>
  <si>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</si>
  <si>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</si>
  <si>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</si>
  <si>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</si>
  <si>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</si>
  <si>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</si>
  <si>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</si>
  <si>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</si>
  <si>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</si>
  <si>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</si>
  <si>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</si>
  <si>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</si>
  <si>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</si>
  <si>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</si>
  <si>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</si>
  <si>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</si>
  <si>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</si>
  <si>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</si>
  <si>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</si>
  <si>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</si>
  <si>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</si>
  <si>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</si>
  <si>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</si>
  <si>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</si>
  <si>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</si>
  <si>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</si>
  <si>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</si>
  <si>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</si>
  <si>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</si>
  <si>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</si>
  <si>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</si>
  <si>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</si>
  <si>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</si>
  <si>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</si>
  <si>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</si>
  <si>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</si>
  <si>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</si>
  <si>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</si>
  <si>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</si>
  <si>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</si>
  <si>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</si>
  <si>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</si>
  <si>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</si>
  <si>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</si>
  <si>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</si>
  <si>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</si>
  <si>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</si>
  <si>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</si>
  <si>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</si>
  <si>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</si>
  <si>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</si>
  <si>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</si>
  <si>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</si>
  <si>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</si>
  <si>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</si>
  <si>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</si>
  <si>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</si>
  <si>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</si>
  <si>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</si>
  <si>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</si>
  <si>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</si>
  <si>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</si>
  <si>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</si>
  <si>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</si>
  <si>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</si>
  <si>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</si>
  <si>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</si>
  <si>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</si>
  <si>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</si>
  <si>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</si>
  <si>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</si>
  <si>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</si>
  <si>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</si>
  <si>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</si>
  <si>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</si>
  <si>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</si>
  <si>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</si>
  <si>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</si>
  <si>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</si>
  <si>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</si>
  <si>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</si>
  <si>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</si>
  <si>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</si>
  <si>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</si>
  <si>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</si>
  <si>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</si>
  <si>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</si>
  <si>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</si>
  <si>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</si>
  <si>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</si>
  <si>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</si>
  <si>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</si>
  <si>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</si>
  <si>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</si>
  <si>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</si>
  <si>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</si>
  <si>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</si>
  <si>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</si>
  <si>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</si>
  <si>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</si>
  <si>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</si>
  <si>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</si>
  <si>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</si>
  <si>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</si>
  <si>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</si>
  <si>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</si>
  <si>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</si>
  <si>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</si>
  <si>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</si>
  <si>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</si>
  <si>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</si>
  <si>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</si>
  <si>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</si>
  <si>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</si>
  <si>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</si>
  <si>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</si>
  <si>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</si>
  <si>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</si>
  <si>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</si>
  <si>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</si>
  <si>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</si>
  <si>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</si>
  <si>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</si>
  <si>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</si>
  <si>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</si>
  <si>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</si>
  <si>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</si>
  <si>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</si>
  <si>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</si>
  <si>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</si>
  <si>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</si>
  <si>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</si>
  <si>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</si>
  <si>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</si>
  <si>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</si>
  <si>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</si>
  <si>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</si>
  <si>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</si>
  <si>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</si>
  <si>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</si>
  <si>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</si>
  <si>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</si>
  <si>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</si>
  <si>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</si>
  <si>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</si>
  <si>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</si>
  <si>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</si>
  <si>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</si>
  <si>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</si>
  <si>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</si>
  <si>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</si>
  <si>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</si>
  <si>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</si>
  <si>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</si>
  <si>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</si>
  <si>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</si>
  <si>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</si>
  <si>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</si>
  <si>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</si>
  <si>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</si>
  <si>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</si>
  <si>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</si>
  <si>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</si>
  <si>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</si>
  <si>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</si>
  <si>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</si>
  <si>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</si>
  <si>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</si>
  <si>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</si>
  <si>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</si>
  <si>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</si>
  <si>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</si>
  <si>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</si>
  <si>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</si>
  <si>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</si>
  <si>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</si>
  <si>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</si>
  <si>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</si>
  <si>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</si>
  <si>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</si>
  <si>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</si>
  <si>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</si>
  <si>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</si>
  <si>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</si>
  <si>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</si>
  <si>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</si>
  <si>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</si>
  <si>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</si>
  <si>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</si>
  <si>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</si>
  <si>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</si>
  <si>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</si>
  <si>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</si>
  <si>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</si>
  <si>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</si>
  <si>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</si>
  <si>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</si>
  <si>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</si>
  <si>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</si>
  <si>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</si>
  <si>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</si>
  <si>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</si>
  <si>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</si>
  <si>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</si>
  <si>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</si>
  <si>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</si>
  <si>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</si>
  <si>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</si>
  <si>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</si>
  <si>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</si>
  <si>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</si>
  <si>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</si>
  <si>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</si>
  <si>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</si>
  <si>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</si>
  <si>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</si>
  <si>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</si>
  <si>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</si>
  <si>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</si>
  <si>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</si>
  <si>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</si>
  <si>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</si>
  <si>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</si>
  <si>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</si>
  <si>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</si>
  <si>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</si>
  <si>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</si>
  <si>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</si>
  <si>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</si>
  <si>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</si>
  <si>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</si>
  <si>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</si>
  <si>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</si>
  <si>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</si>
  <si>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</si>
  <si>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</si>
  <si>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</si>
  <si>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</si>
  <si>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</si>
  <si>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</si>
  <si>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</si>
  <si>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</si>
  <si>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</si>
  <si>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</si>
  <si>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</si>
  <si>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</si>
  <si>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</si>
  <si>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</si>
  <si>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</si>
  <si>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</si>
  <si>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</si>
  <si>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</si>
  <si>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</si>
  <si>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</si>
  <si>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</si>
  <si>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</si>
  <si>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</si>
  <si>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</si>
  <si>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</si>
  <si>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</si>
  <si>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</si>
  <si>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</si>
  <si>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</si>
  <si>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</si>
  <si>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</si>
  <si>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</si>
  <si>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</si>
  <si>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</si>
  <si>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</si>
  <si>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</si>
  <si>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</si>
  <si>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</si>
  <si>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</si>
  <si>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</si>
  <si>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</si>
  <si>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</si>
  <si>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</si>
  <si>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</si>
  <si>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</si>
  <si>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</si>
  <si>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</si>
  <si>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</si>
  <si>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</si>
  <si>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</si>
  <si>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</si>
  <si>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</si>
  <si>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</si>
  <si>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</si>
  <si>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</si>
  <si>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</si>
  <si>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</si>
  <si>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</si>
  <si>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</si>
  <si>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</si>
  <si>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</si>
  <si>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</si>
  <si>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</si>
  <si>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</si>
  <si>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</si>
  <si>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</si>
  <si>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</si>
  <si>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</si>
  <si>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</si>
  <si>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</si>
  <si>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</si>
  <si>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</si>
  <si>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</si>
  <si>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</si>
  <si>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</si>
  <si>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</si>
  <si>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</si>
  <si>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</si>
  <si>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</si>
  <si>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</si>
  <si>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</si>
  <si>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</si>
  <si>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</si>
  <si>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</si>
  <si>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</si>
  <si>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</si>
  <si>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</si>
  <si>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</si>
  <si>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</si>
  <si>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</si>
  <si>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</si>
  <si>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</si>
  <si>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</si>
  <si>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</si>
  <si>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</si>
  <si>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</si>
  <si>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</si>
  <si>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</si>
  <si>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</si>
  <si>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</si>
  <si>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</si>
  <si>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</si>
  <si>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</si>
  <si>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</si>
  <si>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</si>
  <si>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</si>
  <si>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</si>
  <si>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</si>
  <si>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</si>
  <si>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</si>
  <si>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</si>
  <si>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</si>
  <si>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</si>
  <si>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</si>
  <si>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</si>
  <si>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</si>
  <si>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</si>
  <si>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</si>
  <si>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</si>
  <si>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</si>
  <si>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</si>
  <si>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</si>
  <si>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</si>
  <si>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</si>
  <si>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</si>
  <si>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</si>
  <si>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</si>
  <si>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</si>
  <si>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</si>
  <si>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</si>
  <si>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</si>
  <si>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</si>
  <si>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</si>
  <si>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</si>
  <si>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</si>
  <si>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</si>
  <si>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</si>
  <si>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</si>
  <si>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</si>
  <si>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</si>
  <si>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</si>
  <si>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</si>
  <si>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</si>
  <si>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</si>
  <si>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</si>
  <si>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</si>
  <si>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</si>
  <si>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</si>
  <si>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</si>
  <si>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</si>
  <si>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</si>
  <si>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</si>
  <si>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</si>
  <si>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</si>
  <si>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</si>
  <si>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</si>
  <si>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</si>
  <si>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</si>
  <si>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</si>
  <si>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</si>
  <si>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</si>
  <si>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</si>
  <si>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</si>
  <si>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</si>
  <si>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</si>
  <si>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</si>
  <si>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</si>
  <si>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</si>
  <si>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</si>
  <si>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</si>
  <si>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</si>
  <si>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</si>
  <si>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</si>
  <si>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</si>
  <si>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</si>
  <si>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</si>
  <si>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</si>
  <si>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</si>
  <si>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</si>
  <si>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</si>
  <si>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</si>
  <si>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</si>
  <si>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</si>
  <si>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</si>
  <si>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</si>
  <si>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</si>
  <si>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</si>
  <si>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</si>
  <si>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</si>
  <si>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</si>
  <si>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</si>
  <si>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</si>
  <si>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</si>
  <si>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</si>
  <si>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</si>
  <si>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</si>
  <si>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</si>
  <si>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</si>
  <si>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</si>
  <si>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</si>
  <si>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</si>
  <si>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</si>
  <si>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</si>
  <si>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</si>
  <si>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</si>
  <si>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</si>
  <si>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</si>
  <si>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</si>
  <si>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</si>
  <si>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</si>
  <si>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</si>
  <si>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</si>
  <si>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</si>
  <si>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</si>
  <si>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</si>
  <si>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</si>
  <si>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</si>
  <si>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</si>
  <si>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</si>
  <si>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</si>
  <si>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</si>
  <si>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</si>
  <si>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</si>
  <si>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</si>
  <si>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</si>
  <si>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</si>
  <si>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</si>
  <si>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Adic Rem Cgo 4 DIR JURISDICCION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</si>
  <si>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</si>
  <si>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</si>
  <si>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</si>
  <si>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</si>
  <si>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</si>
  <si>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Adic Rem Cgo 10 DIR 2da CTRO DEP</t>
  </si>
  <si>
    <t>Gto. Inh. Lab. Doc 07 13-164</t>
  </si>
  <si>
    <t>Ad. Extr 13515</t>
  </si>
  <si>
    <t>"1983/2023 - 40 AÑOS DE DEMOCRACIA”</t>
  </si>
  <si>
    <t>Bon Compe Rem Cargos Dir Sup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</si>
</sst>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</numFmts>
  <fonts count="35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39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0" fontId="32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0" fontId="33" fillId="0" borderId="0" xfId="0" applyFont="1" applyAlignment="1">
      <alignment horizontal="left"/>
    </xf>
    <xf numFmtId="17" fontId="34" fillId="0" borderId="0" xfId="23" applyNumberFormat="1" applyFont="1" applyBorder="1" applyAlignment="1" quotePrefix="1">
      <alignment horizontal="left" vertical="center" wrapText="1"/>
      <protection/>
    </xf>
    <xf numFmtId="0" fontId="34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  <xf numFmtId="173" fontId="26" fillId="0" borderId="0" xfId="23" applyNumberFormat="1" applyFont="1" applyBorder="1" applyAlignment="1">
      <alignment horizontal="center" wrapText="1"/>
      <protection/>
    </xf>
    <xf numFmtId="175" fontId="26" fillId="0" borderId="0" xfId="21" applyNumberFormat="1" applyFont="1" applyBorder="1" applyAlignment="1" applyProtection="1">
      <alignment horizontal="right"/>
      <protection/>
    </xf>
    <xf numFmtId="167" fontId="26" fillId="0" borderId="0" xfId="23" applyNumberFormat="1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7" fontId="26" fillId="0" borderId="0" xfId="23" applyNumberFormat="1" applyFont="1" applyBorder="1" applyAlignment="1">
      <alignment horizontal="center"/>
      <protection/>
    </xf>
    <xf numFmtId="169" fontId="26" fillId="0" borderId="0" xfId="21" applyNumberFormat="1" applyFont="1" applyBorder="1" applyAlignment="1" applyProtection="1">
      <alignment horizontal="center"/>
      <protection/>
    </xf>
    <xf numFmtId="175" fontId="27" fillId="0" borderId="0" xfId="23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26</xdr:col>
      <xdr:colOff>66675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19050"/>
          <a:ext cx="49244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workbookViewId="0" topLeftCell="A1">
      <pane ySplit="1" topLeftCell="A82" activePane="bottomLeft" state="frozen"/>
      <selection pane="bottomLeft" activeCell="B89" sqref="B89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2.75">
      <c r="A1" s="1" t="s">
        <v>0</v>
      </c>
      <c r="B1" s="1"/>
      <c r="C1" s="1"/>
      <c r="D1" s="1"/>
      <c r="E1" s="1"/>
      <c r="F1" s="2" t="s">
        <v>1</v>
      </c>
      <c r="G1" s="1" t="s">
        <v>608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>
      <c r="A2" s="80" t="s">
        <v>4</v>
      </c>
      <c r="B2" s="81" t="s">
        <v>5</v>
      </c>
      <c r="C2" s="207">
        <v>40.6818</v>
      </c>
      <c r="G2" s="82">
        <f>27.1212*1.2</f>
        <v>32.54544</v>
      </c>
      <c r="I2" s="81">
        <v>0</v>
      </c>
      <c r="J2" s="83">
        <v>0</v>
      </c>
      <c r="L2" s="136">
        <v>1</v>
      </c>
      <c r="N2" s="209">
        <v>0</v>
      </c>
    </row>
    <row r="3" spans="1:14" s="81" customFormat="1" ht="12.75">
      <c r="A3" s="80" t="s">
        <v>4</v>
      </c>
      <c r="B3" s="81" t="s">
        <v>6</v>
      </c>
      <c r="C3" s="6">
        <v>0.15</v>
      </c>
      <c r="I3" s="81">
        <v>1</v>
      </c>
      <c r="J3" s="83">
        <v>0.15</v>
      </c>
      <c r="L3" s="136">
        <v>2</v>
      </c>
      <c r="N3" s="209">
        <v>0.2</v>
      </c>
    </row>
    <row r="4" spans="1:14" s="81" customFormat="1" ht="12.75">
      <c r="A4" s="80" t="s">
        <v>4</v>
      </c>
      <c r="B4" s="80" t="s">
        <v>661</v>
      </c>
      <c r="C4" s="6">
        <v>0.15</v>
      </c>
      <c r="H4" s="84"/>
      <c r="I4" s="81">
        <v>2</v>
      </c>
      <c r="J4" s="83">
        <v>0.15</v>
      </c>
      <c r="L4" s="137">
        <v>3</v>
      </c>
      <c r="N4" s="209">
        <v>0.4</v>
      </c>
    </row>
    <row r="5" spans="1:14" s="81" customFormat="1" ht="12.75">
      <c r="A5" s="80" t="s">
        <v>4</v>
      </c>
      <c r="B5" s="81" t="s">
        <v>7</v>
      </c>
      <c r="C5" s="6">
        <v>0.4</v>
      </c>
      <c r="D5" s="95">
        <f>ROUND((('Escala Docente'!F142*C5)),2)</f>
        <v>20796.54</v>
      </c>
      <c r="E5" s="95">
        <f>ROUND(D5/15,2)</f>
        <v>1386.44</v>
      </c>
      <c r="F5" s="84"/>
      <c r="G5" s="84"/>
      <c r="I5" s="81">
        <v>3</v>
      </c>
      <c r="J5" s="83">
        <v>0.15</v>
      </c>
      <c r="L5" s="137">
        <v>4</v>
      </c>
      <c r="N5" s="209">
        <v>0.6</v>
      </c>
    </row>
    <row r="6" spans="1:14" s="81" customFormat="1" ht="12.75">
      <c r="A6" s="85" t="s">
        <v>607</v>
      </c>
      <c r="B6" s="85"/>
      <c r="C6" s="76"/>
      <c r="D6" s="85"/>
      <c r="E6" s="85"/>
      <c r="F6" s="85"/>
      <c r="G6" s="85"/>
      <c r="I6" s="81">
        <v>4</v>
      </c>
      <c r="J6" s="83">
        <v>0.15</v>
      </c>
      <c r="L6" s="137">
        <v>5</v>
      </c>
      <c r="N6" s="209">
        <v>0.8</v>
      </c>
    </row>
    <row r="7" spans="1:14" s="81" customFormat="1" ht="12.75">
      <c r="A7" s="161" t="s">
        <v>4</v>
      </c>
      <c r="B7" s="162" t="s">
        <v>9</v>
      </c>
      <c r="C7" s="174">
        <v>1379.64</v>
      </c>
      <c r="D7" s="95"/>
      <c r="E7" s="83"/>
      <c r="G7" s="174">
        <v>1103.71</v>
      </c>
      <c r="I7" s="81">
        <v>5</v>
      </c>
      <c r="J7" s="83">
        <v>0.3</v>
      </c>
      <c r="L7" s="136">
        <v>6</v>
      </c>
      <c r="N7" s="209">
        <v>1</v>
      </c>
    </row>
    <row r="8" spans="1:14" s="81" customFormat="1" ht="12.75">
      <c r="A8" s="161" t="s">
        <v>4</v>
      </c>
      <c r="B8" s="163" t="s">
        <v>10</v>
      </c>
      <c r="C8" s="174">
        <v>50989.899999999994</v>
      </c>
      <c r="D8" s="95"/>
      <c r="E8" s="83"/>
      <c r="F8" s="89"/>
      <c r="G8" s="174">
        <v>35821.5</v>
      </c>
      <c r="I8" s="81">
        <v>6</v>
      </c>
      <c r="J8" s="83">
        <v>0.3</v>
      </c>
      <c r="L8" s="137">
        <v>7</v>
      </c>
      <c r="N8" s="209">
        <v>1.5</v>
      </c>
    </row>
    <row r="9" spans="1:12" s="81" customFormat="1" ht="12.75">
      <c r="A9" s="161" t="s">
        <v>4</v>
      </c>
      <c r="B9" s="163" t="s">
        <v>11</v>
      </c>
      <c r="C9" s="101">
        <v>51121.66</v>
      </c>
      <c r="D9" s="95"/>
      <c r="E9" s="83"/>
      <c r="F9" s="89"/>
      <c r="G9" s="174">
        <v>35926.91</v>
      </c>
      <c r="I9" s="81">
        <v>7</v>
      </c>
      <c r="J9" s="83">
        <v>0.4</v>
      </c>
      <c r="L9" s="137">
        <v>8</v>
      </c>
    </row>
    <row r="10" spans="1:12" s="81" customFormat="1" ht="12.75">
      <c r="A10" s="161" t="s">
        <v>4</v>
      </c>
      <c r="B10" s="163" t="s">
        <v>621</v>
      </c>
      <c r="C10" s="101">
        <v>41631.340000000004</v>
      </c>
      <c r="D10" s="95"/>
      <c r="E10" s="83"/>
      <c r="F10" s="89"/>
      <c r="G10" s="174">
        <v>30819.86</v>
      </c>
      <c r="I10" s="81">
        <v>8</v>
      </c>
      <c r="J10" s="83">
        <v>0.4</v>
      </c>
      <c r="L10" s="137">
        <v>9</v>
      </c>
    </row>
    <row r="11" spans="1:10" s="81" customFormat="1" ht="12.75">
      <c r="A11" s="161" t="s">
        <v>4</v>
      </c>
      <c r="B11" s="163" t="s">
        <v>807</v>
      </c>
      <c r="C11" s="101">
        <v>36274.83</v>
      </c>
      <c r="D11" s="95"/>
      <c r="E11" s="83"/>
      <c r="F11" s="89"/>
      <c r="G11" s="174">
        <v>29019.86</v>
      </c>
      <c r="I11" s="81">
        <v>9</v>
      </c>
      <c r="J11" s="83">
        <v>0.4</v>
      </c>
    </row>
    <row r="12" spans="1:10" s="81" customFormat="1" ht="12.75">
      <c r="A12" s="161" t="s">
        <v>4</v>
      </c>
      <c r="B12" s="162" t="s">
        <v>12</v>
      </c>
      <c r="C12" s="101">
        <v>92295.44</v>
      </c>
      <c r="D12" s="95"/>
      <c r="E12" s="83"/>
      <c r="F12" s="89"/>
      <c r="G12" s="174">
        <v>66735.76</v>
      </c>
      <c r="I12" s="81">
        <v>10</v>
      </c>
      <c r="J12" s="83">
        <v>0.5</v>
      </c>
    </row>
    <row r="13" spans="1:14" s="81" customFormat="1" ht="12.75">
      <c r="A13" s="161" t="s">
        <v>4</v>
      </c>
      <c r="B13" s="163" t="s">
        <v>13</v>
      </c>
      <c r="C13" s="101">
        <v>37263.51</v>
      </c>
      <c r="D13" s="95"/>
      <c r="E13" s="83"/>
      <c r="F13" s="90"/>
      <c r="G13" s="174">
        <v>29810.81</v>
      </c>
      <c r="I13" s="81">
        <v>11</v>
      </c>
      <c r="J13" s="83">
        <v>0.5</v>
      </c>
      <c r="M13" s="213" t="str">
        <f ca="1">MID(CELL("FILENAME",N30),FIND("[",CELL("FILENAME",N30))+1,FIND("]",CELL("FILENAME",N30))-FIND("[",CELL("FILENAME",N30))-6)</f>
        <v>Esc Doc 2023 07 Cba V 1 0 JULIO</v>
      </c>
      <c r="N13" s="213"/>
    </row>
    <row r="14" spans="1:13" s="81" customFormat="1" ht="12.75">
      <c r="A14" s="161" t="s">
        <v>4</v>
      </c>
      <c r="B14" s="163" t="s">
        <v>14</v>
      </c>
      <c r="C14" s="174">
        <v>40510.89</v>
      </c>
      <c r="D14" s="95"/>
      <c r="E14" s="83"/>
      <c r="F14" s="90"/>
      <c r="G14" s="174">
        <v>29923.5</v>
      </c>
      <c r="I14" s="81">
        <v>12</v>
      </c>
      <c r="J14" s="83">
        <v>0.6</v>
      </c>
      <c r="M14" s="211" t="str">
        <f ca="1">MID($M$13,14,2)</f>
        <v>07</v>
      </c>
    </row>
    <row r="15" spans="1:13" s="81" customFormat="1" ht="12.75">
      <c r="A15" s="161" t="s">
        <v>4</v>
      </c>
      <c r="B15" s="163" t="s">
        <v>609</v>
      </c>
      <c r="C15" s="101">
        <v>58782.229999999996</v>
      </c>
      <c r="D15" s="95"/>
      <c r="E15" s="83"/>
      <c r="F15" s="90"/>
      <c r="G15" s="174">
        <v>42055.37</v>
      </c>
      <c r="I15" s="81">
        <v>13</v>
      </c>
      <c r="J15" s="83">
        <v>0.6</v>
      </c>
      <c r="M15" s="211" t="str">
        <f ca="1">MID($M$13,9,4)</f>
        <v>2023</v>
      </c>
    </row>
    <row r="16" spans="1:13" s="81" customFormat="1" ht="12.75">
      <c r="A16" s="161" t="s">
        <v>4</v>
      </c>
      <c r="B16" s="163" t="s">
        <v>813</v>
      </c>
      <c r="C16" s="101">
        <v>35154.38</v>
      </c>
      <c r="D16" s="95"/>
      <c r="E16" s="83"/>
      <c r="F16" s="90"/>
      <c r="G16" s="174">
        <v>28123.5</v>
      </c>
      <c r="I16" s="81">
        <v>14</v>
      </c>
      <c r="J16" s="83">
        <v>0.6</v>
      </c>
      <c r="M16" s="81" t="str">
        <f ca="1">VLOOKUP(VALUE(M14),L17:M28,2,FALSE)</f>
        <v>JULIO</v>
      </c>
    </row>
    <row r="17" spans="1:13" s="81" customFormat="1" ht="12.75">
      <c r="A17" s="85" t="s">
        <v>607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1">
        <v>1</v>
      </c>
      <c r="M17" s="81" t="s">
        <v>636</v>
      </c>
    </row>
    <row r="18" spans="1:13" s="81" customFormat="1" ht="12.75">
      <c r="A18" s="161" t="s">
        <v>4</v>
      </c>
      <c r="B18" s="162" t="s">
        <v>15</v>
      </c>
      <c r="C18" s="101">
        <v>433.92</v>
      </c>
      <c r="D18" s="95"/>
      <c r="E18" s="166"/>
      <c r="F18" s="84"/>
      <c r="G18" s="174">
        <v>347.14</v>
      </c>
      <c r="H18" s="84"/>
      <c r="I18" s="81">
        <v>16</v>
      </c>
      <c r="J18" s="83">
        <v>0.7</v>
      </c>
      <c r="L18" s="211">
        <v>2</v>
      </c>
      <c r="M18" s="81" t="s">
        <v>637</v>
      </c>
    </row>
    <row r="19" spans="1:13" s="81" customFormat="1" ht="12.75">
      <c r="A19" s="161" t="s">
        <v>4</v>
      </c>
      <c r="B19" s="162" t="s">
        <v>630</v>
      </c>
      <c r="C19" s="101">
        <v>19351.52</v>
      </c>
      <c r="D19" s="95"/>
      <c r="E19" s="212" t="s">
        <v>574</v>
      </c>
      <c r="F19" s="84"/>
      <c r="G19" s="174">
        <v>15481.21</v>
      </c>
      <c r="I19" s="81">
        <v>17</v>
      </c>
      <c r="J19" s="83">
        <v>0.8</v>
      </c>
      <c r="L19" s="211">
        <v>3</v>
      </c>
      <c r="M19" s="81" t="s">
        <v>638</v>
      </c>
    </row>
    <row r="20" spans="1:13" s="81" customFormat="1" ht="12.75">
      <c r="A20" s="161" t="s">
        <v>4</v>
      </c>
      <c r="B20" s="162" t="s">
        <v>631</v>
      </c>
      <c r="C20" s="101">
        <v>19153.67</v>
      </c>
      <c r="D20" s="95"/>
      <c r="E20" s="166"/>
      <c r="F20" s="84"/>
      <c r="G20" s="174">
        <v>15322.93</v>
      </c>
      <c r="H20" s="84"/>
      <c r="I20" s="81">
        <v>18</v>
      </c>
      <c r="J20" s="83">
        <v>0.8</v>
      </c>
      <c r="L20" s="211">
        <v>4</v>
      </c>
      <c r="M20" s="81" t="s">
        <v>639</v>
      </c>
    </row>
    <row r="21" spans="1:13" s="81" customFormat="1" ht="12.75">
      <c r="A21" s="85" t="s">
        <v>607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1">
        <v>5</v>
      </c>
      <c r="M21" s="81" t="s">
        <v>640</v>
      </c>
    </row>
    <row r="22" spans="1:13" s="81" customFormat="1" ht="12.75">
      <c r="A22" s="80" t="s">
        <v>4</v>
      </c>
      <c r="B22" s="86" t="s">
        <v>632</v>
      </c>
      <c r="C22" s="174">
        <v>18553.83</v>
      </c>
      <c r="D22" s="165"/>
      <c r="G22" s="174">
        <v>14843.06</v>
      </c>
      <c r="H22" s="84"/>
      <c r="I22" s="81">
        <v>20</v>
      </c>
      <c r="J22" s="83">
        <v>1</v>
      </c>
      <c r="L22" s="211">
        <v>6</v>
      </c>
      <c r="M22" s="81" t="s">
        <v>641</v>
      </c>
    </row>
    <row r="23" spans="1:13" s="81" customFormat="1" ht="12.75">
      <c r="A23" s="80" t="s">
        <v>4</v>
      </c>
      <c r="B23" s="86" t="s">
        <v>629</v>
      </c>
      <c r="C23" s="174">
        <v>17268.68</v>
      </c>
      <c r="D23" s="165"/>
      <c r="G23" s="174">
        <v>13814.94</v>
      </c>
      <c r="H23" s="84"/>
      <c r="I23" s="81">
        <v>21</v>
      </c>
      <c r="J23" s="83">
        <v>1</v>
      </c>
      <c r="L23" s="211">
        <v>7</v>
      </c>
      <c r="M23" s="81" t="s">
        <v>642</v>
      </c>
    </row>
    <row r="24" spans="1:13" s="81" customFormat="1" ht="12.75">
      <c r="A24" s="85" t="s">
        <v>607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1">
        <v>8</v>
      </c>
      <c r="M24" s="81" t="s">
        <v>643</v>
      </c>
    </row>
    <row r="25" spans="1:13" s="81" customFormat="1" ht="12.75">
      <c r="A25" s="80" t="s">
        <v>4</v>
      </c>
      <c r="B25" s="86" t="s">
        <v>16</v>
      </c>
      <c r="C25" s="101">
        <v>850.59</v>
      </c>
      <c r="D25" s="95"/>
      <c r="F25" s="87">
        <f>+(C25*1.5)+0.7</f>
        <v>1276.585</v>
      </c>
      <c r="G25" s="174">
        <v>680.47</v>
      </c>
      <c r="H25" s="84"/>
      <c r="I25" s="81">
        <v>23</v>
      </c>
      <c r="J25" s="83">
        <v>1.1</v>
      </c>
      <c r="L25" s="211">
        <v>9</v>
      </c>
      <c r="M25" s="81" t="s">
        <v>644</v>
      </c>
    </row>
    <row r="26" spans="1:13" s="81" customFormat="1" ht="12.75">
      <c r="A26" s="80" t="s">
        <v>4</v>
      </c>
      <c r="B26" s="86" t="s">
        <v>17</v>
      </c>
      <c r="C26" s="101">
        <v>850.59</v>
      </c>
      <c r="D26" s="95"/>
      <c r="F26" s="87">
        <f>C26</f>
        <v>850.59</v>
      </c>
      <c r="G26" s="174">
        <v>680.47</v>
      </c>
      <c r="H26" s="84"/>
      <c r="I26" s="81">
        <v>24</v>
      </c>
      <c r="J26" s="83">
        <v>1.2</v>
      </c>
      <c r="L26" s="211">
        <v>10</v>
      </c>
      <c r="M26" s="81" t="s">
        <v>645</v>
      </c>
    </row>
    <row r="27" spans="1:13" s="81" customFormat="1" ht="12.75">
      <c r="A27" s="85" t="s">
        <v>607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1">
        <v>11</v>
      </c>
      <c r="M27" s="81" t="s">
        <v>646</v>
      </c>
    </row>
    <row r="28" spans="1:13" s="81" customFormat="1" ht="12.75">
      <c r="A28" s="80"/>
      <c r="B28" s="81" t="s">
        <v>18</v>
      </c>
      <c r="C28" s="101">
        <v>34.08</v>
      </c>
      <c r="F28" s="87">
        <f>F25</f>
        <v>1276.585</v>
      </c>
      <c r="G28" s="174">
        <v>27.26</v>
      </c>
      <c r="I28" s="81">
        <v>26</v>
      </c>
      <c r="J28" s="83">
        <v>1.3</v>
      </c>
      <c r="L28" s="211">
        <v>12</v>
      </c>
      <c r="M28" s="81" t="s">
        <v>647</v>
      </c>
    </row>
    <row r="29" spans="1:10" s="81" customFormat="1" ht="13.5" thickBot="1">
      <c r="A29" s="91"/>
      <c r="B29" s="92" t="s">
        <v>19</v>
      </c>
      <c r="C29" s="101">
        <v>28.38</v>
      </c>
      <c r="D29" s="92"/>
      <c r="E29" s="92"/>
      <c r="F29" s="93">
        <f>F26</f>
        <v>850.59</v>
      </c>
      <c r="G29" s="174">
        <v>22.7</v>
      </c>
      <c r="I29" s="81">
        <v>27</v>
      </c>
      <c r="J29" s="83">
        <v>1.3</v>
      </c>
    </row>
    <row r="30" spans="1:10" s="81" customFormat="1" ht="13.5" thickTop="1">
      <c r="A30" s="75" t="s">
        <v>607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>
      <c r="A33" s="96" t="s">
        <v>8</v>
      </c>
      <c r="B33" s="96" t="s">
        <v>808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>
      <c r="A34" s="96" t="s">
        <v>8</v>
      </c>
      <c r="B34" s="96" t="s">
        <v>809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thickBot="1">
      <c r="A35" s="96" t="s">
        <v>8</v>
      </c>
      <c r="B35" s="96" t="s">
        <v>648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649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>
      <c r="A37" s="75" t="s">
        <v>607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>
      <c r="A38" s="74" t="s">
        <v>8</v>
      </c>
      <c r="B38" t="s">
        <v>22</v>
      </c>
      <c r="C38" s="77">
        <v>0</v>
      </c>
      <c r="D38" s="5"/>
      <c r="E38" s="5"/>
      <c r="F38" s="180">
        <f>C38</f>
        <v>0</v>
      </c>
      <c r="G38" s="5"/>
      <c r="H38" s="5"/>
      <c r="I38">
        <v>36</v>
      </c>
      <c r="J38" s="3">
        <v>1.5</v>
      </c>
    </row>
    <row r="39" spans="1:10" ht="12.75">
      <c r="A39" s="74" t="s">
        <v>8</v>
      </c>
      <c r="B39" s="74" t="s">
        <v>658</v>
      </c>
      <c r="C39" s="77">
        <f>C38/30</f>
        <v>0</v>
      </c>
      <c r="D39" s="5"/>
      <c r="E39" s="5"/>
      <c r="F39" s="179"/>
      <c r="G39" s="5"/>
      <c r="H39" s="5"/>
      <c r="I39">
        <v>39</v>
      </c>
      <c r="J39" s="3">
        <v>1.5</v>
      </c>
    </row>
    <row r="40" spans="1:10" ht="12.75">
      <c r="A40" s="74" t="s">
        <v>8</v>
      </c>
      <c r="B40" s="74" t="s">
        <v>815</v>
      </c>
      <c r="C40" s="77">
        <v>0</v>
      </c>
      <c r="D40" s="5"/>
      <c r="E40" s="5"/>
      <c r="F40" s="179"/>
      <c r="G40" s="5"/>
      <c r="H40" s="5"/>
      <c r="I40">
        <v>40</v>
      </c>
      <c r="J40" s="3">
        <v>1.5</v>
      </c>
    </row>
    <row r="41" spans="1:10" ht="12.75">
      <c r="A41" s="75" t="s">
        <v>607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>
      <c r="A42" s="74" t="s">
        <v>4</v>
      </c>
      <c r="B42" s="2" t="s">
        <v>635</v>
      </c>
      <c r="C42" s="100">
        <v>12819.33</v>
      </c>
      <c r="D42" s="6"/>
      <c r="E42" s="164"/>
      <c r="F42" s="5"/>
      <c r="G42" s="174">
        <v>10255.46</v>
      </c>
      <c r="H42" s="5"/>
      <c r="I42">
        <v>42</v>
      </c>
      <c r="J42" s="3">
        <v>1.5</v>
      </c>
    </row>
    <row r="43" spans="1:10" ht="12.75">
      <c r="A43" s="74" t="s">
        <v>4</v>
      </c>
      <c r="B43" s="2" t="s">
        <v>634</v>
      </c>
      <c r="C43" s="101">
        <v>13633.16</v>
      </c>
      <c r="D43" s="6"/>
      <c r="E43" s="164"/>
      <c r="F43" s="5"/>
      <c r="G43" s="174">
        <v>10906.52</v>
      </c>
      <c r="H43" s="5"/>
      <c r="I43">
        <v>43</v>
      </c>
      <c r="J43" s="3">
        <v>1.5</v>
      </c>
    </row>
    <row r="44" spans="1:10" ht="12.75">
      <c r="A44" s="74" t="s">
        <v>4</v>
      </c>
      <c r="B44" s="2" t="s">
        <v>633</v>
      </c>
      <c r="C44" s="101">
        <v>14447.16</v>
      </c>
      <c r="D44" s="6"/>
      <c r="E44" s="164"/>
      <c r="G44" s="174">
        <v>11557.73</v>
      </c>
      <c r="I44">
        <v>44</v>
      </c>
      <c r="J44" s="3">
        <v>1.5</v>
      </c>
    </row>
    <row r="45" spans="1:10" ht="12.75">
      <c r="A45" s="74" t="s">
        <v>4</v>
      </c>
      <c r="B45" s="2" t="s">
        <v>811</v>
      </c>
      <c r="C45" s="101">
        <v>15254.85</v>
      </c>
      <c r="D45" s="6"/>
      <c r="E45" s="164"/>
      <c r="G45" s="174">
        <v>12203.88</v>
      </c>
      <c r="I45">
        <v>45</v>
      </c>
      <c r="J45" s="3">
        <v>1.5</v>
      </c>
    </row>
    <row r="46" spans="1:10" ht="12.75">
      <c r="A46" s="74" t="s">
        <v>4</v>
      </c>
      <c r="B46" s="2" t="s">
        <v>810</v>
      </c>
      <c r="C46" s="101">
        <v>17702.33</v>
      </c>
      <c r="D46" s="6"/>
      <c r="E46" s="164"/>
      <c r="F46" s="8">
        <f>16837.15*1.5</f>
        <v>25255.725000000002</v>
      </c>
      <c r="G46" s="174">
        <v>14161.86</v>
      </c>
      <c r="H46" s="5"/>
      <c r="I46">
        <v>46</v>
      </c>
      <c r="J46" s="3">
        <v>1.5</v>
      </c>
    </row>
    <row r="47" spans="1:10" ht="12.75">
      <c r="A47" s="74" t="s">
        <v>4</v>
      </c>
      <c r="B47" s="2" t="s">
        <v>812</v>
      </c>
      <c r="C47" s="101">
        <v>21740.79</v>
      </c>
      <c r="D47" s="6"/>
      <c r="E47" s="164"/>
      <c r="F47" s="8"/>
      <c r="G47" s="174">
        <v>17392.63</v>
      </c>
      <c r="I47">
        <v>47</v>
      </c>
      <c r="J47" s="3">
        <v>1.5</v>
      </c>
    </row>
    <row r="48" spans="1:10" ht="12.75">
      <c r="A48" s="74" t="s">
        <v>4</v>
      </c>
      <c r="B48" s="2" t="s">
        <v>814</v>
      </c>
      <c r="C48" s="101">
        <v>18510.02</v>
      </c>
      <c r="D48" s="6"/>
      <c r="E48" s="164"/>
      <c r="F48" s="8"/>
      <c r="G48" s="174">
        <v>14808.01</v>
      </c>
      <c r="I48">
        <v>48</v>
      </c>
      <c r="J48" s="3">
        <v>1.5</v>
      </c>
    </row>
    <row r="49" spans="1:10" ht="12.75">
      <c r="A49" s="74" t="s">
        <v>4</v>
      </c>
      <c r="B49" s="2" t="s">
        <v>23</v>
      </c>
      <c r="C49" s="101">
        <v>726.72</v>
      </c>
      <c r="D49" s="6"/>
      <c r="E49" s="164"/>
      <c r="G49" s="174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1080.45</v>
      </c>
      <c r="D50" s="6"/>
      <c r="E50" s="164"/>
      <c r="G50" s="174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652</v>
      </c>
      <c r="C51" s="101">
        <v>540.23</v>
      </c>
      <c r="D51" s="6"/>
      <c r="E51" s="164"/>
      <c r="G51" s="174">
        <v>432.18</v>
      </c>
      <c r="I51">
        <v>51</v>
      </c>
      <c r="J51" s="3">
        <v>1.5</v>
      </c>
    </row>
    <row r="52" spans="1:10" ht="12" customHeight="1">
      <c r="A52" s="75" t="s">
        <v>607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>
      <c r="A55" s="74" t="s">
        <v>8</v>
      </c>
      <c r="B55" s="2" t="s">
        <v>27</v>
      </c>
      <c r="C55" s="100">
        <v>327.6</v>
      </c>
    </row>
    <row r="56" spans="1:3" ht="12.75">
      <c r="A56" s="74" t="s">
        <v>8</v>
      </c>
      <c r="B56" s="2" t="s">
        <v>28</v>
      </c>
      <c r="C56" s="100">
        <v>170.34</v>
      </c>
    </row>
    <row r="57" spans="1:3" ht="12.75">
      <c r="A57" s="74" t="s">
        <v>8</v>
      </c>
      <c r="B57" s="2" t="s">
        <v>29</v>
      </c>
      <c r="C57" s="101">
        <v>327.6</v>
      </c>
    </row>
    <row r="58" spans="1:9" ht="12.75">
      <c r="A58" s="74" t="s">
        <v>8</v>
      </c>
      <c r="B58" s="2" t="s">
        <v>30</v>
      </c>
      <c r="C58" s="101">
        <v>155.18</v>
      </c>
      <c r="I58" s="173">
        <f>+C63/15</f>
        <v>648.298</v>
      </c>
    </row>
    <row r="59" spans="1:9" ht="12.75">
      <c r="A59" s="74" t="s">
        <v>8</v>
      </c>
      <c r="B59" s="2" t="s">
        <v>31</v>
      </c>
      <c r="C59" s="101">
        <v>149.55200000000002</v>
      </c>
      <c r="I59" s="3"/>
    </row>
    <row r="60" spans="1:9" ht="12.75">
      <c r="A60" s="74" t="s">
        <v>8</v>
      </c>
      <c r="B60" s="2" t="s">
        <v>32</v>
      </c>
      <c r="C60" s="101">
        <v>252.668</v>
      </c>
      <c r="I60" s="3"/>
    </row>
    <row r="61" spans="1:9" ht="12.75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622</v>
      </c>
      <c r="C63" s="100">
        <v>9724.47</v>
      </c>
      <c r="D63" s="3">
        <f>ROUND(C63/15,2)</f>
        <v>648.3</v>
      </c>
      <c r="E63" s="79">
        <v>38.47</v>
      </c>
      <c r="F63" s="3">
        <f>(+C63*2)</f>
        <v>19448.94</v>
      </c>
      <c r="G63" s="174">
        <v>7582.51</v>
      </c>
    </row>
    <row r="64" spans="1:7" ht="12.75">
      <c r="A64" s="74" t="s">
        <v>4</v>
      </c>
      <c r="B64" s="2" t="s">
        <v>35</v>
      </c>
      <c r="C64" s="100">
        <v>979.1</v>
      </c>
      <c r="D64" s="171"/>
      <c r="F64" s="3"/>
      <c r="G64" s="174">
        <v>9099.01</v>
      </c>
    </row>
    <row r="65" spans="1:7" ht="12.75">
      <c r="A65" s="74" t="s">
        <v>4</v>
      </c>
      <c r="B65" s="2" t="s">
        <v>653</v>
      </c>
      <c r="C65" s="100">
        <v>489.55</v>
      </c>
      <c r="D65" s="171"/>
      <c r="F65" s="3"/>
      <c r="G65" s="174">
        <v>15165.02</v>
      </c>
    </row>
    <row r="66" spans="1:7" ht="12.75">
      <c r="A66" s="75" t="s">
        <v>607</v>
      </c>
      <c r="B66" s="75"/>
      <c r="C66" s="76"/>
      <c r="D66" s="75"/>
      <c r="E66" s="75"/>
      <c r="F66" s="75"/>
      <c r="G66" s="75">
        <v>335.93</v>
      </c>
    </row>
    <row r="67" spans="1:7" ht="12.75">
      <c r="A67" s="104" t="s">
        <v>8</v>
      </c>
      <c r="B67" t="s">
        <v>610</v>
      </c>
      <c r="C67" s="103">
        <v>1210</v>
      </c>
      <c r="D67" s="102"/>
      <c r="E67" s="102"/>
      <c r="F67">
        <v>2420</v>
      </c>
      <c r="G67" s="208">
        <v>758.26</v>
      </c>
    </row>
    <row r="68" spans="1:7" ht="12.75">
      <c r="A68" s="75" t="s">
        <v>607</v>
      </c>
      <c r="B68" s="75"/>
      <c r="C68" s="76"/>
      <c r="D68" s="75"/>
      <c r="E68" s="75"/>
      <c r="F68" s="75"/>
      <c r="G68" s="75">
        <v>379.13</v>
      </c>
    </row>
    <row r="69" spans="1:7" ht="12.75">
      <c r="A69" s="74" t="s">
        <v>8</v>
      </c>
      <c r="B69" s="2" t="s">
        <v>36</v>
      </c>
      <c r="C69" s="9">
        <v>0</v>
      </c>
      <c r="D69" s="10"/>
      <c r="G69" s="208"/>
    </row>
    <row r="70" spans="1:7" ht="12.75">
      <c r="A70" s="75" t="s">
        <v>607</v>
      </c>
      <c r="B70" s="75"/>
      <c r="C70" s="76"/>
      <c r="D70" s="75"/>
      <c r="E70" s="75"/>
      <c r="F70" s="75"/>
      <c r="G70" s="75"/>
    </row>
    <row r="71" spans="1:3" ht="12.75">
      <c r="A71" s="74" t="s">
        <v>8</v>
      </c>
      <c r="B71" t="s">
        <v>37</v>
      </c>
      <c r="C71" s="11">
        <v>-0.11</v>
      </c>
    </row>
    <row r="72" spans="1:3" ht="12.75">
      <c r="A72" s="74" t="s">
        <v>8</v>
      </c>
      <c r="B72" t="s">
        <v>38</v>
      </c>
      <c r="C72" s="11">
        <v>0</v>
      </c>
    </row>
    <row r="73" spans="1:3" ht="12.75">
      <c r="A73" s="74" t="s">
        <v>8</v>
      </c>
      <c r="B73" t="s">
        <v>39</v>
      </c>
      <c r="C73" s="11">
        <v>-0.045</v>
      </c>
    </row>
    <row r="74" spans="1:3" ht="12.75">
      <c r="A74" s="74" t="s">
        <v>8</v>
      </c>
      <c r="B74" t="s">
        <v>40</v>
      </c>
      <c r="C74" s="11">
        <v>-0.027</v>
      </c>
    </row>
    <row r="75" spans="1:7" ht="12.75">
      <c r="A75" s="74" t="s">
        <v>8</v>
      </c>
      <c r="B75" t="s">
        <v>41</v>
      </c>
      <c r="C75" s="11">
        <v>-0.003</v>
      </c>
      <c r="G75" s="208"/>
    </row>
    <row r="76" spans="1:7" ht="12.75">
      <c r="A76" s="75" t="s">
        <v>607</v>
      </c>
      <c r="B76" s="75"/>
      <c r="C76" s="76"/>
      <c r="D76" s="75"/>
      <c r="E76" s="75"/>
      <c r="F76" s="75"/>
      <c r="G76" s="75"/>
    </row>
    <row r="77" spans="1:3" ht="12.75">
      <c r="A77" s="74" t="s">
        <v>8</v>
      </c>
      <c r="B77" t="s">
        <v>42</v>
      </c>
      <c r="C77" s="11">
        <v>0.16</v>
      </c>
    </row>
    <row r="78" spans="1:3" ht="12.75">
      <c r="A78" s="74" t="s">
        <v>8</v>
      </c>
      <c r="B78" t="s">
        <v>43</v>
      </c>
      <c r="C78" s="11">
        <v>0.07</v>
      </c>
    </row>
    <row r="79" spans="1:7" ht="12.75">
      <c r="A79" s="74" t="s">
        <v>8</v>
      </c>
      <c r="B79" t="s">
        <v>44</v>
      </c>
      <c r="C79" s="11">
        <v>0.01</v>
      </c>
      <c r="G79" s="208"/>
    </row>
    <row r="80" spans="1:7" ht="12.75">
      <c r="A80" s="75" t="s">
        <v>607</v>
      </c>
      <c r="B80" s="75"/>
      <c r="C80" s="76"/>
      <c r="D80" s="75"/>
      <c r="E80" s="75"/>
      <c r="F80" s="75"/>
      <c r="G80" s="75"/>
    </row>
    <row r="81" spans="1:3" ht="12.75">
      <c r="A81" s="74" t="s">
        <v>8</v>
      </c>
      <c r="B81" t="s">
        <v>45</v>
      </c>
      <c r="C81" s="11">
        <v>0.035</v>
      </c>
    </row>
    <row r="82" spans="1:3" ht="12.75">
      <c r="A82" s="74" t="s">
        <v>8</v>
      </c>
      <c r="B82" t="s">
        <v>46</v>
      </c>
      <c r="C82" s="11">
        <v>0.006</v>
      </c>
    </row>
    <row r="83" spans="1:7" ht="12.75">
      <c r="A83" s="74" t="s">
        <v>8</v>
      </c>
      <c r="B83" t="s">
        <v>47</v>
      </c>
      <c r="C83" s="11">
        <v>0.054</v>
      </c>
      <c r="G83" s="208"/>
    </row>
    <row r="84" spans="1:7" ht="12.75">
      <c r="A84" s="75" t="s">
        <v>607</v>
      </c>
      <c r="B84" s="75"/>
      <c r="C84" s="76"/>
      <c r="D84" s="75"/>
      <c r="E84" s="75"/>
      <c r="F84" s="75"/>
      <c r="G84" s="75"/>
    </row>
    <row r="85" spans="1:7" ht="12.75">
      <c r="A85" s="74" t="s">
        <v>8</v>
      </c>
      <c r="B85" t="s">
        <v>48</v>
      </c>
      <c r="C85" s="4">
        <v>0.5</v>
      </c>
      <c r="G85" s="208"/>
    </row>
    <row r="86" spans="1:7" ht="12.75">
      <c r="A86" s="75" t="s">
        <v>607</v>
      </c>
      <c r="B86" s="75"/>
      <c r="C86" s="76"/>
      <c r="D86" s="75"/>
      <c r="E86" s="75"/>
      <c r="F86" s="75"/>
      <c r="G86" s="75"/>
    </row>
    <row r="87" spans="1:5" ht="12.75">
      <c r="A87" s="74" t="s">
        <v>8</v>
      </c>
      <c r="B87" s="74" t="s">
        <v>623</v>
      </c>
      <c r="C87" s="8">
        <v>0</v>
      </c>
      <c r="E87" s="8"/>
    </row>
    <row r="88" spans="1:5" ht="12.75">
      <c r="A88" s="74" t="s">
        <v>8</v>
      </c>
      <c r="B88" s="74" t="s">
        <v>624</v>
      </c>
      <c r="C88" s="8">
        <v>0</v>
      </c>
      <c r="E88" s="8"/>
    </row>
    <row r="89" spans="1:6" ht="12.75">
      <c r="A89" s="74" t="s">
        <v>8</v>
      </c>
      <c r="B89" s="74" t="s">
        <v>625</v>
      </c>
      <c r="C89" s="100">
        <v>0</v>
      </c>
      <c r="E89" s="8"/>
      <c r="F89" s="8">
        <f>+C89</f>
        <v>0</v>
      </c>
    </row>
    <row r="90" spans="1:5" ht="12.75">
      <c r="A90" s="74" t="s">
        <v>8</v>
      </c>
      <c r="B90" s="74" t="s">
        <v>626</v>
      </c>
      <c r="C90" s="8">
        <v>0</v>
      </c>
      <c r="E90" s="8"/>
    </row>
    <row r="91" spans="1:5" ht="12.75">
      <c r="A91" s="74" t="s">
        <v>8</v>
      </c>
      <c r="B91" s="74" t="s">
        <v>654</v>
      </c>
      <c r="C91" s="8">
        <v>0</v>
      </c>
      <c r="E91" s="8"/>
    </row>
    <row r="92" spans="1:5" ht="12.75">
      <c r="A92" s="74" t="s">
        <v>8</v>
      </c>
      <c r="B92" s="74" t="s">
        <v>656</v>
      </c>
      <c r="C92" s="8">
        <f>C91/2</f>
        <v>0</v>
      </c>
      <c r="E92" s="8"/>
    </row>
    <row r="93" spans="1:5" ht="12.75">
      <c r="A93" s="74"/>
      <c r="B93" s="74"/>
      <c r="C93" s="8"/>
      <c r="E93" s="8"/>
    </row>
    <row r="94" spans="1:9" ht="12.75">
      <c r="A94" s="74" t="s">
        <v>4</v>
      </c>
      <c r="B94" s="74" t="s">
        <v>611</v>
      </c>
      <c r="C94" s="8">
        <v>28478.14</v>
      </c>
      <c r="F94" s="8">
        <f aca="true" t="shared" si="0" ref="F94:F95">C94</f>
        <v>28478.14</v>
      </c>
      <c r="G94" s="174">
        <v>7582.51</v>
      </c>
      <c r="I94" s="174"/>
    </row>
    <row r="95" spans="1:9" ht="12.75">
      <c r="A95" s="74" t="s">
        <v>4</v>
      </c>
      <c r="B95" s="74" t="s">
        <v>817</v>
      </c>
      <c r="C95" s="8">
        <v>34173.77</v>
      </c>
      <c r="F95" s="8">
        <f t="shared" si="0"/>
        <v>34173.77</v>
      </c>
      <c r="G95" s="174">
        <v>9099.01</v>
      </c>
      <c r="I95" s="174"/>
    </row>
    <row r="96" spans="1:9" ht="12.75">
      <c r="A96" s="74" t="s">
        <v>4</v>
      </c>
      <c r="B96" s="74" t="s">
        <v>612</v>
      </c>
      <c r="C96" s="8">
        <v>56956.28</v>
      </c>
      <c r="F96" s="8">
        <f>C96</f>
        <v>56956.28</v>
      </c>
      <c r="G96" s="174">
        <v>15165.02</v>
      </c>
      <c r="I96" s="174"/>
    </row>
    <row r="97" spans="1:9" ht="12.75">
      <c r="A97" s="74" t="s">
        <v>4</v>
      </c>
      <c r="B97" s="74" t="s">
        <v>613</v>
      </c>
      <c r="C97" s="8">
        <v>1324.67</v>
      </c>
      <c r="F97" s="8">
        <f aca="true" t="shared" si="1" ref="F97:F99">C97</f>
        <v>1324.67</v>
      </c>
      <c r="G97" s="174">
        <v>335.93</v>
      </c>
      <c r="I97" s="174"/>
    </row>
    <row r="98" spans="1:9" ht="12.75">
      <c r="A98" s="74" t="s">
        <v>4</v>
      </c>
      <c r="B98" s="74" t="s">
        <v>655</v>
      </c>
      <c r="C98" s="8">
        <v>2847.81</v>
      </c>
      <c r="F98" s="8">
        <f t="shared" si="1"/>
        <v>2847.81</v>
      </c>
      <c r="G98" s="174">
        <v>758.26</v>
      </c>
      <c r="I98" s="174"/>
    </row>
    <row r="99" spans="1:9" ht="12.75">
      <c r="A99" s="74" t="s">
        <v>4</v>
      </c>
      <c r="B99" s="74" t="s">
        <v>657</v>
      </c>
      <c r="C99" s="8">
        <v>1423.905</v>
      </c>
      <c r="D99">
        <f>131.72/1.3*1.4</f>
        <v>141.85230769230768</v>
      </c>
      <c r="F99" s="8">
        <f t="shared" si="1"/>
        <v>1423.905</v>
      </c>
      <c r="G99" s="174">
        <v>379.13</v>
      </c>
      <c r="I99" s="174"/>
    </row>
    <row r="100" spans="2:3" ht="12.75">
      <c r="B100" s="74" t="s">
        <v>627</v>
      </c>
      <c r="C100" s="8">
        <v>-554.86</v>
      </c>
    </row>
    <row r="101" spans="2:3" ht="12.75">
      <c r="B101" t="s">
        <v>617</v>
      </c>
      <c r="C101" s="8">
        <v>-550</v>
      </c>
    </row>
    <row r="102" ht="12.75">
      <c r="D102">
        <f>+C99*1.1</f>
        <v>1566.2955000000002</v>
      </c>
    </row>
  </sheetData>
  <autoFilter ref="A1:J95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32"/>
  <sheetViews>
    <sheetView showGridLines="0" tabSelected="1" zoomScale="130" zoomScaleNormal="130" zoomScaleSheetLayoutView="100" workbookViewId="0" topLeftCell="A1">
      <pane xSplit="4" ySplit="7" topLeftCell="F8" activePane="bottomRight" state="frozen"/>
      <selection pane="topRight" activeCell="U1" sqref="U1"/>
      <selection pane="bottomLeft" activeCell="A69" sqref="A69"/>
      <selection pane="bottomRight" activeCell="H4" sqref="H4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5.7109375" style="111" customWidth="1"/>
    <col min="5" max="5" width="4.8515625" style="194" hidden="1" customWidth="1"/>
    <col min="6" max="6" width="8.140625" style="128" customWidth="1"/>
    <col min="7" max="7" width="5.140625" style="195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6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6.8515625" style="107" customWidth="1"/>
    <col min="16" max="16" width="7.00390625" style="107" customWidth="1"/>
    <col min="17" max="17" width="7.140625" style="107" customWidth="1"/>
    <col min="18" max="18" width="8.57421875" style="107" customWidth="1"/>
    <col min="19" max="19" width="8.710937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28125" style="107" customWidth="1"/>
    <col min="31" max="31" width="4.421875" style="115" hidden="1" customWidth="1"/>
    <col min="32" max="32" width="6.140625" style="107" customWidth="1"/>
    <col min="33" max="33" width="8.140625" style="107" customWidth="1"/>
    <col min="34" max="34" width="7.8515625" style="107" customWidth="1"/>
    <col min="35" max="35" width="9.421875" style="107" hidden="1" customWidth="1"/>
    <col min="36" max="36" width="9.421875" style="109" hidden="1" customWidth="1"/>
    <col min="37" max="37" width="7.7109375" style="109" hidden="1" customWidth="1"/>
    <col min="38" max="38" width="8.28125" style="109" customWidth="1"/>
    <col min="39" max="39" width="7.28125" style="107" customWidth="1"/>
    <col min="40" max="40" width="8.421875" style="107" customWidth="1"/>
    <col min="41" max="41" width="6.7109375" style="107" customWidth="1"/>
    <col min="42" max="42" width="7.421875" style="107" customWidth="1"/>
    <col min="43" max="43" width="9.00390625" style="107" customWidth="1"/>
    <col min="44" max="44" width="10.8515625" style="107" customWidth="1"/>
    <col min="45" max="46" width="9.7109375" style="108" customWidth="1"/>
    <col min="47" max="47" width="9.7109375" style="107" customWidth="1"/>
    <col min="48" max="49" width="9.7109375" style="108" customWidth="1"/>
    <col min="50" max="50" width="5.00390625" style="105" hidden="1" customWidth="1"/>
    <col min="51" max="51" width="3.7109375" style="105" hidden="1" customWidth="1"/>
    <col min="52" max="52" width="3.421875" style="110" hidden="1" customWidth="1"/>
    <col min="53" max="53" width="9.8515625" style="111" customWidth="1"/>
    <col min="54" max="1020" width="11.421875" style="111" customWidth="1"/>
    <col min="1021" max="16384" width="9.140625" style="112" customWidth="1"/>
  </cols>
  <sheetData>
    <row r="1" spans="1:40" ht="35.25" customHeight="1">
      <c r="A1" s="214" t="str">
        <f ca="1">CONCATENATE(Valores!M16,"  ",Valores!M15)</f>
        <v>JULIO  2023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106"/>
      <c r="AN1" s="106"/>
    </row>
    <row r="2" spans="1:52" ht="11.25" customHeight="1">
      <c r="A2" s="134" t="s">
        <v>49</v>
      </c>
      <c r="B2" s="134"/>
      <c r="C2" s="187"/>
      <c r="D2" s="134"/>
      <c r="E2" s="190"/>
      <c r="F2" s="132">
        <v>0</v>
      </c>
      <c r="G2" s="231"/>
      <c r="H2" s="138">
        <f>LOOKUP(F2,Valores!I:I,Valores!J:J)</f>
        <v>0</v>
      </c>
      <c r="I2" s="232"/>
      <c r="J2" s="233"/>
      <c r="K2" s="234"/>
      <c r="L2" s="235"/>
      <c r="M2" s="178">
        <v>0.15</v>
      </c>
      <c r="N2" s="177"/>
      <c r="AJ2" s="107"/>
      <c r="AK2" s="107"/>
      <c r="AL2" s="216"/>
      <c r="AZ2" s="116">
        <f>(((F139+S139)*1.15)+O139+P139+Q139+AA139+AD139)*0.05</f>
        <v>6973.443075</v>
      </c>
    </row>
    <row r="3" spans="1:49" ht="11.25" customHeight="1">
      <c r="A3" s="134" t="s">
        <v>51</v>
      </c>
      <c r="B3" s="134"/>
      <c r="C3" s="187"/>
      <c r="D3" s="134"/>
      <c r="E3" s="190"/>
      <c r="F3" s="133" t="s">
        <v>8</v>
      </c>
      <c r="G3" s="236" t="s">
        <v>50</v>
      </c>
      <c r="H3" s="236"/>
      <c r="I3" s="237">
        <f>Valores!C2</f>
        <v>40.6818</v>
      </c>
      <c r="J3" s="237"/>
      <c r="K3" s="238"/>
      <c r="L3" s="176" t="e">
        <f>VLOOKUP(K3,Valores!L17:M28,2,)</f>
        <v>#N/A</v>
      </c>
      <c r="M3" s="175"/>
      <c r="N3" s="176"/>
      <c r="O3" s="221" t="s">
        <v>816</v>
      </c>
      <c r="P3" s="221"/>
      <c r="Q3" s="221"/>
      <c r="R3" s="221"/>
      <c r="S3" s="221"/>
      <c r="T3" s="221"/>
      <c r="U3" s="221"/>
      <c r="V3" s="221"/>
      <c r="AJ3" s="117" t="s">
        <v>4</v>
      </c>
      <c r="AK3" s="118"/>
      <c r="AL3" s="216"/>
      <c r="AM3" s="117" t="s">
        <v>4</v>
      </c>
      <c r="AN3" s="118"/>
      <c r="AO3" s="119">
        <f>Valores!C2</f>
        <v>40.6818</v>
      </c>
      <c r="AP3" s="120"/>
      <c r="AQ3" s="120"/>
      <c r="AR3" s="120"/>
      <c r="AS3" s="121"/>
      <c r="AT3" s="121"/>
      <c r="AU3" s="120"/>
      <c r="AV3" s="121"/>
      <c r="AW3" s="121"/>
    </row>
    <row r="4" spans="1:49" ht="11.25" customHeight="1">
      <c r="A4" s="218" t="s">
        <v>620</v>
      </c>
      <c r="B4" s="219"/>
      <c r="C4" s="219"/>
      <c r="D4" s="220"/>
      <c r="E4" s="190"/>
      <c r="F4" s="133" t="s">
        <v>8</v>
      </c>
      <c r="AI4" s="74"/>
      <c r="AL4" s="122"/>
      <c r="AM4" s="117" t="s">
        <v>8</v>
      </c>
      <c r="AN4" s="118"/>
      <c r="AO4" s="120"/>
      <c r="AP4" s="120"/>
      <c r="AQ4" s="120"/>
      <c r="AR4" s="120"/>
      <c r="AS4" s="121"/>
      <c r="AT4" s="121"/>
      <c r="AU4" s="120"/>
      <c r="AV4" s="121"/>
      <c r="AW4" s="121"/>
    </row>
    <row r="5" spans="1:49" ht="11.25" customHeight="1">
      <c r="A5" s="218" t="s">
        <v>615</v>
      </c>
      <c r="B5" s="219"/>
      <c r="C5" s="219"/>
      <c r="D5" s="220"/>
      <c r="E5" s="190"/>
      <c r="F5" s="160">
        <v>0</v>
      </c>
      <c r="AL5" s="122"/>
      <c r="AM5" s="117"/>
      <c r="AN5" s="118"/>
      <c r="AO5" s="120"/>
      <c r="AP5" s="120"/>
      <c r="AQ5" s="120"/>
      <c r="AR5" s="120"/>
      <c r="AS5" s="121"/>
      <c r="AT5" s="121"/>
      <c r="AU5" s="120"/>
      <c r="AV5" s="121"/>
      <c r="AW5" s="121"/>
    </row>
    <row r="6" spans="1:1020" s="146" customFormat="1" ht="37.5" customHeight="1">
      <c r="A6" s="182"/>
      <c r="B6" s="183"/>
      <c r="C6" s="183"/>
      <c r="D6" s="182"/>
      <c r="E6" s="222" t="s">
        <v>52</v>
      </c>
      <c r="F6" s="223"/>
      <c r="G6" s="224" t="s">
        <v>53</v>
      </c>
      <c r="H6" s="224"/>
      <c r="I6" s="225" t="s">
        <v>54</v>
      </c>
      <c r="J6" s="225"/>
      <c r="K6" s="217" t="s">
        <v>55</v>
      </c>
      <c r="L6" s="217"/>
      <c r="M6" s="149" t="s">
        <v>56</v>
      </c>
      <c r="N6" s="150" t="s">
        <v>57</v>
      </c>
      <c r="O6" s="149" t="s">
        <v>58</v>
      </c>
      <c r="P6" s="168" t="str">
        <f>CONCATENATE("Est. Doc (tope ",TEXT(Valores!D5,"$0.000,00"),")")</f>
        <v>Est. Doc (tope $20.796,54)</v>
      </c>
      <c r="Q6" s="149" t="s">
        <v>59</v>
      </c>
      <c r="R6" s="168" t="str">
        <f>CONCATENATE("Gtos. Inh. Lab. Doc. (tope ",TEXT(Valores!F46,"$0.000,00"),")")</f>
        <v>Gtos. Inh. Lab. Doc. (tope $25.255,73)</v>
      </c>
      <c r="S6" s="150" t="s">
        <v>60</v>
      </c>
      <c r="T6" s="149" t="s">
        <v>60</v>
      </c>
      <c r="U6" s="149" t="s">
        <v>61</v>
      </c>
      <c r="V6" s="149" t="s">
        <v>62</v>
      </c>
      <c r="W6" s="226" t="s">
        <v>63</v>
      </c>
      <c r="X6" s="226"/>
      <c r="Y6" s="149" t="s">
        <v>64</v>
      </c>
      <c r="Z6" s="158" t="str">
        <f>CONCATENATE("Bonif. Compensatoria Rem. (tope ",TEXT(Valores!F96,"$0.000,00"),")")</f>
        <v>Bonif. Compensatoria Rem. (tope $56.956,28)</v>
      </c>
      <c r="AA6" s="158" t="str">
        <f>CONCATENATE("Ad R Doc (tope ",TEXT(Valores!F25,"$0,00"),")")</f>
        <v>Ad R Doc (tope $1276,59)</v>
      </c>
      <c r="AB6" s="158" t="s">
        <v>695</v>
      </c>
      <c r="AC6" s="149" t="s">
        <v>65</v>
      </c>
      <c r="AD6" s="157" t="str">
        <f>CONCATENATE("Nuevo  A.R.D. (tope ",TEXT(Valores!F26,"$0,00"),")")</f>
        <v>Nuevo  A.R.D. (tope $850,59)</v>
      </c>
      <c r="AE6" s="217" t="s">
        <v>66</v>
      </c>
      <c r="AF6" s="217"/>
      <c r="AG6" s="157" t="str">
        <f>CONCATENATE("Ap Mat Did Rem. (tope ",TEXT(Valores!F63,"$0.000,00"),")")</f>
        <v>Ap Mat Did Rem. (tope $19.448,94)</v>
      </c>
      <c r="AH6" s="149" t="s">
        <v>67</v>
      </c>
      <c r="AI6" s="157" t="str">
        <f>CONCATENATE("Corrección Pauta Salarial sobre FONID (tope ",TEXT(Valores!F32,"$0,00"),")")</f>
        <v>Corrección Pauta Salarial sobre FONID (tope $0,00)</v>
      </c>
      <c r="AJ6" s="157" t="str">
        <f>CONCATENATE("Bonif. Compensatoria No Rem. (tope ",TEXT(Valores!C89,"$0,00"),")")</f>
        <v>Bonif. Compensatoria No Rem. (tope $0,00)</v>
      </c>
      <c r="AK6" s="157" t="str">
        <f>CONCATENATE("Adic Extr. (tope ",TEXT(Valores!F38,"$0.000,00"),")")</f>
        <v>Adic Extr. (tope $0.000,00)</v>
      </c>
      <c r="AL6" s="158" t="str">
        <f>CONCATENATE("Adel Inc Docente (tope ",TEXT(Valores!C55,"$0,00"),")")</f>
        <v>Adel Inc Docente (tope $327,60)</v>
      </c>
      <c r="AM6" s="149" t="s">
        <v>68</v>
      </c>
      <c r="AN6" s="151" t="s">
        <v>69</v>
      </c>
      <c r="AO6" s="151" t="s">
        <v>70</v>
      </c>
      <c r="AP6" s="151" t="s">
        <v>71</v>
      </c>
      <c r="AQ6" s="151" t="s">
        <v>616</v>
      </c>
      <c r="AR6" s="151" t="s">
        <v>617</v>
      </c>
      <c r="AS6" s="151" t="s">
        <v>72</v>
      </c>
      <c r="AT6" s="151" t="str">
        <f>AN6</f>
        <v>Ap Pers Jub</v>
      </c>
      <c r="AU6" s="151" t="s">
        <v>40</v>
      </c>
      <c r="AV6" s="151" t="s">
        <v>41</v>
      </c>
      <c r="AW6" s="151" t="s">
        <v>628</v>
      </c>
      <c r="AX6" s="151" t="s">
        <v>73</v>
      </c>
      <c r="AY6" s="151" t="s">
        <v>74</v>
      </c>
      <c r="AZ6" s="151" t="s">
        <v>75</v>
      </c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  <c r="IW6" s="144"/>
      <c r="IX6" s="144"/>
      <c r="IY6" s="144"/>
      <c r="IZ6" s="144"/>
      <c r="JA6" s="144"/>
      <c r="JB6" s="144"/>
      <c r="JC6" s="144"/>
      <c r="JD6" s="144"/>
      <c r="JE6" s="144"/>
      <c r="JF6" s="144"/>
      <c r="JG6" s="144"/>
      <c r="JH6" s="144"/>
      <c r="JI6" s="144"/>
      <c r="JJ6" s="144"/>
      <c r="JK6" s="144"/>
      <c r="JL6" s="144"/>
      <c r="JM6" s="144"/>
      <c r="JN6" s="144"/>
      <c r="JO6" s="144"/>
      <c r="JP6" s="144"/>
      <c r="JQ6" s="144"/>
      <c r="JR6" s="144"/>
      <c r="JS6" s="144"/>
      <c r="JT6" s="144"/>
      <c r="JU6" s="144"/>
      <c r="JV6" s="144"/>
      <c r="JW6" s="144"/>
      <c r="JX6" s="144"/>
      <c r="JY6" s="144"/>
      <c r="JZ6" s="144"/>
      <c r="KA6" s="144"/>
      <c r="KB6" s="144"/>
      <c r="KC6" s="144"/>
      <c r="KD6" s="144"/>
      <c r="KE6" s="144"/>
      <c r="KF6" s="144"/>
      <c r="KG6" s="144"/>
      <c r="KH6" s="144"/>
      <c r="KI6" s="144"/>
      <c r="KJ6" s="144"/>
      <c r="KK6" s="144"/>
      <c r="KL6" s="144"/>
      <c r="KM6" s="144"/>
      <c r="KN6" s="144"/>
      <c r="KO6" s="144"/>
      <c r="KP6" s="144"/>
      <c r="KQ6" s="144"/>
      <c r="KR6" s="144"/>
      <c r="KS6" s="144"/>
      <c r="KT6" s="144"/>
      <c r="KU6" s="144"/>
      <c r="KV6" s="144"/>
      <c r="KW6" s="144"/>
      <c r="KX6" s="144"/>
      <c r="KY6" s="144"/>
      <c r="KZ6" s="144"/>
      <c r="LA6" s="144"/>
      <c r="LB6" s="144"/>
      <c r="LC6" s="144"/>
      <c r="LD6" s="144"/>
      <c r="LE6" s="144"/>
      <c r="LF6" s="144"/>
      <c r="LG6" s="144"/>
      <c r="LH6" s="144"/>
      <c r="LI6" s="144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144"/>
      <c r="ME6" s="144"/>
      <c r="MF6" s="144"/>
      <c r="MG6" s="144"/>
      <c r="MH6" s="144"/>
      <c r="MI6" s="144"/>
      <c r="MJ6" s="144"/>
      <c r="MK6" s="144"/>
      <c r="ML6" s="144"/>
      <c r="MM6" s="144"/>
      <c r="MN6" s="144"/>
      <c r="MO6" s="144"/>
      <c r="MP6" s="144"/>
      <c r="MQ6" s="144"/>
      <c r="MR6" s="144"/>
      <c r="MS6" s="144"/>
      <c r="MT6" s="144"/>
      <c r="MU6" s="144"/>
      <c r="MV6" s="144"/>
      <c r="MW6" s="144"/>
      <c r="MX6" s="144"/>
      <c r="MY6" s="144"/>
      <c r="MZ6" s="144"/>
      <c r="NA6" s="144"/>
      <c r="NB6" s="144"/>
      <c r="NC6" s="144"/>
      <c r="ND6" s="144"/>
      <c r="NE6" s="144"/>
      <c r="NF6" s="144"/>
      <c r="NG6" s="144"/>
      <c r="NH6" s="144"/>
      <c r="NI6" s="144"/>
      <c r="NJ6" s="144"/>
      <c r="NK6" s="144"/>
      <c r="NL6" s="144"/>
      <c r="NM6" s="144"/>
      <c r="NN6" s="144"/>
      <c r="NO6" s="144"/>
      <c r="NP6" s="144"/>
      <c r="NQ6" s="144"/>
      <c r="NR6" s="144"/>
      <c r="NS6" s="144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144"/>
      <c r="OO6" s="144"/>
      <c r="OP6" s="144"/>
      <c r="OQ6" s="144"/>
      <c r="OR6" s="144"/>
      <c r="OS6" s="144"/>
      <c r="OT6" s="144"/>
      <c r="OU6" s="144"/>
      <c r="OV6" s="144"/>
      <c r="OW6" s="144"/>
      <c r="OX6" s="144"/>
      <c r="OY6" s="144"/>
      <c r="OZ6" s="144"/>
      <c r="PA6" s="144"/>
      <c r="PB6" s="144"/>
      <c r="PC6" s="144"/>
      <c r="PD6" s="144"/>
      <c r="PE6" s="144"/>
      <c r="PF6" s="144"/>
      <c r="PG6" s="144"/>
      <c r="PH6" s="144"/>
      <c r="PI6" s="144"/>
      <c r="PJ6" s="144"/>
      <c r="PK6" s="144"/>
      <c r="PL6" s="144"/>
      <c r="PM6" s="144"/>
      <c r="PN6" s="144"/>
      <c r="PO6" s="144"/>
      <c r="PP6" s="144"/>
      <c r="PQ6" s="144"/>
      <c r="PR6" s="144"/>
      <c r="PS6" s="144"/>
      <c r="PT6" s="144"/>
      <c r="PU6" s="144"/>
      <c r="PV6" s="144"/>
      <c r="PW6" s="144"/>
      <c r="PX6" s="144"/>
      <c r="PY6" s="144"/>
      <c r="PZ6" s="144"/>
      <c r="QA6" s="144"/>
      <c r="QB6" s="144"/>
      <c r="QC6" s="144"/>
      <c r="QD6" s="144"/>
      <c r="QE6" s="144"/>
      <c r="QF6" s="144"/>
      <c r="QG6" s="144"/>
      <c r="QH6" s="144"/>
      <c r="QI6" s="144"/>
      <c r="QJ6" s="144"/>
      <c r="QK6" s="144"/>
      <c r="QL6" s="144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144"/>
      <c r="QX6" s="144"/>
      <c r="QY6" s="144"/>
      <c r="QZ6" s="144"/>
      <c r="RA6" s="144"/>
      <c r="RB6" s="144"/>
      <c r="RC6" s="144"/>
      <c r="RD6" s="144"/>
      <c r="RE6" s="144"/>
      <c r="RF6" s="144"/>
      <c r="RG6" s="144"/>
      <c r="RH6" s="144"/>
      <c r="RI6" s="144"/>
      <c r="RJ6" s="144"/>
      <c r="RK6" s="144"/>
      <c r="RL6" s="144"/>
      <c r="RM6" s="144"/>
      <c r="RN6" s="144"/>
      <c r="RO6" s="144"/>
      <c r="RP6" s="144"/>
      <c r="RQ6" s="144"/>
      <c r="RR6" s="144"/>
      <c r="RS6" s="144"/>
      <c r="RT6" s="144"/>
      <c r="RU6" s="144"/>
      <c r="RV6" s="144"/>
      <c r="RW6" s="144"/>
      <c r="RX6" s="144"/>
      <c r="RY6" s="144"/>
      <c r="RZ6" s="144"/>
      <c r="SA6" s="144"/>
      <c r="SB6" s="144"/>
      <c r="SC6" s="144"/>
      <c r="SD6" s="144"/>
      <c r="SE6" s="144"/>
      <c r="SF6" s="144"/>
      <c r="SG6" s="144"/>
      <c r="SH6" s="144"/>
      <c r="SI6" s="144"/>
      <c r="SJ6" s="144"/>
      <c r="SK6" s="144"/>
      <c r="SL6" s="144"/>
      <c r="SM6" s="144"/>
      <c r="SN6" s="144"/>
      <c r="SO6" s="144"/>
      <c r="SP6" s="144"/>
      <c r="SQ6" s="144"/>
      <c r="SR6" s="144"/>
      <c r="SS6" s="144"/>
      <c r="ST6" s="144"/>
      <c r="SU6" s="144"/>
      <c r="SV6" s="144"/>
      <c r="SW6" s="144"/>
      <c r="SX6" s="144"/>
      <c r="SY6" s="144"/>
      <c r="SZ6" s="144"/>
      <c r="TA6" s="144"/>
      <c r="TB6" s="144"/>
      <c r="TC6" s="144"/>
      <c r="TD6" s="144"/>
      <c r="TE6" s="144"/>
      <c r="TF6" s="144"/>
      <c r="TG6" s="144"/>
      <c r="TH6" s="144"/>
      <c r="TI6" s="144"/>
      <c r="TJ6" s="144"/>
      <c r="TK6" s="144"/>
      <c r="TL6" s="144"/>
      <c r="TM6" s="144"/>
      <c r="TN6" s="144"/>
      <c r="TO6" s="144"/>
      <c r="TP6" s="144"/>
      <c r="TQ6" s="144"/>
      <c r="TR6" s="144"/>
      <c r="TS6" s="144"/>
      <c r="TT6" s="144"/>
      <c r="TU6" s="144"/>
      <c r="TV6" s="144"/>
      <c r="TW6" s="144"/>
      <c r="TX6" s="144"/>
      <c r="TY6" s="144"/>
      <c r="TZ6" s="144"/>
      <c r="UA6" s="144"/>
      <c r="UB6" s="144"/>
      <c r="UC6" s="144"/>
      <c r="UD6" s="144"/>
      <c r="UE6" s="144"/>
      <c r="UF6" s="144"/>
      <c r="UG6" s="144"/>
      <c r="UH6" s="144"/>
      <c r="UI6" s="144"/>
      <c r="UJ6" s="144"/>
      <c r="UK6" s="144"/>
      <c r="UL6" s="144"/>
      <c r="UM6" s="144"/>
      <c r="UN6" s="144"/>
      <c r="UO6" s="144"/>
      <c r="UP6" s="144"/>
      <c r="UQ6" s="144"/>
      <c r="UR6" s="144"/>
      <c r="US6" s="144"/>
      <c r="UT6" s="144"/>
      <c r="UU6" s="144"/>
      <c r="UV6" s="144"/>
      <c r="UW6" s="144"/>
      <c r="UX6" s="144"/>
      <c r="UY6" s="144"/>
      <c r="UZ6" s="144"/>
      <c r="VA6" s="144"/>
      <c r="VB6" s="144"/>
      <c r="VC6" s="144"/>
      <c r="VD6" s="144"/>
      <c r="VE6" s="144"/>
      <c r="VF6" s="144"/>
      <c r="VG6" s="144"/>
      <c r="VH6" s="144"/>
      <c r="VI6" s="144"/>
      <c r="VJ6" s="144"/>
      <c r="VK6" s="144"/>
      <c r="VL6" s="144"/>
      <c r="VM6" s="144"/>
      <c r="VN6" s="144"/>
      <c r="VO6" s="144"/>
      <c r="VP6" s="144"/>
      <c r="VQ6" s="144"/>
      <c r="VR6" s="144"/>
      <c r="VS6" s="144"/>
      <c r="VT6" s="144"/>
      <c r="VU6" s="144"/>
      <c r="VV6" s="144"/>
      <c r="VW6" s="144"/>
      <c r="VX6" s="144"/>
      <c r="VY6" s="144"/>
      <c r="VZ6" s="144"/>
      <c r="WA6" s="144"/>
      <c r="WB6" s="144"/>
      <c r="WC6" s="144"/>
      <c r="WD6" s="144"/>
      <c r="WE6" s="144"/>
      <c r="WF6" s="144"/>
      <c r="WG6" s="144"/>
      <c r="WH6" s="144"/>
      <c r="WI6" s="144"/>
      <c r="WJ6" s="144"/>
      <c r="WK6" s="144"/>
      <c r="WL6" s="144"/>
      <c r="WM6" s="144"/>
      <c r="WN6" s="144"/>
      <c r="WO6" s="144"/>
      <c r="WP6" s="144"/>
      <c r="WQ6" s="144"/>
      <c r="WR6" s="144"/>
      <c r="WS6" s="144"/>
      <c r="WT6" s="144"/>
      <c r="WU6" s="144"/>
      <c r="WV6" s="144"/>
      <c r="WW6" s="144"/>
      <c r="WX6" s="144"/>
      <c r="WY6" s="144"/>
      <c r="WZ6" s="144"/>
      <c r="XA6" s="144"/>
      <c r="XB6" s="144"/>
      <c r="XC6" s="144"/>
      <c r="XD6" s="144"/>
      <c r="XE6" s="144"/>
      <c r="XF6" s="144"/>
      <c r="XG6" s="144"/>
      <c r="XH6" s="144"/>
      <c r="XI6" s="144"/>
      <c r="XJ6" s="144"/>
      <c r="XK6" s="144"/>
      <c r="XL6" s="144"/>
      <c r="XM6" s="144"/>
      <c r="XN6" s="144"/>
      <c r="XO6" s="144"/>
      <c r="XP6" s="144"/>
      <c r="XQ6" s="144"/>
      <c r="XR6" s="144"/>
      <c r="XS6" s="144"/>
      <c r="XT6" s="144"/>
      <c r="XU6" s="144"/>
      <c r="XV6" s="144"/>
      <c r="XW6" s="144"/>
      <c r="XX6" s="144"/>
      <c r="XY6" s="144"/>
      <c r="XZ6" s="144"/>
      <c r="YA6" s="144"/>
      <c r="YB6" s="144"/>
      <c r="YC6" s="144"/>
      <c r="YD6" s="144"/>
      <c r="YE6" s="144"/>
      <c r="YF6" s="144"/>
      <c r="YG6" s="144"/>
      <c r="YH6" s="144"/>
      <c r="YI6" s="144"/>
      <c r="YJ6" s="144"/>
      <c r="YK6" s="144"/>
      <c r="YL6" s="144"/>
      <c r="YM6" s="144"/>
      <c r="YN6" s="144"/>
      <c r="YO6" s="144"/>
      <c r="YP6" s="144"/>
      <c r="YQ6" s="144"/>
      <c r="YR6" s="144"/>
      <c r="YS6" s="144"/>
      <c r="YT6" s="144"/>
      <c r="YU6" s="144"/>
      <c r="YV6" s="144"/>
      <c r="YW6" s="144"/>
      <c r="YX6" s="144"/>
      <c r="YY6" s="144"/>
      <c r="YZ6" s="144"/>
      <c r="ZA6" s="144"/>
      <c r="ZB6" s="144"/>
      <c r="ZC6" s="144"/>
      <c r="ZD6" s="144"/>
      <c r="ZE6" s="144"/>
      <c r="ZF6" s="144"/>
      <c r="ZG6" s="144"/>
      <c r="ZH6" s="144"/>
      <c r="ZI6" s="144"/>
      <c r="ZJ6" s="144"/>
      <c r="ZK6" s="144"/>
      <c r="ZL6" s="144"/>
      <c r="ZM6" s="144"/>
      <c r="ZN6" s="144"/>
      <c r="ZO6" s="144"/>
      <c r="ZP6" s="144"/>
      <c r="ZQ6" s="144"/>
      <c r="ZR6" s="144"/>
      <c r="ZS6" s="144"/>
      <c r="ZT6" s="144"/>
      <c r="ZU6" s="144"/>
      <c r="ZV6" s="144"/>
      <c r="ZW6" s="144"/>
      <c r="ZX6" s="144"/>
      <c r="ZY6" s="144"/>
      <c r="ZZ6" s="144"/>
      <c r="AAA6" s="144"/>
      <c r="AAB6" s="144"/>
      <c r="AAC6" s="144"/>
      <c r="AAD6" s="144"/>
      <c r="AAE6" s="144"/>
      <c r="AAF6" s="144"/>
      <c r="AAG6" s="144"/>
      <c r="AAH6" s="144"/>
      <c r="AAI6" s="144"/>
      <c r="AAJ6" s="144"/>
      <c r="AAK6" s="144"/>
      <c r="AAL6" s="144"/>
      <c r="AAM6" s="144"/>
      <c r="AAN6" s="144"/>
      <c r="AAO6" s="144"/>
      <c r="AAP6" s="144"/>
      <c r="AAQ6" s="144"/>
      <c r="AAR6" s="144"/>
      <c r="AAS6" s="144"/>
      <c r="AAT6" s="144"/>
      <c r="AAU6" s="144"/>
      <c r="AAV6" s="144"/>
      <c r="AAW6" s="144"/>
      <c r="AAX6" s="144"/>
      <c r="AAY6" s="144"/>
      <c r="AAZ6" s="144"/>
      <c r="ABA6" s="144"/>
      <c r="ABB6" s="144"/>
      <c r="ABC6" s="144"/>
      <c r="ABD6" s="144"/>
      <c r="ABE6" s="144"/>
      <c r="ABF6" s="144"/>
      <c r="ABG6" s="144"/>
      <c r="ABH6" s="144"/>
      <c r="ABI6" s="144"/>
      <c r="ABJ6" s="144"/>
      <c r="ABK6" s="144"/>
      <c r="ABL6" s="144"/>
      <c r="ABM6" s="144"/>
      <c r="ABN6" s="144"/>
      <c r="ABO6" s="144"/>
      <c r="ABP6" s="144"/>
      <c r="ABQ6" s="144"/>
      <c r="ABR6" s="144"/>
      <c r="ABS6" s="144"/>
      <c r="ABT6" s="144"/>
      <c r="ABU6" s="144"/>
      <c r="ABV6" s="144"/>
      <c r="ABW6" s="144"/>
      <c r="ABX6" s="144"/>
      <c r="ABY6" s="144"/>
      <c r="ABZ6" s="144"/>
      <c r="ACA6" s="144"/>
      <c r="ACB6" s="144"/>
      <c r="ACC6" s="144"/>
      <c r="ACD6" s="144"/>
      <c r="ACE6" s="144"/>
      <c r="ACF6" s="144"/>
      <c r="ACG6" s="144"/>
      <c r="ACH6" s="144"/>
      <c r="ACI6" s="144"/>
      <c r="ACJ6" s="144"/>
      <c r="ACK6" s="144"/>
      <c r="ACL6" s="144"/>
      <c r="ACM6" s="144"/>
      <c r="ACN6" s="144"/>
      <c r="ACO6" s="144"/>
      <c r="ACP6" s="144"/>
      <c r="ACQ6" s="144"/>
      <c r="ACR6" s="144"/>
      <c r="ACS6" s="144"/>
      <c r="ACT6" s="144"/>
      <c r="ACU6" s="144"/>
      <c r="ACV6" s="144"/>
      <c r="ACW6" s="144"/>
      <c r="ACX6" s="144"/>
      <c r="ACY6" s="144"/>
      <c r="ACZ6" s="144"/>
      <c r="ADA6" s="144"/>
      <c r="ADB6" s="144"/>
      <c r="ADC6" s="144"/>
      <c r="ADD6" s="144"/>
      <c r="ADE6" s="144"/>
      <c r="ADF6" s="144"/>
      <c r="ADG6" s="144"/>
      <c r="ADH6" s="144"/>
      <c r="ADI6" s="144"/>
      <c r="ADJ6" s="144"/>
      <c r="ADK6" s="144"/>
      <c r="ADL6" s="144"/>
      <c r="ADM6" s="144"/>
      <c r="ADN6" s="144"/>
      <c r="ADO6" s="144"/>
      <c r="ADP6" s="144"/>
      <c r="ADQ6" s="144"/>
      <c r="ADR6" s="144"/>
      <c r="ADS6" s="144"/>
      <c r="ADT6" s="144"/>
      <c r="ADU6" s="144"/>
      <c r="ADV6" s="144"/>
      <c r="ADW6" s="144"/>
      <c r="ADX6" s="144"/>
      <c r="ADY6" s="144"/>
      <c r="ADZ6" s="144"/>
      <c r="AEA6" s="144"/>
      <c r="AEB6" s="144"/>
      <c r="AEC6" s="144"/>
      <c r="AED6" s="144"/>
      <c r="AEE6" s="144"/>
      <c r="AEF6" s="144"/>
      <c r="AEG6" s="144"/>
      <c r="AEH6" s="144"/>
      <c r="AEI6" s="144"/>
      <c r="AEJ6" s="144"/>
      <c r="AEK6" s="144"/>
      <c r="AEL6" s="144"/>
      <c r="AEM6" s="144"/>
      <c r="AEN6" s="144"/>
      <c r="AEO6" s="144"/>
      <c r="AEP6" s="144"/>
      <c r="AEQ6" s="144"/>
      <c r="AER6" s="144"/>
      <c r="AES6" s="144"/>
      <c r="AET6" s="144"/>
      <c r="AEU6" s="144"/>
      <c r="AEV6" s="144"/>
      <c r="AEW6" s="144"/>
      <c r="AEX6" s="144"/>
      <c r="AEY6" s="144"/>
      <c r="AEZ6" s="144"/>
      <c r="AFA6" s="144"/>
      <c r="AFB6" s="144"/>
      <c r="AFC6" s="144"/>
      <c r="AFD6" s="144"/>
      <c r="AFE6" s="144"/>
      <c r="AFF6" s="144"/>
      <c r="AFG6" s="144"/>
      <c r="AFH6" s="144"/>
      <c r="AFI6" s="144"/>
      <c r="AFJ6" s="144"/>
      <c r="AFK6" s="144"/>
      <c r="AFL6" s="144"/>
      <c r="AFM6" s="144"/>
      <c r="AFN6" s="144"/>
      <c r="AFO6" s="144"/>
      <c r="AFP6" s="144"/>
      <c r="AFQ6" s="144"/>
      <c r="AFR6" s="144"/>
      <c r="AFS6" s="144"/>
      <c r="AFT6" s="144"/>
      <c r="AFU6" s="144"/>
      <c r="AFV6" s="144"/>
      <c r="AFW6" s="144"/>
      <c r="AFX6" s="144"/>
      <c r="AFY6" s="144"/>
      <c r="AFZ6" s="144"/>
      <c r="AGA6" s="144"/>
      <c r="AGB6" s="144"/>
      <c r="AGC6" s="144"/>
      <c r="AGD6" s="144"/>
      <c r="AGE6" s="144"/>
      <c r="AGF6" s="144"/>
      <c r="AGG6" s="144"/>
      <c r="AGH6" s="144"/>
      <c r="AGI6" s="144"/>
      <c r="AGJ6" s="144"/>
      <c r="AGK6" s="144"/>
      <c r="AGL6" s="144"/>
      <c r="AGM6" s="144"/>
      <c r="AGN6" s="144"/>
      <c r="AGO6" s="144"/>
      <c r="AGP6" s="144"/>
      <c r="AGQ6" s="144"/>
      <c r="AGR6" s="144"/>
      <c r="AGS6" s="144"/>
      <c r="AGT6" s="144"/>
      <c r="AGU6" s="144"/>
      <c r="AGV6" s="144"/>
      <c r="AGW6" s="144"/>
      <c r="AGX6" s="144"/>
      <c r="AGY6" s="144"/>
      <c r="AGZ6" s="144"/>
      <c r="AHA6" s="144"/>
      <c r="AHB6" s="144"/>
      <c r="AHC6" s="144"/>
      <c r="AHD6" s="144"/>
      <c r="AHE6" s="144"/>
      <c r="AHF6" s="144"/>
      <c r="AHG6" s="144"/>
      <c r="AHH6" s="144"/>
      <c r="AHI6" s="144"/>
      <c r="AHJ6" s="144"/>
      <c r="AHK6" s="144"/>
      <c r="AHL6" s="144"/>
      <c r="AHM6" s="144"/>
      <c r="AHN6" s="144"/>
      <c r="AHO6" s="144"/>
      <c r="AHP6" s="144"/>
      <c r="AHQ6" s="144"/>
      <c r="AHR6" s="144"/>
      <c r="AHS6" s="144"/>
      <c r="AHT6" s="144"/>
      <c r="AHU6" s="144"/>
      <c r="AHV6" s="144"/>
      <c r="AHW6" s="144"/>
      <c r="AHX6" s="144"/>
      <c r="AHY6" s="144"/>
      <c r="AHZ6" s="144"/>
      <c r="AIA6" s="144"/>
      <c r="AIB6" s="144"/>
      <c r="AIC6" s="144"/>
      <c r="AID6" s="144"/>
      <c r="AIE6" s="144"/>
      <c r="AIF6" s="144"/>
      <c r="AIG6" s="144"/>
      <c r="AIH6" s="144"/>
      <c r="AII6" s="144"/>
      <c r="AIJ6" s="144"/>
      <c r="AIK6" s="144"/>
      <c r="AIL6" s="144"/>
      <c r="AIM6" s="144"/>
      <c r="AIN6" s="144"/>
      <c r="AIO6" s="144"/>
      <c r="AIP6" s="144"/>
      <c r="AIQ6" s="144"/>
      <c r="AIR6" s="144"/>
      <c r="AIS6" s="144"/>
      <c r="AIT6" s="144"/>
      <c r="AIU6" s="144"/>
      <c r="AIV6" s="144"/>
      <c r="AIW6" s="144"/>
      <c r="AIX6" s="144"/>
      <c r="AIY6" s="144"/>
      <c r="AIZ6" s="144"/>
      <c r="AJA6" s="144"/>
      <c r="AJB6" s="144"/>
      <c r="AJC6" s="144"/>
      <c r="AJD6" s="144"/>
      <c r="AJE6" s="144"/>
      <c r="AJF6" s="144"/>
      <c r="AJG6" s="144"/>
      <c r="AJH6" s="144"/>
      <c r="AJI6" s="144"/>
      <c r="AJJ6" s="144"/>
      <c r="AJK6" s="144"/>
      <c r="AJL6" s="144"/>
      <c r="AJM6" s="144"/>
      <c r="AJN6" s="144"/>
      <c r="AJO6" s="144"/>
      <c r="AJP6" s="144"/>
      <c r="AJQ6" s="144"/>
      <c r="AJR6" s="144"/>
      <c r="AJS6" s="144"/>
      <c r="AJT6" s="144"/>
      <c r="AJU6" s="144"/>
      <c r="AJV6" s="144"/>
      <c r="AJW6" s="144"/>
      <c r="AJX6" s="144"/>
      <c r="AJY6" s="144"/>
      <c r="AJZ6" s="144"/>
      <c r="AKA6" s="144"/>
      <c r="AKB6" s="144"/>
      <c r="AKC6" s="144"/>
      <c r="AKD6" s="144"/>
      <c r="AKE6" s="144"/>
      <c r="AKF6" s="144"/>
      <c r="AKG6" s="144"/>
      <c r="AKH6" s="144"/>
      <c r="AKI6" s="144"/>
      <c r="AKJ6" s="144"/>
      <c r="AKK6" s="144"/>
      <c r="AKL6" s="144"/>
      <c r="AKM6" s="144"/>
      <c r="AKN6" s="144"/>
      <c r="AKO6" s="144"/>
      <c r="AKP6" s="144"/>
      <c r="AKQ6" s="144"/>
      <c r="AKR6" s="144"/>
      <c r="AKS6" s="144"/>
      <c r="AKT6" s="144"/>
      <c r="AKU6" s="144"/>
      <c r="AKV6" s="144"/>
      <c r="AKW6" s="144"/>
      <c r="AKX6" s="144"/>
      <c r="AKY6" s="144"/>
      <c r="AKZ6" s="144"/>
      <c r="ALA6" s="144"/>
      <c r="ALB6" s="144"/>
      <c r="ALC6" s="144"/>
      <c r="ALD6" s="144"/>
      <c r="ALE6" s="144"/>
      <c r="ALF6" s="144"/>
      <c r="ALG6" s="144"/>
      <c r="ALH6" s="144"/>
      <c r="ALI6" s="144"/>
      <c r="ALJ6" s="144"/>
      <c r="ALK6" s="144"/>
      <c r="ALL6" s="144"/>
      <c r="ALM6" s="144"/>
      <c r="ALN6" s="144"/>
      <c r="ALO6" s="144"/>
      <c r="ALP6" s="144"/>
      <c r="ALQ6" s="144"/>
      <c r="ALR6" s="144"/>
      <c r="ALS6" s="144"/>
      <c r="ALT6" s="144"/>
      <c r="ALU6" s="144"/>
      <c r="ALV6" s="144"/>
      <c r="ALW6" s="144"/>
      <c r="ALX6" s="144"/>
      <c r="ALY6" s="144"/>
      <c r="ALZ6" s="144"/>
      <c r="AMA6" s="144"/>
      <c r="AMB6" s="144"/>
      <c r="AMC6" s="144"/>
      <c r="AMD6" s="144"/>
      <c r="AME6" s="144"/>
      <c r="AMF6" s="144"/>
    </row>
    <row r="7" spans="1:52" s="144" customFormat="1" ht="12.75" customHeight="1">
      <c r="A7" s="184" t="s">
        <v>76</v>
      </c>
      <c r="B7" s="185"/>
      <c r="C7" s="188" t="s">
        <v>660</v>
      </c>
      <c r="D7" s="186" t="s">
        <v>77</v>
      </c>
      <c r="E7" s="147" t="s">
        <v>78</v>
      </c>
      <c r="F7" s="148" t="s">
        <v>79</v>
      </c>
      <c r="G7" s="189" t="s">
        <v>80</v>
      </c>
      <c r="H7" s="152" t="s">
        <v>81</v>
      </c>
      <c r="I7" s="153" t="s">
        <v>82</v>
      </c>
      <c r="J7" s="152" t="s">
        <v>83</v>
      </c>
      <c r="K7" s="154" t="s">
        <v>84</v>
      </c>
      <c r="L7" s="152" t="s">
        <v>85</v>
      </c>
      <c r="M7" s="152" t="s">
        <v>86</v>
      </c>
      <c r="N7" s="152" t="s">
        <v>87</v>
      </c>
      <c r="O7" s="152" t="s">
        <v>88</v>
      </c>
      <c r="P7" s="152" t="s">
        <v>89</v>
      </c>
      <c r="Q7" s="152" t="s">
        <v>90</v>
      </c>
      <c r="R7" s="152" t="s">
        <v>91</v>
      </c>
      <c r="S7" s="152" t="s">
        <v>92</v>
      </c>
      <c r="T7" s="152" t="s">
        <v>92</v>
      </c>
      <c r="U7" s="152" t="s">
        <v>93</v>
      </c>
      <c r="V7" s="152" t="s">
        <v>94</v>
      </c>
      <c r="W7" s="155" t="s">
        <v>95</v>
      </c>
      <c r="X7" s="152" t="s">
        <v>96</v>
      </c>
      <c r="Y7" s="152" t="s">
        <v>97</v>
      </c>
      <c r="Z7" s="152" t="s">
        <v>614</v>
      </c>
      <c r="AA7" s="156" t="s">
        <v>98</v>
      </c>
      <c r="AB7" s="156"/>
      <c r="AC7" s="156" t="s">
        <v>99</v>
      </c>
      <c r="AD7" s="152" t="s">
        <v>100</v>
      </c>
      <c r="AE7" s="155" t="s">
        <v>101</v>
      </c>
      <c r="AF7" s="152" t="s">
        <v>102</v>
      </c>
      <c r="AG7" s="152" t="s">
        <v>103</v>
      </c>
      <c r="AH7" s="150" t="s">
        <v>104</v>
      </c>
      <c r="AI7" s="152" t="s">
        <v>606</v>
      </c>
      <c r="AJ7" s="156" t="s">
        <v>606</v>
      </c>
      <c r="AK7" s="181" t="s">
        <v>687</v>
      </c>
      <c r="AL7" s="156" t="s">
        <v>105</v>
      </c>
      <c r="AM7" s="149" t="s">
        <v>106</v>
      </c>
      <c r="AN7" s="151" t="s">
        <v>107</v>
      </c>
      <c r="AO7" s="151" t="s">
        <v>108</v>
      </c>
      <c r="AP7" s="152" t="s">
        <v>109</v>
      </c>
      <c r="AQ7" s="159" t="s">
        <v>618</v>
      </c>
      <c r="AR7" s="159" t="s">
        <v>619</v>
      </c>
      <c r="AS7" s="150"/>
      <c r="AT7" s="151" t="str">
        <f aca="true" t="shared" si="0" ref="AT7:AT70">AN7</f>
        <v>C660060</v>
      </c>
      <c r="AU7" s="170"/>
      <c r="AV7" s="169"/>
      <c r="AW7" s="169"/>
      <c r="AX7" s="145"/>
      <c r="AY7" s="145"/>
      <c r="AZ7" s="145"/>
    </row>
    <row r="8" spans="1:52" s="110" customFormat="1" ht="11.25" customHeight="1">
      <c r="A8" s="123" t="s">
        <v>110</v>
      </c>
      <c r="B8" s="123">
        <v>1</v>
      </c>
      <c r="C8" s="126">
        <v>1</v>
      </c>
      <c r="D8" s="124" t="s">
        <v>111</v>
      </c>
      <c r="E8" s="191">
        <v>107</v>
      </c>
      <c r="F8" s="125">
        <f>ROUND(E8*Valores!$C$2,2)</f>
        <v>4352.95</v>
      </c>
      <c r="G8" s="191">
        <v>3779</v>
      </c>
      <c r="H8" s="125">
        <f>ROUND(G8*Valores!$C$2,2)</f>
        <v>153736.52</v>
      </c>
      <c r="I8" s="191">
        <v>219</v>
      </c>
      <c r="J8" s="125">
        <f>ROUND(I8*Valores!$C$2,2)</f>
        <v>8909.31</v>
      </c>
      <c r="K8" s="191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27705.17</v>
      </c>
      <c r="N8" s="125">
        <f aca="true" t="shared" si="1" ref="N8:N71">ROUND(SUM(F8,H8,J8,L8,X8,R8)*$H$2,2)</f>
        <v>0</v>
      </c>
      <c r="O8" s="125">
        <f>Valores!$C$11</f>
        <v>36274.83</v>
      </c>
      <c r="P8" s="125">
        <f>Valores!$D$5</f>
        <v>20796.54</v>
      </c>
      <c r="Q8" s="125">
        <v>0</v>
      </c>
      <c r="R8" s="125">
        <f>IF($F$4="NO",Valores!$C$46,Valores!$C$46/2)</f>
        <v>17702.33</v>
      </c>
      <c r="S8" s="125">
        <v>0</v>
      </c>
      <c r="T8" s="125">
        <f>ROUND(S8*(1+$H$2),2)</f>
        <v>0</v>
      </c>
      <c r="U8" s="125">
        <f>SUM(F8,H8,J8)</f>
        <v>166998.78</v>
      </c>
      <c r="V8" s="125">
        <f>INT((SUM(F8,H8,J8)*0.4*100)+0.49)/100</f>
        <v>66799.51</v>
      </c>
      <c r="W8" s="191">
        <v>0</v>
      </c>
      <c r="X8" s="125">
        <f>ROUND(W8*Valores!$C$2,2)</f>
        <v>0</v>
      </c>
      <c r="Y8" s="125">
        <v>0</v>
      </c>
      <c r="Z8" s="125">
        <f>Valores!$C$94</f>
        <v>28478.14</v>
      </c>
      <c r="AA8" s="125">
        <f>Valores!$C$25</f>
        <v>850.59</v>
      </c>
      <c r="AB8" s="210">
        <v>0</v>
      </c>
      <c r="AC8" s="125">
        <f aca="true" t="shared" si="2" ref="AC8:AC71">ROUND(SUM(F8,H8,J8,X8,R8)*AB8,2)</f>
        <v>0</v>
      </c>
      <c r="AD8" s="125">
        <f>Valores!$C$26</f>
        <v>850.59</v>
      </c>
      <c r="AE8" s="191">
        <v>0</v>
      </c>
      <c r="AF8" s="125">
        <f>ROUND(AE8*Valores!$C$2,2)</f>
        <v>0</v>
      </c>
      <c r="AG8" s="125">
        <f>ROUND(IF($F$4="NO",Valores!$C$63,Valores!$C$63/2),2)</f>
        <v>9724.47</v>
      </c>
      <c r="AH8" s="125">
        <f>SUM(F8,H8,J8,L8,M8,N8,O8,P8,Q8,R8,T8,U8,V8,X8,Y8,Z8,AA8,AC8,AD8,AF8,AG8)</f>
        <v>543179.73</v>
      </c>
      <c r="AI8" s="125">
        <f>Valores!$C$31</f>
        <v>0</v>
      </c>
      <c r="AJ8" s="125">
        <f>Valores!$C$87</f>
        <v>0</v>
      </c>
      <c r="AK8" s="125">
        <f>Valores!C$38*B8</f>
        <v>0</v>
      </c>
      <c r="AL8" s="125">
        <f>IF($F$3="NO",0,Valores!$C$55)</f>
        <v>0</v>
      </c>
      <c r="AM8" s="125">
        <f aca="true" t="shared" si="3" ref="AM8:AM71">SUM(AI8:AL8)</f>
        <v>0</v>
      </c>
      <c r="AN8" s="125">
        <f>AH8*Valores!$C$71</f>
        <v>-59749.7703</v>
      </c>
      <c r="AO8" s="125">
        <f>AH8*-Valores!$C$72</f>
        <v>0</v>
      </c>
      <c r="AP8" s="125">
        <f>AH8*Valores!$C$73</f>
        <v>-24443.08785</v>
      </c>
      <c r="AQ8" s="125">
        <f>Valores!$C$100</f>
        <v>-554.86</v>
      </c>
      <c r="AR8" s="125">
        <f>IF($F$5=0,Valores!$C$101,(Valores!$C$101+$F$5*(Valores!$C$101)))</f>
        <v>-550</v>
      </c>
      <c r="AS8" s="125">
        <f>AH8+AM8+SUM(AN8:AR8)</f>
        <v>457882.01185</v>
      </c>
      <c r="AT8" s="125">
        <f t="shared" si="0"/>
        <v>-59749.7703</v>
      </c>
      <c r="AU8" s="125">
        <f>AH8*Valores!$C$74</f>
        <v>-14665.85271</v>
      </c>
      <c r="AV8" s="125">
        <f>AH8*Valores!$C$75</f>
        <v>-1629.53919</v>
      </c>
      <c r="AW8" s="125">
        <f aca="true" t="shared" si="4" ref="AW8:AW71">AH8+AM8+SUM(AT8:AV8)</f>
        <v>467134.56779999996</v>
      </c>
      <c r="AX8" s="126">
        <v>33</v>
      </c>
      <c r="AY8" s="126">
        <v>45</v>
      </c>
      <c r="AZ8" s="123" t="s">
        <v>8</v>
      </c>
    </row>
    <row r="9" spans="1:52" s="110" customFormat="1" ht="11.25" customHeight="1">
      <c r="A9" s="123" t="s">
        <v>112</v>
      </c>
      <c r="B9" s="123">
        <v>1</v>
      </c>
      <c r="C9" s="126">
        <v>2</v>
      </c>
      <c r="D9" s="124" t="s">
        <v>113</v>
      </c>
      <c r="E9" s="191">
        <v>107</v>
      </c>
      <c r="F9" s="125">
        <f>ROUND(E9*Valores!$C$2,2)</f>
        <v>4352.95</v>
      </c>
      <c r="G9" s="191">
        <v>3779</v>
      </c>
      <c r="H9" s="125">
        <f>ROUND(G9*Valores!$C$2,2)</f>
        <v>153736.52</v>
      </c>
      <c r="I9" s="191">
        <v>219</v>
      </c>
      <c r="J9" s="125">
        <f>ROUND(I9*Valores!$C$2,2)</f>
        <v>8909.31</v>
      </c>
      <c r="K9" s="191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27705.17</v>
      </c>
      <c r="N9" s="125">
        <f t="shared" si="1"/>
        <v>0</v>
      </c>
      <c r="O9" s="125">
        <f>Valores!$C$11</f>
        <v>36274.83</v>
      </c>
      <c r="P9" s="125">
        <f>Valores!$D$5</f>
        <v>20796.54</v>
      </c>
      <c r="Q9" s="125">
        <v>0</v>
      </c>
      <c r="R9" s="125">
        <f>IF($F$4="NO",Valores!$C$46,Valores!$C$46/2)</f>
        <v>17702.33</v>
      </c>
      <c r="S9" s="125">
        <v>0</v>
      </c>
      <c r="T9" s="125">
        <f>ROUND(S9*(1+$H$2),2)</f>
        <v>0</v>
      </c>
      <c r="U9" s="125">
        <f>SUM(F9,H9,J9)</f>
        <v>166998.78</v>
      </c>
      <c r="V9" s="125">
        <f>INT((SUM(F9,H9,J9)*0.4*100)+0.49)/100</f>
        <v>66799.51</v>
      </c>
      <c r="W9" s="191">
        <v>0</v>
      </c>
      <c r="X9" s="125">
        <f>ROUND(W9*Valores!$C$2,2)</f>
        <v>0</v>
      </c>
      <c r="Y9" s="125">
        <v>0</v>
      </c>
      <c r="Z9" s="125">
        <f>Valores!$C$94</f>
        <v>28478.14</v>
      </c>
      <c r="AA9" s="125">
        <f>Valores!$C$25</f>
        <v>850.59</v>
      </c>
      <c r="AB9" s="210">
        <v>0</v>
      </c>
      <c r="AC9" s="125">
        <f t="shared" si="2"/>
        <v>0</v>
      </c>
      <c r="AD9" s="125">
        <f>Valores!$C$26</f>
        <v>850.59</v>
      </c>
      <c r="AE9" s="191">
        <v>0</v>
      </c>
      <c r="AF9" s="125">
        <f>ROUND(AE9*Valores!$C$2,2)</f>
        <v>0</v>
      </c>
      <c r="AG9" s="125">
        <f>ROUND(IF($F$4="NO",Valores!$C$63,Valores!$C$63/2),2)</f>
        <v>9724.47</v>
      </c>
      <c r="AH9" s="125">
        <f aca="true" t="shared" si="5" ref="AH9:AH72">SUM(F9,H9,J9,L9,M9,N9,O9,P9,Q9,R9,T9,U9,V9,X9,Y9,Z9,AA9,AC9,AD9,AF9,AG9)</f>
        <v>543179.73</v>
      </c>
      <c r="AI9" s="125">
        <f>Valores!$C$31</f>
        <v>0</v>
      </c>
      <c r="AJ9" s="125">
        <f>Valores!$C$87</f>
        <v>0</v>
      </c>
      <c r="AK9" s="125">
        <f>Valores!C$38*B9</f>
        <v>0</v>
      </c>
      <c r="AL9" s="125">
        <f>IF($F$3="NO",0,Valores!$C$55)</f>
        <v>0</v>
      </c>
      <c r="AM9" s="125">
        <f t="shared" si="3"/>
        <v>0</v>
      </c>
      <c r="AN9" s="125">
        <f>AH9*Valores!$C$71</f>
        <v>-59749.7703</v>
      </c>
      <c r="AO9" s="125">
        <f>AH9*-Valores!$C$72</f>
        <v>0</v>
      </c>
      <c r="AP9" s="125">
        <f>AH9*Valores!$C$73</f>
        <v>-24443.08785</v>
      </c>
      <c r="AQ9" s="125">
        <f>Valores!$C$100</f>
        <v>-554.86</v>
      </c>
      <c r="AR9" s="125">
        <f>IF($F$5=0,Valores!$C$101,(Valores!$C$101+$F$5*(Valores!$C$101)))</f>
        <v>-550</v>
      </c>
      <c r="AS9" s="125">
        <f aca="true" t="shared" si="6" ref="AS9:AS72">AH9+SUM(AM9:AR9)</f>
        <v>457882.01185</v>
      </c>
      <c r="AT9" s="125">
        <f t="shared" si="0"/>
        <v>-59749.7703</v>
      </c>
      <c r="AU9" s="125">
        <f>AH9*Valores!$C$74</f>
        <v>-14665.85271</v>
      </c>
      <c r="AV9" s="125">
        <f>AH9*Valores!$C$75</f>
        <v>-1629.53919</v>
      </c>
      <c r="AW9" s="125">
        <f t="shared" si="4"/>
        <v>467134.56779999996</v>
      </c>
      <c r="AX9" s="126">
        <v>33</v>
      </c>
      <c r="AY9" s="126">
        <v>45</v>
      </c>
      <c r="AZ9" s="123" t="s">
        <v>8</v>
      </c>
    </row>
    <row r="10" spans="1:52" s="110" customFormat="1" ht="11.25" customHeight="1">
      <c r="A10" s="123" t="s">
        <v>114</v>
      </c>
      <c r="B10" s="123">
        <v>1</v>
      </c>
      <c r="C10" s="126">
        <v>3</v>
      </c>
      <c r="D10" s="124" t="s">
        <v>115</v>
      </c>
      <c r="E10" s="191">
        <v>107</v>
      </c>
      <c r="F10" s="125">
        <f>ROUND(E10*Valores!$C$2,2)</f>
        <v>4352.95</v>
      </c>
      <c r="G10" s="191">
        <v>3720</v>
      </c>
      <c r="H10" s="125">
        <f>ROUND(G10*Valores!$C$2,2)</f>
        <v>151336.3</v>
      </c>
      <c r="I10" s="191">
        <v>1226</v>
      </c>
      <c r="J10" s="125">
        <f>ROUND(I10*Valores!$C$2,2)</f>
        <v>49875.89</v>
      </c>
      <c r="K10" s="191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36392.85</v>
      </c>
      <c r="N10" s="125">
        <f t="shared" si="1"/>
        <v>0</v>
      </c>
      <c r="O10" s="125">
        <f>Valores!$C$13</f>
        <v>37263.51</v>
      </c>
      <c r="P10" s="125">
        <f>Valores!$D$5</f>
        <v>20796.54</v>
      </c>
      <c r="Q10" s="125">
        <v>0</v>
      </c>
      <c r="R10" s="125">
        <f>IF($F$4="NO",Valores!$C$46,Valores!$C$46/2)</f>
        <v>17702.33</v>
      </c>
      <c r="S10" s="125">
        <f>Valores!$C$19</f>
        <v>19351.52</v>
      </c>
      <c r="T10" s="125">
        <f>ROUND(S10*(1+$H$2),2)</f>
        <v>19351.52</v>
      </c>
      <c r="U10" s="125">
        <v>0</v>
      </c>
      <c r="V10" s="125">
        <v>0</v>
      </c>
      <c r="W10" s="191">
        <v>0</v>
      </c>
      <c r="X10" s="125">
        <f>ROUND(W10*Valores!$C$2,2)</f>
        <v>0</v>
      </c>
      <c r="Y10" s="125">
        <v>0</v>
      </c>
      <c r="Z10" s="125">
        <f>Valores!$C$94</f>
        <v>28478.14</v>
      </c>
      <c r="AA10" s="125">
        <f>Valores!$C$25</f>
        <v>850.59</v>
      </c>
      <c r="AB10" s="210">
        <v>0</v>
      </c>
      <c r="AC10" s="125">
        <f t="shared" si="2"/>
        <v>0</v>
      </c>
      <c r="AD10" s="125">
        <f>Valores!$C$26</f>
        <v>850.59</v>
      </c>
      <c r="AE10" s="191">
        <v>0</v>
      </c>
      <c r="AF10" s="125">
        <f>ROUND(AE10*Valores!$C$2,2)</f>
        <v>0</v>
      </c>
      <c r="AG10" s="125">
        <f>ROUND(IF($F$4="NO",Valores!$C$63,Valores!$C$63/2),2)</f>
        <v>9724.47</v>
      </c>
      <c r="AH10" s="125">
        <f t="shared" si="5"/>
        <v>376975.68000000005</v>
      </c>
      <c r="AI10" s="125">
        <f>Valores!$C$31</f>
        <v>0</v>
      </c>
      <c r="AJ10" s="125">
        <f>Valores!$C$87</f>
        <v>0</v>
      </c>
      <c r="AK10" s="125">
        <f>Valores!C$38*B10</f>
        <v>0</v>
      </c>
      <c r="AL10" s="125">
        <f>IF($F$3="NO",0,Valores!$C$55)</f>
        <v>0</v>
      </c>
      <c r="AM10" s="125">
        <f t="shared" si="3"/>
        <v>0</v>
      </c>
      <c r="AN10" s="125">
        <f>AH10*Valores!$C$71</f>
        <v>-41467.32480000001</v>
      </c>
      <c r="AO10" s="125">
        <f>AH10*-Valores!$C$72</f>
        <v>0</v>
      </c>
      <c r="AP10" s="125">
        <f>AH10*Valores!$C$73</f>
        <v>-16963.905600000002</v>
      </c>
      <c r="AQ10" s="125">
        <f>Valores!$C$100</f>
        <v>-554.86</v>
      </c>
      <c r="AR10" s="125">
        <f>IF($F$5=0,Valores!$C$101,(Valores!$C$101+$F$5*(Valores!$C$101)))</f>
        <v>-550</v>
      </c>
      <c r="AS10" s="125">
        <f t="shared" si="6"/>
        <v>317439.58960000006</v>
      </c>
      <c r="AT10" s="125">
        <f t="shared" si="0"/>
        <v>-41467.32480000001</v>
      </c>
      <c r="AU10" s="125">
        <f>AH10*Valores!$C$74</f>
        <v>-10178.34336</v>
      </c>
      <c r="AV10" s="125">
        <f>AH10*Valores!$C$75</f>
        <v>-1130.9270400000003</v>
      </c>
      <c r="AW10" s="125">
        <f t="shared" si="4"/>
        <v>324199.08480000007</v>
      </c>
      <c r="AX10" s="126">
        <v>35</v>
      </c>
      <c r="AY10" s="126">
        <v>45</v>
      </c>
      <c r="AZ10" s="123" t="s">
        <v>4</v>
      </c>
    </row>
    <row r="11" spans="1:52" s="110" customFormat="1" ht="11.25" customHeight="1">
      <c r="A11" s="123" t="s">
        <v>116</v>
      </c>
      <c r="B11" s="123">
        <v>1</v>
      </c>
      <c r="C11" s="126">
        <v>4</v>
      </c>
      <c r="D11" s="124" t="s">
        <v>117</v>
      </c>
      <c r="E11" s="191">
        <v>107</v>
      </c>
      <c r="F11" s="125">
        <f>ROUND(E11*Valores!$C$2,2)</f>
        <v>4352.95</v>
      </c>
      <c r="G11" s="191">
        <v>3779</v>
      </c>
      <c r="H11" s="125">
        <f>ROUND(G11*Valores!$C$2,2)</f>
        <v>153736.52</v>
      </c>
      <c r="I11" s="191">
        <v>219</v>
      </c>
      <c r="J11" s="125">
        <f>ROUND(I11*Valores!$C$2,2)</f>
        <v>8909.31</v>
      </c>
      <c r="K11" s="191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27705.17</v>
      </c>
      <c r="N11" s="125">
        <f t="shared" si="1"/>
        <v>0</v>
      </c>
      <c r="O11" s="125">
        <f>Valores!$C$11</f>
        <v>36274.83</v>
      </c>
      <c r="P11" s="125">
        <f>Valores!$D$5</f>
        <v>20796.54</v>
      </c>
      <c r="Q11" s="125">
        <v>0</v>
      </c>
      <c r="R11" s="125">
        <f>IF($F$4="NO",Valores!$C$46,Valores!$C$46/2)</f>
        <v>17702.33</v>
      </c>
      <c r="S11" s="125">
        <v>0</v>
      </c>
      <c r="T11" s="125">
        <f aca="true" t="shared" si="7" ref="T11:T74">ROUND(S11*(1+$H$2),2)</f>
        <v>0</v>
      </c>
      <c r="U11" s="125">
        <f aca="true" t="shared" si="8" ref="U11:U20">SUM(F11,H11,J11)</f>
        <v>166998.78</v>
      </c>
      <c r="V11" s="125">
        <f aca="true" t="shared" si="9" ref="V11:V20">INT((SUM(F11,H11,J11)*0.4*100)+0.49)/100</f>
        <v>66799.51</v>
      </c>
      <c r="W11" s="191">
        <v>0</v>
      </c>
      <c r="X11" s="125">
        <f>ROUND(W11*Valores!$C$2,2)</f>
        <v>0</v>
      </c>
      <c r="Y11" s="125">
        <v>0</v>
      </c>
      <c r="Z11" s="125">
        <f>Valores!$C$94</f>
        <v>28478.14</v>
      </c>
      <c r="AA11" s="125">
        <f>Valores!$C$25</f>
        <v>850.59</v>
      </c>
      <c r="AB11" s="210">
        <v>0</v>
      </c>
      <c r="AC11" s="125">
        <f t="shared" si="2"/>
        <v>0</v>
      </c>
      <c r="AD11" s="125">
        <f>Valores!$C$26</f>
        <v>850.59</v>
      </c>
      <c r="AE11" s="191">
        <v>0</v>
      </c>
      <c r="AF11" s="125">
        <f>ROUND(AE11*Valores!$C$2,2)</f>
        <v>0</v>
      </c>
      <c r="AG11" s="125">
        <f>ROUND(IF($F$4="NO",Valores!$C$63,Valores!$C$63/2),2)</f>
        <v>9724.47</v>
      </c>
      <c r="AH11" s="125">
        <f t="shared" si="5"/>
        <v>543179.73</v>
      </c>
      <c r="AI11" s="125">
        <f>Valores!$C$31</f>
        <v>0</v>
      </c>
      <c r="AJ11" s="125">
        <f>Valores!$C$87</f>
        <v>0</v>
      </c>
      <c r="AK11" s="125">
        <f>Valores!C$38*B11</f>
        <v>0</v>
      </c>
      <c r="AL11" s="125">
        <f>IF($F$3="NO",0,Valores!$C$55)</f>
        <v>0</v>
      </c>
      <c r="AM11" s="125">
        <f t="shared" si="3"/>
        <v>0</v>
      </c>
      <c r="AN11" s="125">
        <f>AH11*Valores!$C$71</f>
        <v>-59749.7703</v>
      </c>
      <c r="AO11" s="125">
        <f>AH11*-Valores!$C$72</f>
        <v>0</v>
      </c>
      <c r="AP11" s="125">
        <f>AH11*Valores!$C$73</f>
        <v>-24443.08785</v>
      </c>
      <c r="AQ11" s="125">
        <f>Valores!$C$100</f>
        <v>-554.86</v>
      </c>
      <c r="AR11" s="125">
        <f>IF($F$5=0,Valores!$C$101,(Valores!$C$101+$F$5*(Valores!$C$101)))</f>
        <v>-550</v>
      </c>
      <c r="AS11" s="125">
        <f t="shared" si="6"/>
        <v>457882.01185</v>
      </c>
      <c r="AT11" s="125">
        <f t="shared" si="0"/>
        <v>-59749.7703</v>
      </c>
      <c r="AU11" s="125">
        <f>AH11*Valores!$C$74</f>
        <v>-14665.85271</v>
      </c>
      <c r="AV11" s="125">
        <f>AH11*Valores!$C$75</f>
        <v>-1629.53919</v>
      </c>
      <c r="AW11" s="125">
        <f t="shared" si="4"/>
        <v>467134.56779999996</v>
      </c>
      <c r="AX11" s="126">
        <v>33</v>
      </c>
      <c r="AY11" s="126">
        <v>45</v>
      </c>
      <c r="AZ11" s="123" t="s">
        <v>8</v>
      </c>
    </row>
    <row r="12" spans="1:52" s="110" customFormat="1" ht="11.25" customHeight="1">
      <c r="A12" s="123" t="s">
        <v>118</v>
      </c>
      <c r="B12" s="123">
        <v>1</v>
      </c>
      <c r="C12" s="126">
        <v>5</v>
      </c>
      <c r="D12" s="124" t="s">
        <v>119</v>
      </c>
      <c r="E12" s="191">
        <v>107</v>
      </c>
      <c r="F12" s="125">
        <f>ROUND(E12*Valores!$C$2,2)</f>
        <v>4352.95</v>
      </c>
      <c r="G12" s="191">
        <v>3779</v>
      </c>
      <c r="H12" s="125">
        <f>ROUND(G12*Valores!$C$2,2)</f>
        <v>153736.52</v>
      </c>
      <c r="I12" s="191">
        <v>219</v>
      </c>
      <c r="J12" s="125">
        <f>ROUND(I12*Valores!$C$2,2)</f>
        <v>8909.31</v>
      </c>
      <c r="K12" s="191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27705.17</v>
      </c>
      <c r="N12" s="125">
        <f t="shared" si="1"/>
        <v>0</v>
      </c>
      <c r="O12" s="125">
        <f>Valores!$C$11</f>
        <v>36274.83</v>
      </c>
      <c r="P12" s="125">
        <f>Valores!$D$5</f>
        <v>20796.54</v>
      </c>
      <c r="Q12" s="125">
        <v>0</v>
      </c>
      <c r="R12" s="125">
        <f>IF($F$4="NO",Valores!$C$46,Valores!$C$46/2)</f>
        <v>17702.33</v>
      </c>
      <c r="S12" s="125">
        <v>0</v>
      </c>
      <c r="T12" s="125">
        <f t="shared" si="7"/>
        <v>0</v>
      </c>
      <c r="U12" s="125">
        <f t="shared" si="8"/>
        <v>166998.78</v>
      </c>
      <c r="V12" s="125">
        <f t="shared" si="9"/>
        <v>66799.51</v>
      </c>
      <c r="W12" s="191">
        <v>0</v>
      </c>
      <c r="X12" s="125">
        <f>ROUND(W12*Valores!$C$2,2)</f>
        <v>0</v>
      </c>
      <c r="Y12" s="125">
        <v>0</v>
      </c>
      <c r="Z12" s="125">
        <f>Valores!$C$94</f>
        <v>28478.14</v>
      </c>
      <c r="AA12" s="125">
        <f>Valores!$C$25</f>
        <v>850.59</v>
      </c>
      <c r="AB12" s="210">
        <v>0</v>
      </c>
      <c r="AC12" s="125">
        <f t="shared" si="2"/>
        <v>0</v>
      </c>
      <c r="AD12" s="125">
        <f>Valores!$C$26</f>
        <v>850.59</v>
      </c>
      <c r="AE12" s="191">
        <v>0</v>
      </c>
      <c r="AF12" s="125">
        <f>ROUND(AE12*Valores!$C$2,2)</f>
        <v>0</v>
      </c>
      <c r="AG12" s="125">
        <f>ROUND(IF($F$4="NO",Valores!$C$63,Valores!$C$63/2),2)</f>
        <v>9724.47</v>
      </c>
      <c r="AH12" s="125">
        <f t="shared" si="5"/>
        <v>543179.73</v>
      </c>
      <c r="AI12" s="125">
        <f>Valores!$C$31</f>
        <v>0</v>
      </c>
      <c r="AJ12" s="125">
        <f>Valores!$C$87</f>
        <v>0</v>
      </c>
      <c r="AK12" s="125">
        <f>Valores!C$38*B12</f>
        <v>0</v>
      </c>
      <c r="AL12" s="125">
        <f>IF($F$3="NO",0,Valores!$C$55)</f>
        <v>0</v>
      </c>
      <c r="AM12" s="125">
        <f t="shared" si="3"/>
        <v>0</v>
      </c>
      <c r="AN12" s="125">
        <f>AH12*Valores!$C$71</f>
        <v>-59749.7703</v>
      </c>
      <c r="AO12" s="125">
        <f>AH12*-Valores!$C$72</f>
        <v>0</v>
      </c>
      <c r="AP12" s="125">
        <f>AH12*Valores!$C$73</f>
        <v>-24443.08785</v>
      </c>
      <c r="AQ12" s="125">
        <f>Valores!$C$100</f>
        <v>-554.86</v>
      </c>
      <c r="AR12" s="125">
        <f>IF($F$5=0,Valores!$C$101,(Valores!$C$101+$F$5*(Valores!$C$101)))</f>
        <v>-550</v>
      </c>
      <c r="AS12" s="125">
        <f t="shared" si="6"/>
        <v>457882.01185</v>
      </c>
      <c r="AT12" s="125">
        <f t="shared" si="0"/>
        <v>-59749.7703</v>
      </c>
      <c r="AU12" s="125">
        <f>AH12*Valores!$C$74</f>
        <v>-14665.85271</v>
      </c>
      <c r="AV12" s="125">
        <f>AH12*Valores!$C$75</f>
        <v>-1629.53919</v>
      </c>
      <c r="AW12" s="125">
        <f t="shared" si="4"/>
        <v>467134.56779999996</v>
      </c>
      <c r="AX12" s="126">
        <v>33</v>
      </c>
      <c r="AY12" s="126">
        <v>45</v>
      </c>
      <c r="AZ12" s="123" t="s">
        <v>8</v>
      </c>
    </row>
    <row r="13" spans="1:52" s="110" customFormat="1" ht="11.25" customHeight="1">
      <c r="A13" s="123" t="s">
        <v>120</v>
      </c>
      <c r="B13" s="123">
        <v>1</v>
      </c>
      <c r="C13" s="126">
        <v>6</v>
      </c>
      <c r="D13" s="124" t="s">
        <v>121</v>
      </c>
      <c r="E13" s="191">
        <v>107</v>
      </c>
      <c r="F13" s="125">
        <f>ROUND(E13*Valores!$C$2,2)</f>
        <v>4352.95</v>
      </c>
      <c r="G13" s="191">
        <v>3779</v>
      </c>
      <c r="H13" s="125">
        <f>ROUND(G13*Valores!$C$2,2)</f>
        <v>153736.52</v>
      </c>
      <c r="I13" s="191">
        <v>219</v>
      </c>
      <c r="J13" s="125">
        <f>ROUND(I13*Valores!$C$2,2)</f>
        <v>8909.31</v>
      </c>
      <c r="K13" s="191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27705.17</v>
      </c>
      <c r="N13" s="125">
        <f t="shared" si="1"/>
        <v>0</v>
      </c>
      <c r="O13" s="125">
        <f>Valores!$C$11</f>
        <v>36274.83</v>
      </c>
      <c r="P13" s="125">
        <f>Valores!$D$5</f>
        <v>20796.54</v>
      </c>
      <c r="Q13" s="125">
        <v>0</v>
      </c>
      <c r="R13" s="125">
        <f>IF($F$4="NO",Valores!$C$46,Valores!$C$46/2)</f>
        <v>17702.33</v>
      </c>
      <c r="S13" s="125">
        <v>0</v>
      </c>
      <c r="T13" s="125">
        <f t="shared" si="7"/>
        <v>0</v>
      </c>
      <c r="U13" s="125">
        <f t="shared" si="8"/>
        <v>166998.78</v>
      </c>
      <c r="V13" s="125">
        <f t="shared" si="9"/>
        <v>66799.51</v>
      </c>
      <c r="W13" s="191">
        <v>0</v>
      </c>
      <c r="X13" s="125">
        <f>ROUND(W13*Valores!$C$2,2)</f>
        <v>0</v>
      </c>
      <c r="Y13" s="125">
        <v>0</v>
      </c>
      <c r="Z13" s="125">
        <f>Valores!$C$94</f>
        <v>28478.14</v>
      </c>
      <c r="AA13" s="125">
        <f>Valores!$C$25</f>
        <v>850.59</v>
      </c>
      <c r="AB13" s="210">
        <v>0</v>
      </c>
      <c r="AC13" s="125">
        <f t="shared" si="2"/>
        <v>0</v>
      </c>
      <c r="AD13" s="125">
        <f>Valores!$C$26</f>
        <v>850.59</v>
      </c>
      <c r="AE13" s="191">
        <v>0</v>
      </c>
      <c r="AF13" s="125">
        <f>ROUND(AE13*Valores!$C$2,2)</f>
        <v>0</v>
      </c>
      <c r="AG13" s="125">
        <f>ROUND(IF($F$4="NO",Valores!$C$63,Valores!$C$63/2),2)</f>
        <v>9724.47</v>
      </c>
      <c r="AH13" s="125">
        <f t="shared" si="5"/>
        <v>543179.73</v>
      </c>
      <c r="AI13" s="125">
        <f>Valores!$C$31</f>
        <v>0</v>
      </c>
      <c r="AJ13" s="125">
        <f>Valores!$C$87</f>
        <v>0</v>
      </c>
      <c r="AK13" s="125">
        <f>Valores!C$38*B13</f>
        <v>0</v>
      </c>
      <c r="AL13" s="125">
        <f>IF($F$3="NO",0,Valores!$C$55)</f>
        <v>0</v>
      </c>
      <c r="AM13" s="125">
        <f t="shared" si="3"/>
        <v>0</v>
      </c>
      <c r="AN13" s="125">
        <f>AH13*Valores!$C$71</f>
        <v>-59749.7703</v>
      </c>
      <c r="AO13" s="125">
        <f>AH13*-Valores!$C$72</f>
        <v>0</v>
      </c>
      <c r="AP13" s="125">
        <f>AH13*Valores!$C$73</f>
        <v>-24443.08785</v>
      </c>
      <c r="AQ13" s="125">
        <f>Valores!$C$100</f>
        <v>-554.86</v>
      </c>
      <c r="AR13" s="125">
        <f>IF($F$5=0,Valores!$C$101,(Valores!$C$101+$F$5*(Valores!$C$101)))</f>
        <v>-550</v>
      </c>
      <c r="AS13" s="125">
        <f t="shared" si="6"/>
        <v>457882.01185</v>
      </c>
      <c r="AT13" s="125">
        <f t="shared" si="0"/>
        <v>-59749.7703</v>
      </c>
      <c r="AU13" s="125">
        <f>AH13*Valores!$C$74</f>
        <v>-14665.85271</v>
      </c>
      <c r="AV13" s="125">
        <f>AH13*Valores!$C$75</f>
        <v>-1629.53919</v>
      </c>
      <c r="AW13" s="125">
        <f t="shared" si="4"/>
        <v>467134.56779999996</v>
      </c>
      <c r="AX13" s="126">
        <v>33</v>
      </c>
      <c r="AY13" s="126">
        <v>45</v>
      </c>
      <c r="AZ13" s="123" t="s">
        <v>8</v>
      </c>
    </row>
    <row r="14" spans="1:52" s="110" customFormat="1" ht="11.25" customHeight="1">
      <c r="A14" s="123" t="s">
        <v>122</v>
      </c>
      <c r="B14" s="123">
        <v>1</v>
      </c>
      <c r="C14" s="126">
        <v>7</v>
      </c>
      <c r="D14" s="124" t="s">
        <v>123</v>
      </c>
      <c r="E14" s="191">
        <v>107</v>
      </c>
      <c r="F14" s="125">
        <f>ROUND(E14*Valores!$C$2,2)</f>
        <v>4352.95</v>
      </c>
      <c r="G14" s="191">
        <v>3779</v>
      </c>
      <c r="H14" s="125">
        <f>ROUND(G14*Valores!$C$2,2)</f>
        <v>153736.52</v>
      </c>
      <c r="I14" s="191">
        <v>219</v>
      </c>
      <c r="J14" s="125">
        <f>ROUND(I14*Valores!$C$2,2)</f>
        <v>8909.31</v>
      </c>
      <c r="K14" s="191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27705.17</v>
      </c>
      <c r="N14" s="125">
        <f t="shared" si="1"/>
        <v>0</v>
      </c>
      <c r="O14" s="125">
        <f>Valores!$C$11</f>
        <v>36274.83</v>
      </c>
      <c r="P14" s="125">
        <f>Valores!$D$5</f>
        <v>20796.54</v>
      </c>
      <c r="Q14" s="125">
        <v>0</v>
      </c>
      <c r="R14" s="125">
        <f>IF($F$4="NO",Valores!$C$46,Valores!$C$46/2)</f>
        <v>17702.33</v>
      </c>
      <c r="S14" s="125">
        <v>0</v>
      </c>
      <c r="T14" s="125">
        <f t="shared" si="7"/>
        <v>0</v>
      </c>
      <c r="U14" s="125">
        <f t="shared" si="8"/>
        <v>166998.78</v>
      </c>
      <c r="V14" s="125">
        <f t="shared" si="9"/>
        <v>66799.51</v>
      </c>
      <c r="W14" s="191">
        <v>0</v>
      </c>
      <c r="X14" s="125">
        <f>ROUND(W14*Valores!$C$2,2)</f>
        <v>0</v>
      </c>
      <c r="Y14" s="125">
        <v>0</v>
      </c>
      <c r="Z14" s="125">
        <f>Valores!$C$94</f>
        <v>28478.14</v>
      </c>
      <c r="AA14" s="125">
        <f>Valores!$C$25</f>
        <v>850.59</v>
      </c>
      <c r="AB14" s="210">
        <v>0</v>
      </c>
      <c r="AC14" s="125">
        <f t="shared" si="2"/>
        <v>0</v>
      </c>
      <c r="AD14" s="125">
        <f>Valores!$C$26</f>
        <v>850.59</v>
      </c>
      <c r="AE14" s="191">
        <v>0</v>
      </c>
      <c r="AF14" s="125">
        <f>ROUND(AE14*Valores!$C$2,2)</f>
        <v>0</v>
      </c>
      <c r="AG14" s="125">
        <f>ROUND(IF($F$4="NO",Valores!$C$63,Valores!$C$63/2),2)</f>
        <v>9724.47</v>
      </c>
      <c r="AH14" s="125">
        <f t="shared" si="5"/>
        <v>543179.73</v>
      </c>
      <c r="AI14" s="125">
        <f>Valores!$C$31</f>
        <v>0</v>
      </c>
      <c r="AJ14" s="125">
        <f>Valores!$C$87</f>
        <v>0</v>
      </c>
      <c r="AK14" s="125">
        <f>Valores!C$38*B14</f>
        <v>0</v>
      </c>
      <c r="AL14" s="125">
        <f>IF($F$3="NO",0,Valores!$C$55)</f>
        <v>0</v>
      </c>
      <c r="AM14" s="125">
        <f t="shared" si="3"/>
        <v>0</v>
      </c>
      <c r="AN14" s="125">
        <f>AH14*Valores!$C$71</f>
        <v>-59749.7703</v>
      </c>
      <c r="AO14" s="125">
        <f>AH14*-Valores!$C$72</f>
        <v>0</v>
      </c>
      <c r="AP14" s="125">
        <f>AH14*Valores!$C$73</f>
        <v>-24443.08785</v>
      </c>
      <c r="AQ14" s="125">
        <f>Valores!$C$100</f>
        <v>-554.86</v>
      </c>
      <c r="AR14" s="125">
        <f>IF($F$5=0,Valores!$C$101,(Valores!$C$101+$F$5*(Valores!$C$101)))</f>
        <v>-550</v>
      </c>
      <c r="AS14" s="125">
        <f t="shared" si="6"/>
        <v>457882.01185</v>
      </c>
      <c r="AT14" s="125">
        <f t="shared" si="0"/>
        <v>-59749.7703</v>
      </c>
      <c r="AU14" s="125">
        <f>AH14*Valores!$C$74</f>
        <v>-14665.85271</v>
      </c>
      <c r="AV14" s="125">
        <f>AH14*Valores!$C$75</f>
        <v>-1629.53919</v>
      </c>
      <c r="AW14" s="125">
        <f t="shared" si="4"/>
        <v>467134.56779999996</v>
      </c>
      <c r="AX14" s="126">
        <v>33</v>
      </c>
      <c r="AY14" s="126">
        <v>45</v>
      </c>
      <c r="AZ14" s="123" t="s">
        <v>8</v>
      </c>
    </row>
    <row r="15" spans="1:52" s="110" customFormat="1" ht="11.25" customHeight="1">
      <c r="A15" s="123" t="s">
        <v>124</v>
      </c>
      <c r="B15" s="123">
        <v>1</v>
      </c>
      <c r="C15" s="126">
        <v>8</v>
      </c>
      <c r="D15" s="124" t="s">
        <v>125</v>
      </c>
      <c r="E15" s="191">
        <v>107</v>
      </c>
      <c r="F15" s="125">
        <f>ROUND(E15*Valores!$C$2,2)</f>
        <v>4352.95</v>
      </c>
      <c r="G15" s="191">
        <v>3779</v>
      </c>
      <c r="H15" s="125">
        <f>ROUND(G15*Valores!$C$2,2)</f>
        <v>153736.52</v>
      </c>
      <c r="I15" s="191">
        <v>219</v>
      </c>
      <c r="J15" s="125">
        <f>ROUND(I15*Valores!$C$2,2)</f>
        <v>8909.31</v>
      </c>
      <c r="K15" s="191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27705.17</v>
      </c>
      <c r="N15" s="125">
        <f t="shared" si="1"/>
        <v>0</v>
      </c>
      <c r="O15" s="125">
        <f>Valores!$C$11</f>
        <v>36274.83</v>
      </c>
      <c r="P15" s="125">
        <f>Valores!$D$5</f>
        <v>20796.54</v>
      </c>
      <c r="Q15" s="125">
        <v>0</v>
      </c>
      <c r="R15" s="125">
        <f>IF($F$4="NO",Valores!$C$46,Valores!$C$46/2)</f>
        <v>17702.33</v>
      </c>
      <c r="S15" s="125">
        <v>0</v>
      </c>
      <c r="T15" s="125">
        <f t="shared" si="7"/>
        <v>0</v>
      </c>
      <c r="U15" s="125">
        <f t="shared" si="8"/>
        <v>166998.78</v>
      </c>
      <c r="V15" s="125">
        <f t="shared" si="9"/>
        <v>66799.51</v>
      </c>
      <c r="W15" s="191">
        <v>0</v>
      </c>
      <c r="X15" s="125">
        <f>ROUND(W15*Valores!$C$2,2)</f>
        <v>0</v>
      </c>
      <c r="Y15" s="125">
        <v>0</v>
      </c>
      <c r="Z15" s="125">
        <f>Valores!$C$94</f>
        <v>28478.14</v>
      </c>
      <c r="AA15" s="125">
        <f>Valores!$C$25</f>
        <v>850.59</v>
      </c>
      <c r="AB15" s="210">
        <v>0</v>
      </c>
      <c r="AC15" s="125">
        <f t="shared" si="2"/>
        <v>0</v>
      </c>
      <c r="AD15" s="125">
        <f>Valores!$C$26</f>
        <v>850.59</v>
      </c>
      <c r="AE15" s="191">
        <v>0</v>
      </c>
      <c r="AF15" s="125">
        <f>ROUND(AE15*Valores!$C$2,2)</f>
        <v>0</v>
      </c>
      <c r="AG15" s="125">
        <f>ROUND(IF($F$4="NO",Valores!$C$63,Valores!$C$63/2),2)</f>
        <v>9724.47</v>
      </c>
      <c r="AH15" s="125">
        <f t="shared" si="5"/>
        <v>543179.73</v>
      </c>
      <c r="AI15" s="125">
        <f>Valores!$C$31</f>
        <v>0</v>
      </c>
      <c r="AJ15" s="125">
        <f>Valores!$C$87</f>
        <v>0</v>
      </c>
      <c r="AK15" s="125">
        <f>Valores!C$38*B15</f>
        <v>0</v>
      </c>
      <c r="AL15" s="125">
        <f>IF($F$3="NO",0,Valores!$C$55)</f>
        <v>0</v>
      </c>
      <c r="AM15" s="125">
        <f t="shared" si="3"/>
        <v>0</v>
      </c>
      <c r="AN15" s="125">
        <f>AH15*Valores!$C$71</f>
        <v>-59749.7703</v>
      </c>
      <c r="AO15" s="125">
        <f>AH15*-Valores!$C$72</f>
        <v>0</v>
      </c>
      <c r="AP15" s="125">
        <f>AH15*Valores!$C$73</f>
        <v>-24443.08785</v>
      </c>
      <c r="AQ15" s="125">
        <f>Valores!$C$100</f>
        <v>-554.86</v>
      </c>
      <c r="AR15" s="125">
        <f>IF($F$5=0,Valores!$C$101,(Valores!$C$101+$F$5*(Valores!$C$101)))</f>
        <v>-550</v>
      </c>
      <c r="AS15" s="125">
        <f t="shared" si="6"/>
        <v>457882.01185</v>
      </c>
      <c r="AT15" s="125">
        <f t="shared" si="0"/>
        <v>-59749.7703</v>
      </c>
      <c r="AU15" s="125">
        <f>AH15*Valores!$C$74</f>
        <v>-14665.85271</v>
      </c>
      <c r="AV15" s="125">
        <f>AH15*Valores!$C$75</f>
        <v>-1629.53919</v>
      </c>
      <c r="AW15" s="125">
        <f t="shared" si="4"/>
        <v>467134.56779999996</v>
      </c>
      <c r="AX15" s="126">
        <v>33</v>
      </c>
      <c r="AY15" s="126">
        <v>45</v>
      </c>
      <c r="AZ15" s="123" t="s">
        <v>8</v>
      </c>
    </row>
    <row r="16" spans="1:52" s="110" customFormat="1" ht="11.25" customHeight="1">
      <c r="A16" s="123" t="s">
        <v>126</v>
      </c>
      <c r="B16" s="123">
        <v>1</v>
      </c>
      <c r="C16" s="126">
        <v>9</v>
      </c>
      <c r="D16" s="124" t="s">
        <v>127</v>
      </c>
      <c r="E16" s="191">
        <v>100</v>
      </c>
      <c r="F16" s="125">
        <f>ROUND(E16*Valores!$C$2,2)</f>
        <v>4068.18</v>
      </c>
      <c r="G16" s="191">
        <v>3727</v>
      </c>
      <c r="H16" s="125">
        <f>ROUND(G16*Valores!$C$2,2)</f>
        <v>151621.07</v>
      </c>
      <c r="I16" s="191">
        <v>219</v>
      </c>
      <c r="J16" s="125">
        <f>ROUND(I16*Valores!$C$2,2)</f>
        <v>8909.31</v>
      </c>
      <c r="K16" s="191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27345.13</v>
      </c>
      <c r="N16" s="125">
        <f t="shared" si="1"/>
        <v>0</v>
      </c>
      <c r="O16" s="125">
        <f>Valores!$C$11</f>
        <v>36274.83</v>
      </c>
      <c r="P16" s="125">
        <f>Valores!$D$5</f>
        <v>20796.54</v>
      </c>
      <c r="Q16" s="125">
        <v>0</v>
      </c>
      <c r="R16" s="125">
        <f>IF($F$4="NO",Valores!$C$46,Valores!$C$46/2)</f>
        <v>17702.33</v>
      </c>
      <c r="S16" s="125">
        <v>0</v>
      </c>
      <c r="T16" s="125">
        <f t="shared" si="7"/>
        <v>0</v>
      </c>
      <c r="U16" s="125">
        <f t="shared" si="8"/>
        <v>164598.56</v>
      </c>
      <c r="V16" s="125">
        <f t="shared" si="9"/>
        <v>65839.42</v>
      </c>
      <c r="W16" s="191">
        <v>0</v>
      </c>
      <c r="X16" s="125">
        <f>ROUND(W16*Valores!$C$2,2)</f>
        <v>0</v>
      </c>
      <c r="Y16" s="125">
        <v>0</v>
      </c>
      <c r="Z16" s="125">
        <f>Valores!$C$94</f>
        <v>28478.14</v>
      </c>
      <c r="AA16" s="125">
        <f>Valores!$C$25</f>
        <v>850.59</v>
      </c>
      <c r="AB16" s="210">
        <v>0</v>
      </c>
      <c r="AC16" s="125">
        <f t="shared" si="2"/>
        <v>0</v>
      </c>
      <c r="AD16" s="125">
        <f>Valores!$C$26</f>
        <v>850.59</v>
      </c>
      <c r="AE16" s="191">
        <v>0</v>
      </c>
      <c r="AF16" s="125">
        <f>ROUND(AE16*Valores!$C$2,2)</f>
        <v>0</v>
      </c>
      <c r="AG16" s="125">
        <f>ROUND(IF($F$4="NO",Valores!$C$63,Valores!$C$63/2),2)</f>
        <v>9724.47</v>
      </c>
      <c r="AH16" s="125">
        <f t="shared" si="5"/>
        <v>537059.1599999999</v>
      </c>
      <c r="AI16" s="125">
        <f>Valores!$C$31</f>
        <v>0</v>
      </c>
      <c r="AJ16" s="125">
        <f>Valores!$C$87</f>
        <v>0</v>
      </c>
      <c r="AK16" s="125">
        <f>Valores!C$38*B16</f>
        <v>0</v>
      </c>
      <c r="AL16" s="125">
        <f>IF($F$3="NO",0,Valores!$C$55)</f>
        <v>0</v>
      </c>
      <c r="AM16" s="125">
        <f t="shared" si="3"/>
        <v>0</v>
      </c>
      <c r="AN16" s="125">
        <f>AH16*Valores!$C$71</f>
        <v>-59076.50759999999</v>
      </c>
      <c r="AO16" s="125">
        <f>AH16*-Valores!$C$72</f>
        <v>0</v>
      </c>
      <c r="AP16" s="125">
        <f>AH16*Valores!$C$73</f>
        <v>-24167.662199999995</v>
      </c>
      <c r="AQ16" s="125">
        <f>Valores!$C$100</f>
        <v>-554.86</v>
      </c>
      <c r="AR16" s="125">
        <f>IF($F$5=0,Valores!$C$101,(Valores!$C$101+$F$5*(Valores!$C$101)))</f>
        <v>-550</v>
      </c>
      <c r="AS16" s="125">
        <f t="shared" si="6"/>
        <v>452710.1301999999</v>
      </c>
      <c r="AT16" s="125">
        <f t="shared" si="0"/>
        <v>-59076.50759999999</v>
      </c>
      <c r="AU16" s="125">
        <f>AH16*Valores!$C$74</f>
        <v>-14500.597319999997</v>
      </c>
      <c r="AV16" s="125">
        <f>AH16*Valores!$C$75</f>
        <v>-1611.1774799999998</v>
      </c>
      <c r="AW16" s="125">
        <f t="shared" si="4"/>
        <v>461870.87759999995</v>
      </c>
      <c r="AX16" s="126">
        <v>33</v>
      </c>
      <c r="AY16" s="126">
        <v>45</v>
      </c>
      <c r="AZ16" s="123" t="s">
        <v>8</v>
      </c>
    </row>
    <row r="17" spans="1:52" s="110" customFormat="1" ht="11.25" customHeight="1">
      <c r="A17" s="123" t="s">
        <v>128</v>
      </c>
      <c r="B17" s="123">
        <v>1</v>
      </c>
      <c r="C17" s="126">
        <v>10</v>
      </c>
      <c r="D17" s="124" t="s">
        <v>129</v>
      </c>
      <c r="E17" s="191">
        <v>100</v>
      </c>
      <c r="F17" s="125">
        <f>ROUND(E17*Valores!$C$2,2)</f>
        <v>4068.18</v>
      </c>
      <c r="G17" s="191">
        <v>3727</v>
      </c>
      <c r="H17" s="125">
        <f>ROUND(G17*Valores!$C$2,2)</f>
        <v>151621.07</v>
      </c>
      <c r="I17" s="191">
        <v>219</v>
      </c>
      <c r="J17" s="125">
        <f>ROUND(I17*Valores!$C$2,2)</f>
        <v>8909.31</v>
      </c>
      <c r="K17" s="191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27345.13</v>
      </c>
      <c r="N17" s="125">
        <f t="shared" si="1"/>
        <v>0</v>
      </c>
      <c r="O17" s="125">
        <f>Valores!$C$11</f>
        <v>36274.83</v>
      </c>
      <c r="P17" s="125">
        <f>Valores!$D$5</f>
        <v>20796.54</v>
      </c>
      <c r="Q17" s="125">
        <v>0</v>
      </c>
      <c r="R17" s="125">
        <f>IF($F$4="NO",Valores!$C$46,Valores!$C$46/2)</f>
        <v>17702.33</v>
      </c>
      <c r="S17" s="125">
        <v>0</v>
      </c>
      <c r="T17" s="125">
        <f t="shared" si="7"/>
        <v>0</v>
      </c>
      <c r="U17" s="125">
        <f t="shared" si="8"/>
        <v>164598.56</v>
      </c>
      <c r="V17" s="125">
        <f t="shared" si="9"/>
        <v>65839.42</v>
      </c>
      <c r="W17" s="191">
        <v>0</v>
      </c>
      <c r="X17" s="125">
        <f>ROUND(W17*Valores!$C$2,2)</f>
        <v>0</v>
      </c>
      <c r="Y17" s="125">
        <v>0</v>
      </c>
      <c r="Z17" s="125">
        <f>Valores!$C$94</f>
        <v>28478.14</v>
      </c>
      <c r="AA17" s="125">
        <f>Valores!$C$25</f>
        <v>850.59</v>
      </c>
      <c r="AB17" s="210">
        <v>0</v>
      </c>
      <c r="AC17" s="125">
        <f t="shared" si="2"/>
        <v>0</v>
      </c>
      <c r="AD17" s="125">
        <f>Valores!$C$26</f>
        <v>850.59</v>
      </c>
      <c r="AE17" s="191">
        <v>0</v>
      </c>
      <c r="AF17" s="125">
        <f>ROUND(AE17*Valores!$C$2,2)</f>
        <v>0</v>
      </c>
      <c r="AG17" s="125">
        <f>ROUND(IF($F$4="NO",Valores!$C$63,Valores!$C$63/2),2)</f>
        <v>9724.47</v>
      </c>
      <c r="AH17" s="125">
        <f t="shared" si="5"/>
        <v>537059.1599999999</v>
      </c>
      <c r="AI17" s="125">
        <f>Valores!$C$31</f>
        <v>0</v>
      </c>
      <c r="AJ17" s="125">
        <f>Valores!$C$87</f>
        <v>0</v>
      </c>
      <c r="AK17" s="125">
        <f>Valores!C$38*B17</f>
        <v>0</v>
      </c>
      <c r="AL17" s="125">
        <f>IF($F$3="NO",0,Valores!$C$55)</f>
        <v>0</v>
      </c>
      <c r="AM17" s="125">
        <f t="shared" si="3"/>
        <v>0</v>
      </c>
      <c r="AN17" s="125">
        <f>AH17*Valores!$C$71</f>
        <v>-59076.50759999999</v>
      </c>
      <c r="AO17" s="125">
        <f>AH17*-Valores!$C$72</f>
        <v>0</v>
      </c>
      <c r="AP17" s="125">
        <f>AH17*Valores!$C$73</f>
        <v>-24167.662199999995</v>
      </c>
      <c r="AQ17" s="125">
        <f>Valores!$C$100</f>
        <v>-554.86</v>
      </c>
      <c r="AR17" s="125">
        <f>IF($F$5=0,Valores!$C$101,(Valores!$C$101+$F$5*(Valores!$C$101)))</f>
        <v>-550</v>
      </c>
      <c r="AS17" s="125">
        <f t="shared" si="6"/>
        <v>452710.1301999999</v>
      </c>
      <c r="AT17" s="125">
        <f t="shared" si="0"/>
        <v>-59076.50759999999</v>
      </c>
      <c r="AU17" s="125">
        <f>AH17*Valores!$C$74</f>
        <v>-14500.597319999997</v>
      </c>
      <c r="AV17" s="125">
        <f>AH17*Valores!$C$75</f>
        <v>-1611.1774799999998</v>
      </c>
      <c r="AW17" s="125">
        <f t="shared" si="4"/>
        <v>461870.87759999995</v>
      </c>
      <c r="AX17" s="126">
        <v>33</v>
      </c>
      <c r="AY17" s="126">
        <v>45</v>
      </c>
      <c r="AZ17" s="123" t="s">
        <v>8</v>
      </c>
    </row>
    <row r="18" spans="1:52" s="110" customFormat="1" ht="11.25" customHeight="1">
      <c r="A18" s="123" t="s">
        <v>130</v>
      </c>
      <c r="B18" s="123">
        <v>1</v>
      </c>
      <c r="C18" s="126">
        <v>11</v>
      </c>
      <c r="D18" s="124" t="s">
        <v>131</v>
      </c>
      <c r="E18" s="191">
        <v>100</v>
      </c>
      <c r="F18" s="125">
        <f>ROUND(E18*Valores!$C$2,2)</f>
        <v>4068.18</v>
      </c>
      <c r="G18" s="191">
        <v>3727</v>
      </c>
      <c r="H18" s="125">
        <f>ROUND(G18*Valores!$C$2,2)</f>
        <v>151621.07</v>
      </c>
      <c r="I18" s="191">
        <v>219</v>
      </c>
      <c r="J18" s="125">
        <f>ROUND(I18*Valores!$C$2,2)</f>
        <v>8909.31</v>
      </c>
      <c r="K18" s="191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27345.13</v>
      </c>
      <c r="N18" s="125">
        <f t="shared" si="1"/>
        <v>0</v>
      </c>
      <c r="O18" s="125">
        <f>Valores!$C$11</f>
        <v>36274.83</v>
      </c>
      <c r="P18" s="125">
        <f>Valores!$D$5</f>
        <v>20796.54</v>
      </c>
      <c r="Q18" s="125">
        <v>0</v>
      </c>
      <c r="R18" s="125">
        <f>IF($F$4="NO",Valores!$C$46,Valores!$C$46/2)</f>
        <v>17702.33</v>
      </c>
      <c r="S18" s="125">
        <v>0</v>
      </c>
      <c r="T18" s="125">
        <f t="shared" si="7"/>
        <v>0</v>
      </c>
      <c r="U18" s="125">
        <f t="shared" si="8"/>
        <v>164598.56</v>
      </c>
      <c r="V18" s="125">
        <f t="shared" si="9"/>
        <v>65839.42</v>
      </c>
      <c r="W18" s="191">
        <v>0</v>
      </c>
      <c r="X18" s="125">
        <f>ROUND(W18*Valores!$C$2,2)</f>
        <v>0</v>
      </c>
      <c r="Y18" s="125">
        <v>0</v>
      </c>
      <c r="Z18" s="125">
        <f>Valores!$C$94</f>
        <v>28478.14</v>
      </c>
      <c r="AA18" s="125">
        <f>Valores!$C$25</f>
        <v>850.59</v>
      </c>
      <c r="AB18" s="210">
        <v>0</v>
      </c>
      <c r="AC18" s="125">
        <f t="shared" si="2"/>
        <v>0</v>
      </c>
      <c r="AD18" s="125">
        <f>Valores!$C$26</f>
        <v>850.59</v>
      </c>
      <c r="AE18" s="191">
        <v>0</v>
      </c>
      <c r="AF18" s="125">
        <f>ROUND(AE18*Valores!$C$2,2)</f>
        <v>0</v>
      </c>
      <c r="AG18" s="125">
        <f>ROUND(IF($F$4="NO",Valores!$C$63,Valores!$C$63/2),2)</f>
        <v>9724.47</v>
      </c>
      <c r="AH18" s="125">
        <f t="shared" si="5"/>
        <v>537059.1599999999</v>
      </c>
      <c r="AI18" s="125">
        <f>Valores!$C$31</f>
        <v>0</v>
      </c>
      <c r="AJ18" s="125">
        <f>Valores!$C$87</f>
        <v>0</v>
      </c>
      <c r="AK18" s="125">
        <f>Valores!C$38*B18</f>
        <v>0</v>
      </c>
      <c r="AL18" s="125">
        <f>IF($F$3="NO",0,Valores!$C$55)</f>
        <v>0</v>
      </c>
      <c r="AM18" s="125">
        <f t="shared" si="3"/>
        <v>0</v>
      </c>
      <c r="AN18" s="125">
        <f>AH18*Valores!$C$71</f>
        <v>-59076.50759999999</v>
      </c>
      <c r="AO18" s="125">
        <f>AH18*-Valores!$C$72</f>
        <v>0</v>
      </c>
      <c r="AP18" s="125">
        <f>AH18*Valores!$C$73</f>
        <v>-24167.662199999995</v>
      </c>
      <c r="AQ18" s="125">
        <f>Valores!$C$100</f>
        <v>-554.86</v>
      </c>
      <c r="AR18" s="125">
        <f>IF($F$5=0,Valores!$C$101,(Valores!$C$101+$F$5*(Valores!$C$101)))</f>
        <v>-550</v>
      </c>
      <c r="AS18" s="125">
        <f t="shared" si="6"/>
        <v>452710.1301999999</v>
      </c>
      <c r="AT18" s="125">
        <f t="shared" si="0"/>
        <v>-59076.50759999999</v>
      </c>
      <c r="AU18" s="125">
        <f>AH18*Valores!$C$74</f>
        <v>-14500.597319999997</v>
      </c>
      <c r="AV18" s="125">
        <f>AH18*Valores!$C$75</f>
        <v>-1611.1774799999998</v>
      </c>
      <c r="AW18" s="125">
        <f t="shared" si="4"/>
        <v>461870.87759999995</v>
      </c>
      <c r="AX18" s="126"/>
      <c r="AY18" s="126">
        <v>45</v>
      </c>
      <c r="AZ18" s="123" t="s">
        <v>8</v>
      </c>
    </row>
    <row r="19" spans="1:52" s="110" customFormat="1" ht="11.25" customHeight="1">
      <c r="A19" s="123" t="s">
        <v>132</v>
      </c>
      <c r="B19" s="123">
        <v>1</v>
      </c>
      <c r="C19" s="126">
        <v>12</v>
      </c>
      <c r="D19" s="124" t="s">
        <v>133</v>
      </c>
      <c r="E19" s="191">
        <v>100</v>
      </c>
      <c r="F19" s="125">
        <f>ROUND(E19*Valores!$C$2,2)</f>
        <v>4068.18</v>
      </c>
      <c r="G19" s="191">
        <v>3727</v>
      </c>
      <c r="H19" s="125">
        <f>ROUND(G19*Valores!$C$2,2)</f>
        <v>151621.07</v>
      </c>
      <c r="I19" s="191">
        <v>219</v>
      </c>
      <c r="J19" s="125">
        <f>ROUND(I19*Valores!$C$2,2)</f>
        <v>8909.31</v>
      </c>
      <c r="K19" s="191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27345.13</v>
      </c>
      <c r="N19" s="125">
        <f t="shared" si="1"/>
        <v>0</v>
      </c>
      <c r="O19" s="125">
        <f>Valores!$C$11</f>
        <v>36274.83</v>
      </c>
      <c r="P19" s="125">
        <f>Valores!$D$5</f>
        <v>20796.54</v>
      </c>
      <c r="Q19" s="125">
        <v>0</v>
      </c>
      <c r="R19" s="125">
        <f>IF($F$4="NO",Valores!$C$46,Valores!$C$46/2)</f>
        <v>17702.33</v>
      </c>
      <c r="S19" s="125">
        <v>0</v>
      </c>
      <c r="T19" s="125">
        <f t="shared" si="7"/>
        <v>0</v>
      </c>
      <c r="U19" s="125">
        <f t="shared" si="8"/>
        <v>164598.56</v>
      </c>
      <c r="V19" s="125">
        <f t="shared" si="9"/>
        <v>65839.42</v>
      </c>
      <c r="W19" s="191">
        <v>0</v>
      </c>
      <c r="X19" s="125">
        <f>ROUND(W19*Valores!$C$2,2)</f>
        <v>0</v>
      </c>
      <c r="Y19" s="125">
        <v>0</v>
      </c>
      <c r="Z19" s="125">
        <f>Valores!$C$94</f>
        <v>28478.14</v>
      </c>
      <c r="AA19" s="125">
        <f>Valores!$C$25</f>
        <v>850.59</v>
      </c>
      <c r="AB19" s="210">
        <v>0</v>
      </c>
      <c r="AC19" s="125">
        <f t="shared" si="2"/>
        <v>0</v>
      </c>
      <c r="AD19" s="125">
        <f>Valores!$C$26</f>
        <v>850.59</v>
      </c>
      <c r="AE19" s="191">
        <v>0</v>
      </c>
      <c r="AF19" s="125">
        <f>ROUND(AE19*Valores!$C$2,2)</f>
        <v>0</v>
      </c>
      <c r="AG19" s="125">
        <f>ROUND(IF($F$4="NO",Valores!$C$63,Valores!$C$63/2),2)</f>
        <v>9724.47</v>
      </c>
      <c r="AH19" s="125">
        <f t="shared" si="5"/>
        <v>537059.1599999999</v>
      </c>
      <c r="AI19" s="125">
        <f>Valores!$C$31</f>
        <v>0</v>
      </c>
      <c r="AJ19" s="125">
        <f>Valores!$C$87</f>
        <v>0</v>
      </c>
      <c r="AK19" s="125">
        <f>Valores!C$38*B19</f>
        <v>0</v>
      </c>
      <c r="AL19" s="125">
        <f>IF($F$3="NO",0,Valores!$C$55)</f>
        <v>0</v>
      </c>
      <c r="AM19" s="125">
        <f t="shared" si="3"/>
        <v>0</v>
      </c>
      <c r="AN19" s="125">
        <f>AH19*Valores!$C$71</f>
        <v>-59076.50759999999</v>
      </c>
      <c r="AO19" s="125">
        <f>AH19*-Valores!$C$72</f>
        <v>0</v>
      </c>
      <c r="AP19" s="125">
        <f>AH19*Valores!$C$73</f>
        <v>-24167.662199999995</v>
      </c>
      <c r="AQ19" s="125">
        <f>Valores!$C$100</f>
        <v>-554.86</v>
      </c>
      <c r="AR19" s="125">
        <f>IF($F$5=0,Valores!$C$101,(Valores!$C$101+$F$5*(Valores!$C$101)))</f>
        <v>-550</v>
      </c>
      <c r="AS19" s="125">
        <f t="shared" si="6"/>
        <v>452710.1301999999</v>
      </c>
      <c r="AT19" s="125">
        <f t="shared" si="0"/>
        <v>-59076.50759999999</v>
      </c>
      <c r="AU19" s="125">
        <f>AH19*Valores!$C$74</f>
        <v>-14500.597319999997</v>
      </c>
      <c r="AV19" s="125">
        <f>AH19*Valores!$C$75</f>
        <v>-1611.1774799999998</v>
      </c>
      <c r="AW19" s="125">
        <f t="shared" si="4"/>
        <v>461870.87759999995</v>
      </c>
      <c r="AX19" s="126"/>
      <c r="AY19" s="126">
        <v>45</v>
      </c>
      <c r="AZ19" s="123" t="s">
        <v>8</v>
      </c>
    </row>
    <row r="20" spans="1:52" s="110" customFormat="1" ht="11.25" customHeight="1">
      <c r="A20" s="123" t="s">
        <v>134</v>
      </c>
      <c r="B20" s="123">
        <v>1</v>
      </c>
      <c r="C20" s="126">
        <v>13</v>
      </c>
      <c r="D20" s="124" t="s">
        <v>135</v>
      </c>
      <c r="E20" s="191">
        <v>100</v>
      </c>
      <c r="F20" s="125">
        <f>ROUND(E20*Valores!$C$2,2)</f>
        <v>4068.18</v>
      </c>
      <c r="G20" s="191">
        <v>3727</v>
      </c>
      <c r="H20" s="125">
        <f>ROUND(G20*Valores!$C$2,2)</f>
        <v>151621.07</v>
      </c>
      <c r="I20" s="191">
        <v>219</v>
      </c>
      <c r="J20" s="125">
        <f>ROUND(I20*Valores!$C$2,2)</f>
        <v>8909.31</v>
      </c>
      <c r="K20" s="191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27345.13</v>
      </c>
      <c r="N20" s="125">
        <f t="shared" si="1"/>
        <v>0</v>
      </c>
      <c r="O20" s="125">
        <f>Valores!$C$11</f>
        <v>36274.83</v>
      </c>
      <c r="P20" s="125">
        <f>Valores!$D$5</f>
        <v>20796.54</v>
      </c>
      <c r="Q20" s="125">
        <v>0</v>
      </c>
      <c r="R20" s="125">
        <f>IF($F$4="NO",Valores!$C$46,Valores!$C$46/2)</f>
        <v>17702.33</v>
      </c>
      <c r="S20" s="125">
        <v>0</v>
      </c>
      <c r="T20" s="125">
        <f t="shared" si="7"/>
        <v>0</v>
      </c>
      <c r="U20" s="125">
        <f t="shared" si="8"/>
        <v>164598.56</v>
      </c>
      <c r="V20" s="125">
        <f t="shared" si="9"/>
        <v>65839.42</v>
      </c>
      <c r="W20" s="191">
        <v>0</v>
      </c>
      <c r="X20" s="125">
        <f>ROUND(W20*Valores!$C$2,2)</f>
        <v>0</v>
      </c>
      <c r="Y20" s="125">
        <v>0</v>
      </c>
      <c r="Z20" s="125">
        <f>Valores!$C$94</f>
        <v>28478.14</v>
      </c>
      <c r="AA20" s="125">
        <f>Valores!$C$25</f>
        <v>850.59</v>
      </c>
      <c r="AB20" s="210">
        <v>0</v>
      </c>
      <c r="AC20" s="125">
        <f t="shared" si="2"/>
        <v>0</v>
      </c>
      <c r="AD20" s="125">
        <f>Valores!$C$26</f>
        <v>850.59</v>
      </c>
      <c r="AE20" s="191">
        <v>0</v>
      </c>
      <c r="AF20" s="125">
        <f>ROUND(AE20*Valores!$C$2,2)</f>
        <v>0</v>
      </c>
      <c r="AG20" s="125">
        <f>ROUND(IF($F$4="NO",Valores!$C$63,Valores!$C$63/2),2)</f>
        <v>9724.47</v>
      </c>
      <c r="AH20" s="125">
        <f t="shared" si="5"/>
        <v>537059.1599999999</v>
      </c>
      <c r="AI20" s="125">
        <f>Valores!$C$31</f>
        <v>0</v>
      </c>
      <c r="AJ20" s="125">
        <f>Valores!$C$87</f>
        <v>0</v>
      </c>
      <c r="AK20" s="125">
        <f>Valores!C$38*B20</f>
        <v>0</v>
      </c>
      <c r="AL20" s="125">
        <f>IF($F$3="NO",0,Valores!$C$55)</f>
        <v>0</v>
      </c>
      <c r="AM20" s="125">
        <f t="shared" si="3"/>
        <v>0</v>
      </c>
      <c r="AN20" s="125">
        <f>AH20*Valores!$C$71</f>
        <v>-59076.50759999999</v>
      </c>
      <c r="AO20" s="125">
        <f>AH20*-Valores!$C$72</f>
        <v>0</v>
      </c>
      <c r="AP20" s="125">
        <f>AH20*Valores!$C$73</f>
        <v>-24167.662199999995</v>
      </c>
      <c r="AQ20" s="125">
        <f>Valores!$C$100</f>
        <v>-554.86</v>
      </c>
      <c r="AR20" s="125">
        <f>IF($F$5=0,Valores!$C$101,(Valores!$C$101+$F$5*(Valores!$C$101)))</f>
        <v>-550</v>
      </c>
      <c r="AS20" s="125">
        <f t="shared" si="6"/>
        <v>452710.1301999999</v>
      </c>
      <c r="AT20" s="125">
        <f t="shared" si="0"/>
        <v>-59076.50759999999</v>
      </c>
      <c r="AU20" s="125">
        <f>AH20*Valores!$C$74</f>
        <v>-14500.597319999997</v>
      </c>
      <c r="AV20" s="125">
        <f>AH20*Valores!$C$75</f>
        <v>-1611.1774799999998</v>
      </c>
      <c r="AW20" s="125">
        <f t="shared" si="4"/>
        <v>461870.87759999995</v>
      </c>
      <c r="AX20" s="126"/>
      <c r="AY20" s="126">
        <v>45</v>
      </c>
      <c r="AZ20" s="123" t="s">
        <v>8</v>
      </c>
    </row>
    <row r="21" spans="1:52" s="110" customFormat="1" ht="11.25" customHeight="1">
      <c r="A21" s="123" t="s">
        <v>136</v>
      </c>
      <c r="B21" s="123">
        <v>1</v>
      </c>
      <c r="C21" s="126">
        <v>14</v>
      </c>
      <c r="D21" s="124" t="s">
        <v>137</v>
      </c>
      <c r="E21" s="191">
        <v>107</v>
      </c>
      <c r="F21" s="125">
        <f>ROUND(E21*Valores!$C$2,2)</f>
        <v>4352.95</v>
      </c>
      <c r="G21" s="191">
        <v>3720</v>
      </c>
      <c r="H21" s="125">
        <f>ROUND(G21*Valores!$C$2,2)</f>
        <v>151336.3</v>
      </c>
      <c r="I21" s="191">
        <v>1226</v>
      </c>
      <c r="J21" s="125">
        <f>ROUND(I21*Valores!$C$2,2)</f>
        <v>49875.89</v>
      </c>
      <c r="K21" s="191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36998.62</v>
      </c>
      <c r="N21" s="125">
        <f t="shared" si="1"/>
        <v>0</v>
      </c>
      <c r="O21" s="125">
        <f>Valores!$C$12</f>
        <v>92295.44</v>
      </c>
      <c r="P21" s="125">
        <f>Valores!$D$5</f>
        <v>20796.54</v>
      </c>
      <c r="Q21" s="125">
        <v>0</v>
      </c>
      <c r="R21" s="125">
        <f>IF($F$4="NO",Valores!$C$47,Valores!$C$47/2)</f>
        <v>21740.79</v>
      </c>
      <c r="S21" s="125">
        <f>Valores!$C$19</f>
        <v>19351.52</v>
      </c>
      <c r="T21" s="125">
        <f t="shared" si="7"/>
        <v>19351.52</v>
      </c>
      <c r="U21" s="125">
        <v>0</v>
      </c>
      <c r="V21" s="125">
        <v>0</v>
      </c>
      <c r="W21" s="191">
        <v>0</v>
      </c>
      <c r="X21" s="125">
        <f>ROUND(W21*Valores!$C$2,2)</f>
        <v>0</v>
      </c>
      <c r="Y21" s="125">
        <v>0</v>
      </c>
      <c r="Z21" s="125">
        <f>Valores!$C$96</f>
        <v>56956.28</v>
      </c>
      <c r="AA21" s="125">
        <f>Valores!$C$25</f>
        <v>850.59</v>
      </c>
      <c r="AB21" s="210">
        <v>0</v>
      </c>
      <c r="AC21" s="125">
        <f t="shared" si="2"/>
        <v>0</v>
      </c>
      <c r="AD21" s="125">
        <f>Valores!$C$26</f>
        <v>850.59</v>
      </c>
      <c r="AE21" s="191">
        <v>0</v>
      </c>
      <c r="AF21" s="125">
        <f>ROUND(AE21*Valores!$C$2,2)</f>
        <v>0</v>
      </c>
      <c r="AG21" s="125">
        <f>ROUND(IF($F$4="NO",Valores!$C$63,Valores!$C$63/2),2)</f>
        <v>9724.47</v>
      </c>
      <c r="AH21" s="125">
        <f t="shared" si="5"/>
        <v>465129.98</v>
      </c>
      <c r="AI21" s="125">
        <f>Valores!$C$31</f>
        <v>0</v>
      </c>
      <c r="AJ21" s="125">
        <f>Valores!$C$89</f>
        <v>0</v>
      </c>
      <c r="AK21" s="125">
        <f>Valores!C$38*B21</f>
        <v>0</v>
      </c>
      <c r="AL21" s="125">
        <f>IF($F$3="NO",0,Valores!$C$55)</f>
        <v>0</v>
      </c>
      <c r="AM21" s="125">
        <f t="shared" si="3"/>
        <v>0</v>
      </c>
      <c r="AN21" s="125">
        <f>AH21*Valores!$C$71</f>
        <v>-51164.2978</v>
      </c>
      <c r="AO21" s="125">
        <f>AH21*-Valores!$C$72</f>
        <v>0</v>
      </c>
      <c r="AP21" s="125">
        <f>AH21*Valores!$C$73</f>
        <v>-20930.8491</v>
      </c>
      <c r="AQ21" s="125">
        <f>Valores!$C$100</f>
        <v>-554.86</v>
      </c>
      <c r="AR21" s="125">
        <f>IF($F$5=0,Valores!$C$101,(Valores!$C$101+$F$5*(Valores!$C$101)))</f>
        <v>-550</v>
      </c>
      <c r="AS21" s="125">
        <f t="shared" si="6"/>
        <v>391929.9731</v>
      </c>
      <c r="AT21" s="125">
        <f t="shared" si="0"/>
        <v>-51164.2978</v>
      </c>
      <c r="AU21" s="125">
        <f>AH21*Valores!$C$74</f>
        <v>-12558.50946</v>
      </c>
      <c r="AV21" s="125">
        <f>AH21*Valores!$C$75</f>
        <v>-1395.38994</v>
      </c>
      <c r="AW21" s="125">
        <f t="shared" si="4"/>
        <v>400011.7828</v>
      </c>
      <c r="AX21" s="126"/>
      <c r="AY21" s="126">
        <v>45</v>
      </c>
      <c r="AZ21" s="123" t="s">
        <v>4</v>
      </c>
    </row>
    <row r="22" spans="1:52" s="110" customFormat="1" ht="11.25" customHeight="1">
      <c r="A22" s="123" t="s">
        <v>138</v>
      </c>
      <c r="B22" s="123">
        <v>1</v>
      </c>
      <c r="C22" s="126">
        <v>15</v>
      </c>
      <c r="D22" s="124" t="s">
        <v>139</v>
      </c>
      <c r="E22" s="191">
        <v>100</v>
      </c>
      <c r="F22" s="125">
        <f>ROUND(E22*Valores!$C$2,2)</f>
        <v>4068.18</v>
      </c>
      <c r="G22" s="191">
        <v>3727</v>
      </c>
      <c r="H22" s="125">
        <f>ROUND(G22*Valores!$C$2,2)</f>
        <v>151621.07</v>
      </c>
      <c r="I22" s="191">
        <v>219</v>
      </c>
      <c r="J22" s="125">
        <f>ROUND(I22*Valores!$C$2,2)</f>
        <v>8909.31</v>
      </c>
      <c r="K22" s="191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27345.13</v>
      </c>
      <c r="N22" s="125">
        <f t="shared" si="1"/>
        <v>0</v>
      </c>
      <c r="O22" s="125">
        <f>Valores!$C$11</f>
        <v>36274.83</v>
      </c>
      <c r="P22" s="125">
        <f>Valores!$D$5</f>
        <v>20796.54</v>
      </c>
      <c r="Q22" s="125">
        <v>0</v>
      </c>
      <c r="R22" s="125">
        <f>IF($F$4="NO",Valores!$C$46,Valores!$C$46/2)</f>
        <v>17702.33</v>
      </c>
      <c r="S22" s="125">
        <v>0</v>
      </c>
      <c r="T22" s="125">
        <f t="shared" si="7"/>
        <v>0</v>
      </c>
      <c r="U22" s="125">
        <f>SUM(F22,H22,J22)</f>
        <v>164598.56</v>
      </c>
      <c r="V22" s="125">
        <f>INT((SUM(F22,H22,J22)*0.4*100)+0.49)/100</f>
        <v>65839.42</v>
      </c>
      <c r="W22" s="191">
        <v>0</v>
      </c>
      <c r="X22" s="125">
        <f>ROUND(W22*Valores!$C$2,2)</f>
        <v>0</v>
      </c>
      <c r="Y22" s="125">
        <v>0</v>
      </c>
      <c r="Z22" s="125">
        <f>Valores!$C$94</f>
        <v>28478.14</v>
      </c>
      <c r="AA22" s="125">
        <f>Valores!$C$25</f>
        <v>850.59</v>
      </c>
      <c r="AB22" s="210">
        <v>0</v>
      </c>
      <c r="AC22" s="125">
        <f t="shared" si="2"/>
        <v>0</v>
      </c>
      <c r="AD22" s="125">
        <f>Valores!$C$26</f>
        <v>850.59</v>
      </c>
      <c r="AE22" s="191">
        <v>0</v>
      </c>
      <c r="AF22" s="125">
        <f>ROUND(AE22*Valores!$C$2,2)</f>
        <v>0</v>
      </c>
      <c r="AG22" s="125">
        <f>ROUND(IF($F$4="NO",Valores!$C$63,Valores!$C$63/2),2)</f>
        <v>9724.47</v>
      </c>
      <c r="AH22" s="125">
        <f t="shared" si="5"/>
        <v>537059.1599999999</v>
      </c>
      <c r="AI22" s="125">
        <f>Valores!$C$31</f>
        <v>0</v>
      </c>
      <c r="AJ22" s="125">
        <f>Valores!$C$87</f>
        <v>0</v>
      </c>
      <c r="AK22" s="125">
        <f>Valores!C$38*B22</f>
        <v>0</v>
      </c>
      <c r="AL22" s="125">
        <f>IF($F$3="NO",0,Valores!$C$55)</f>
        <v>0</v>
      </c>
      <c r="AM22" s="125">
        <f t="shared" si="3"/>
        <v>0</v>
      </c>
      <c r="AN22" s="125">
        <f>AH22*Valores!$C$71</f>
        <v>-59076.50759999999</v>
      </c>
      <c r="AO22" s="125">
        <f>AH22*-Valores!$C$72</f>
        <v>0</v>
      </c>
      <c r="AP22" s="125">
        <f>AH22*Valores!$C$73</f>
        <v>-24167.662199999995</v>
      </c>
      <c r="AQ22" s="125">
        <f>Valores!$C$100</f>
        <v>-554.86</v>
      </c>
      <c r="AR22" s="125">
        <f>IF($F$5=0,Valores!$C$101,(Valores!$C$101+$F$5*(Valores!$C$101)))</f>
        <v>-550</v>
      </c>
      <c r="AS22" s="125">
        <f t="shared" si="6"/>
        <v>452710.1301999999</v>
      </c>
      <c r="AT22" s="125">
        <f t="shared" si="0"/>
        <v>-59076.50759999999</v>
      </c>
      <c r="AU22" s="125">
        <f>AH22*Valores!$C$74</f>
        <v>-14500.597319999997</v>
      </c>
      <c r="AV22" s="125">
        <f>AH22*Valores!$C$75</f>
        <v>-1611.1774799999998</v>
      </c>
      <c r="AW22" s="125">
        <f t="shared" si="4"/>
        <v>461870.87759999995</v>
      </c>
      <c r="AX22" s="126"/>
      <c r="AY22" s="126">
        <v>45</v>
      </c>
      <c r="AZ22" s="123" t="s">
        <v>8</v>
      </c>
    </row>
    <row r="23" spans="1:52" s="110" customFormat="1" ht="11.25" customHeight="1">
      <c r="A23" s="123" t="s">
        <v>140</v>
      </c>
      <c r="B23" s="123">
        <v>1</v>
      </c>
      <c r="C23" s="126">
        <v>16</v>
      </c>
      <c r="D23" s="124" t="s">
        <v>141</v>
      </c>
      <c r="E23" s="191">
        <v>100</v>
      </c>
      <c r="F23" s="125">
        <f>ROUND(E23*Valores!$C$2,2)</f>
        <v>4068.18</v>
      </c>
      <c r="G23" s="191">
        <v>3727</v>
      </c>
      <c r="H23" s="125">
        <f>ROUND(G23*Valores!$C$2,2)</f>
        <v>151621.07</v>
      </c>
      <c r="I23" s="191">
        <v>219</v>
      </c>
      <c r="J23" s="125">
        <f>ROUND(I23*Valores!$C$2,2)</f>
        <v>8909.31</v>
      </c>
      <c r="K23" s="191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27345.13</v>
      </c>
      <c r="N23" s="125">
        <f t="shared" si="1"/>
        <v>0</v>
      </c>
      <c r="O23" s="125">
        <f>Valores!$C$11</f>
        <v>36274.83</v>
      </c>
      <c r="P23" s="125">
        <f>Valores!$D$5</f>
        <v>20796.54</v>
      </c>
      <c r="Q23" s="125">
        <v>0</v>
      </c>
      <c r="R23" s="125">
        <f>IF($F$4="NO",Valores!$C$46,Valores!$C$46/2)</f>
        <v>17702.33</v>
      </c>
      <c r="S23" s="125">
        <v>0</v>
      </c>
      <c r="T23" s="125">
        <f t="shared" si="7"/>
        <v>0</v>
      </c>
      <c r="U23" s="125">
        <f>SUM(F23,H23,J23)</f>
        <v>164598.56</v>
      </c>
      <c r="V23" s="125">
        <f>INT((SUM(F23,H23,J23)*0.4*100)+0.49)/100</f>
        <v>65839.42</v>
      </c>
      <c r="W23" s="191">
        <v>0</v>
      </c>
      <c r="X23" s="125">
        <f>ROUND(W23*Valores!$C$2,2)</f>
        <v>0</v>
      </c>
      <c r="Y23" s="125">
        <v>0</v>
      </c>
      <c r="Z23" s="125">
        <f>Valores!$C$94</f>
        <v>28478.14</v>
      </c>
      <c r="AA23" s="125">
        <f>Valores!$C$25</f>
        <v>850.59</v>
      </c>
      <c r="AB23" s="210">
        <v>0</v>
      </c>
      <c r="AC23" s="125">
        <f t="shared" si="2"/>
        <v>0</v>
      </c>
      <c r="AD23" s="125">
        <f>Valores!$C$26</f>
        <v>850.59</v>
      </c>
      <c r="AE23" s="191">
        <v>0</v>
      </c>
      <c r="AF23" s="125">
        <f>ROUND(AE23*Valores!$C$2,2)</f>
        <v>0</v>
      </c>
      <c r="AG23" s="125">
        <f>ROUND(IF($F$4="NO",Valores!$C$63,Valores!$C$63/2),2)</f>
        <v>9724.47</v>
      </c>
      <c r="AH23" s="125">
        <f t="shared" si="5"/>
        <v>537059.1599999999</v>
      </c>
      <c r="AI23" s="125">
        <f>Valores!$C$31</f>
        <v>0</v>
      </c>
      <c r="AJ23" s="125">
        <f>Valores!$C$87</f>
        <v>0</v>
      </c>
      <c r="AK23" s="125">
        <f>Valores!C$38*B23</f>
        <v>0</v>
      </c>
      <c r="AL23" s="125">
        <f>IF($F$3="NO",0,Valores!$C$55)</f>
        <v>0</v>
      </c>
      <c r="AM23" s="125">
        <f t="shared" si="3"/>
        <v>0</v>
      </c>
      <c r="AN23" s="125">
        <f>AH23*Valores!$C$71</f>
        <v>-59076.50759999999</v>
      </c>
      <c r="AO23" s="125">
        <f>AH23*-Valores!$C$72</f>
        <v>0</v>
      </c>
      <c r="AP23" s="125">
        <f>AH23*Valores!$C$73</f>
        <v>-24167.662199999995</v>
      </c>
      <c r="AQ23" s="125">
        <f>Valores!$C$100</f>
        <v>-554.86</v>
      </c>
      <c r="AR23" s="125">
        <f>IF($F$5=0,Valores!$C$101,(Valores!$C$101+$F$5*(Valores!$C$101)))</f>
        <v>-550</v>
      </c>
      <c r="AS23" s="125">
        <f t="shared" si="6"/>
        <v>452710.1301999999</v>
      </c>
      <c r="AT23" s="125">
        <f t="shared" si="0"/>
        <v>-59076.50759999999</v>
      </c>
      <c r="AU23" s="125">
        <f>AH23*Valores!$C$74</f>
        <v>-14500.597319999997</v>
      </c>
      <c r="AV23" s="125">
        <f>AH23*Valores!$C$75</f>
        <v>-1611.1774799999998</v>
      </c>
      <c r="AW23" s="125">
        <f t="shared" si="4"/>
        <v>461870.87759999995</v>
      </c>
      <c r="AX23" s="126"/>
      <c r="AY23" s="126">
        <v>45</v>
      </c>
      <c r="AZ23" s="123" t="s">
        <v>8</v>
      </c>
    </row>
    <row r="24" spans="1:52" s="110" customFormat="1" ht="11.25" customHeight="1">
      <c r="A24" s="123" t="s">
        <v>142</v>
      </c>
      <c r="B24" s="123">
        <v>1</v>
      </c>
      <c r="C24" s="126">
        <v>17</v>
      </c>
      <c r="D24" s="124" t="s">
        <v>143</v>
      </c>
      <c r="E24" s="191">
        <v>100</v>
      </c>
      <c r="F24" s="125">
        <f>ROUND(E24*Valores!$C$2,2)</f>
        <v>4068.18</v>
      </c>
      <c r="G24" s="191">
        <v>3727</v>
      </c>
      <c r="H24" s="125">
        <f>ROUND(G24*Valores!$C$2,2)</f>
        <v>151621.07</v>
      </c>
      <c r="I24" s="191">
        <v>219</v>
      </c>
      <c r="J24" s="125">
        <f>ROUND(I24*Valores!$C$2,2)</f>
        <v>8909.31</v>
      </c>
      <c r="K24" s="191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27345.13</v>
      </c>
      <c r="N24" s="125">
        <f t="shared" si="1"/>
        <v>0</v>
      </c>
      <c r="O24" s="125">
        <f>Valores!$C$11</f>
        <v>36274.83</v>
      </c>
      <c r="P24" s="125">
        <f>Valores!$D$5</f>
        <v>20796.54</v>
      </c>
      <c r="Q24" s="125">
        <v>0</v>
      </c>
      <c r="R24" s="125">
        <f>IF($F$4="NO",Valores!$C$46,Valores!$C$46/2)</f>
        <v>17702.33</v>
      </c>
      <c r="S24" s="125">
        <v>0</v>
      </c>
      <c r="T24" s="125">
        <f t="shared" si="7"/>
        <v>0</v>
      </c>
      <c r="U24" s="125">
        <f>SUM(F24,H24,J24)</f>
        <v>164598.56</v>
      </c>
      <c r="V24" s="125">
        <f>INT((SUM(F24,H24,J24)*0.4*100)+0.49)/100</f>
        <v>65839.42</v>
      </c>
      <c r="W24" s="191">
        <v>0</v>
      </c>
      <c r="X24" s="125">
        <f>ROUND(W24*Valores!$C$2,2)</f>
        <v>0</v>
      </c>
      <c r="Y24" s="125">
        <v>0</v>
      </c>
      <c r="Z24" s="125">
        <f>Valores!$C$94</f>
        <v>28478.14</v>
      </c>
      <c r="AA24" s="125">
        <f>Valores!$C$25</f>
        <v>850.59</v>
      </c>
      <c r="AB24" s="210">
        <v>0</v>
      </c>
      <c r="AC24" s="125">
        <f t="shared" si="2"/>
        <v>0</v>
      </c>
      <c r="AD24" s="125">
        <f>Valores!$C$26</f>
        <v>850.59</v>
      </c>
      <c r="AE24" s="191">
        <v>0</v>
      </c>
      <c r="AF24" s="125">
        <f>ROUND(AE24*Valores!$C$2,2)</f>
        <v>0</v>
      </c>
      <c r="AG24" s="125">
        <f>ROUND(IF($F$4="NO",Valores!$C$63,Valores!$C$63/2),2)</f>
        <v>9724.47</v>
      </c>
      <c r="AH24" s="125">
        <f t="shared" si="5"/>
        <v>537059.1599999999</v>
      </c>
      <c r="AI24" s="125">
        <f>Valores!$C$31</f>
        <v>0</v>
      </c>
      <c r="AJ24" s="125">
        <f>Valores!$C$87</f>
        <v>0</v>
      </c>
      <c r="AK24" s="125">
        <f>Valores!C$38*B24</f>
        <v>0</v>
      </c>
      <c r="AL24" s="125">
        <f>IF($F$3="NO",0,Valores!$C$55)</f>
        <v>0</v>
      </c>
      <c r="AM24" s="125">
        <f t="shared" si="3"/>
        <v>0</v>
      </c>
      <c r="AN24" s="125">
        <f>AH24*Valores!$C$71</f>
        <v>-59076.50759999999</v>
      </c>
      <c r="AO24" s="125">
        <f>AH24*-Valores!$C$72</f>
        <v>0</v>
      </c>
      <c r="AP24" s="125">
        <f>AH24*Valores!$C$73</f>
        <v>-24167.662199999995</v>
      </c>
      <c r="AQ24" s="125">
        <f>Valores!$C$100</f>
        <v>-554.86</v>
      </c>
      <c r="AR24" s="125">
        <f>IF($F$5=0,Valores!$C$101,(Valores!$C$101+$F$5*(Valores!$C$101)))</f>
        <v>-550</v>
      </c>
      <c r="AS24" s="125">
        <f t="shared" si="6"/>
        <v>452710.1301999999</v>
      </c>
      <c r="AT24" s="125">
        <f t="shared" si="0"/>
        <v>-59076.50759999999</v>
      </c>
      <c r="AU24" s="125">
        <f>AH24*Valores!$C$74</f>
        <v>-14500.597319999997</v>
      </c>
      <c r="AV24" s="125">
        <f>AH24*Valores!$C$75</f>
        <v>-1611.1774799999998</v>
      </c>
      <c r="AW24" s="125">
        <f t="shared" si="4"/>
        <v>461870.87759999995</v>
      </c>
      <c r="AX24" s="126"/>
      <c r="AY24" s="126">
        <v>45</v>
      </c>
      <c r="AZ24" s="123" t="s">
        <v>8</v>
      </c>
    </row>
    <row r="25" spans="1:52" s="110" customFormat="1" ht="11.25" customHeight="1">
      <c r="A25" s="123" t="s">
        <v>144</v>
      </c>
      <c r="B25" s="123">
        <v>1</v>
      </c>
      <c r="C25" s="126">
        <v>18</v>
      </c>
      <c r="D25" s="124" t="s">
        <v>145</v>
      </c>
      <c r="E25" s="191">
        <v>96</v>
      </c>
      <c r="F25" s="125">
        <f>ROUND(E25*Valores!$C$2,2)</f>
        <v>3905.45</v>
      </c>
      <c r="G25" s="191">
        <v>3737</v>
      </c>
      <c r="H25" s="125">
        <f>ROUND(G25*Valores!$C$2,2)</f>
        <v>152027.89</v>
      </c>
      <c r="I25" s="191">
        <v>1220</v>
      </c>
      <c r="J25" s="125">
        <f>ROUND(I25*Valores!$C$2,2)</f>
        <v>49631.8</v>
      </c>
      <c r="K25" s="191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36998.62</v>
      </c>
      <c r="N25" s="125">
        <f t="shared" si="1"/>
        <v>0</v>
      </c>
      <c r="O25" s="125">
        <f>Valores!$C$12</f>
        <v>92295.44</v>
      </c>
      <c r="P25" s="125">
        <f>Valores!$D$5</f>
        <v>20796.54</v>
      </c>
      <c r="Q25" s="125">
        <v>0</v>
      </c>
      <c r="R25" s="125">
        <f>IF($F$4="NO",Valores!$C$47,Valores!$C$47/2)</f>
        <v>21740.79</v>
      </c>
      <c r="S25" s="125">
        <f>Valores!$C$19</f>
        <v>19351.52</v>
      </c>
      <c r="T25" s="125">
        <f t="shared" si="7"/>
        <v>19351.52</v>
      </c>
      <c r="U25" s="125">
        <v>0</v>
      </c>
      <c r="V25" s="125">
        <v>0</v>
      </c>
      <c r="W25" s="191">
        <v>0</v>
      </c>
      <c r="X25" s="125">
        <f>ROUND(W25*Valores!$C$2,2)</f>
        <v>0</v>
      </c>
      <c r="Y25" s="125">
        <v>0</v>
      </c>
      <c r="Z25" s="125">
        <f>Valores!$C$96</f>
        <v>56956.28</v>
      </c>
      <c r="AA25" s="125">
        <f>Valores!$C$25</f>
        <v>850.59</v>
      </c>
      <c r="AB25" s="210">
        <v>0</v>
      </c>
      <c r="AC25" s="125">
        <f t="shared" si="2"/>
        <v>0</v>
      </c>
      <c r="AD25" s="125">
        <f>Valores!$C$26</f>
        <v>850.59</v>
      </c>
      <c r="AE25" s="191">
        <v>0</v>
      </c>
      <c r="AF25" s="125">
        <f>ROUND(AE25*Valores!$C$2,2)</f>
        <v>0</v>
      </c>
      <c r="AG25" s="125">
        <f>ROUND(IF($F$4="NO",Valores!$C$63,Valores!$C$63/2),2)</f>
        <v>9724.47</v>
      </c>
      <c r="AH25" s="125">
        <f t="shared" si="5"/>
        <v>465129.98</v>
      </c>
      <c r="AI25" s="125">
        <f>Valores!$C$31</f>
        <v>0</v>
      </c>
      <c r="AJ25" s="125">
        <f>Valores!$C$89</f>
        <v>0</v>
      </c>
      <c r="AK25" s="125">
        <f>Valores!C$38*B25</f>
        <v>0</v>
      </c>
      <c r="AL25" s="125">
        <f>IF($F$3="NO",0,Valores!$C$55)</f>
        <v>0</v>
      </c>
      <c r="AM25" s="125">
        <f t="shared" si="3"/>
        <v>0</v>
      </c>
      <c r="AN25" s="125">
        <f>AH25*Valores!$C$71</f>
        <v>-51164.2978</v>
      </c>
      <c r="AO25" s="125">
        <f>AH25*-Valores!$C$72</f>
        <v>0</v>
      </c>
      <c r="AP25" s="125">
        <f>AH25*Valores!$C$73</f>
        <v>-20930.8491</v>
      </c>
      <c r="AQ25" s="125">
        <f>Valores!$C$100</f>
        <v>-554.86</v>
      </c>
      <c r="AR25" s="125">
        <f>IF($F$5=0,Valores!$C$101,(Valores!$C$101+$F$5*(Valores!$C$101)))</f>
        <v>-550</v>
      </c>
      <c r="AS25" s="125">
        <f t="shared" si="6"/>
        <v>391929.9731</v>
      </c>
      <c r="AT25" s="125">
        <f t="shared" si="0"/>
        <v>-51164.2978</v>
      </c>
      <c r="AU25" s="125">
        <f>AH25*Valores!$C$74</f>
        <v>-12558.50946</v>
      </c>
      <c r="AV25" s="125">
        <f>AH25*Valores!$C$75</f>
        <v>-1395.38994</v>
      </c>
      <c r="AW25" s="125">
        <f t="shared" si="4"/>
        <v>400011.7828</v>
      </c>
      <c r="AX25" s="126"/>
      <c r="AY25" s="126">
        <v>45</v>
      </c>
      <c r="AZ25" s="123" t="s">
        <v>4</v>
      </c>
    </row>
    <row r="26" spans="1:52" s="110" customFormat="1" ht="11.25" customHeight="1">
      <c r="A26" s="123" t="s">
        <v>146</v>
      </c>
      <c r="B26" s="123">
        <v>1</v>
      </c>
      <c r="C26" s="126">
        <v>19</v>
      </c>
      <c r="D26" s="124" t="s">
        <v>147</v>
      </c>
      <c r="E26" s="191">
        <v>96</v>
      </c>
      <c r="F26" s="125">
        <f>ROUND(E26*Valores!$C$2,2)</f>
        <v>3905.45</v>
      </c>
      <c r="G26" s="191">
        <v>3737</v>
      </c>
      <c r="H26" s="125">
        <f>ROUND(G26*Valores!$C$2,2)</f>
        <v>152027.89</v>
      </c>
      <c r="I26" s="191">
        <v>1220</v>
      </c>
      <c r="J26" s="125">
        <f>ROUND(I26*Valores!$C$2,2)</f>
        <v>49631.8</v>
      </c>
      <c r="K26" s="191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36998.62</v>
      </c>
      <c r="N26" s="125">
        <f t="shared" si="1"/>
        <v>0</v>
      </c>
      <c r="O26" s="125">
        <f>Valores!$C$12</f>
        <v>92295.44</v>
      </c>
      <c r="P26" s="125">
        <f>Valores!$D$5</f>
        <v>20796.54</v>
      </c>
      <c r="Q26" s="125">
        <v>0</v>
      </c>
      <c r="R26" s="125">
        <f>IF($F$4="NO",Valores!$C$47,Valores!$C$47/2)</f>
        <v>21740.79</v>
      </c>
      <c r="S26" s="125">
        <f>Valores!$C$19</f>
        <v>19351.52</v>
      </c>
      <c r="T26" s="125">
        <f t="shared" si="7"/>
        <v>19351.52</v>
      </c>
      <c r="U26" s="125">
        <v>0</v>
      </c>
      <c r="V26" s="125">
        <v>0</v>
      </c>
      <c r="W26" s="191">
        <v>0</v>
      </c>
      <c r="X26" s="125">
        <f>ROUND(W26*Valores!$C$2,2)</f>
        <v>0</v>
      </c>
      <c r="Y26" s="125">
        <v>0</v>
      </c>
      <c r="Z26" s="125">
        <f>Valores!$C$96</f>
        <v>56956.28</v>
      </c>
      <c r="AA26" s="125">
        <f>Valores!$C$25</f>
        <v>850.59</v>
      </c>
      <c r="AB26" s="210">
        <v>0</v>
      </c>
      <c r="AC26" s="125">
        <f t="shared" si="2"/>
        <v>0</v>
      </c>
      <c r="AD26" s="125">
        <f>Valores!$C$26</f>
        <v>850.59</v>
      </c>
      <c r="AE26" s="191">
        <v>0</v>
      </c>
      <c r="AF26" s="125">
        <f>ROUND(AE26*Valores!$C$2,2)</f>
        <v>0</v>
      </c>
      <c r="AG26" s="125">
        <f>ROUND(IF($F$4="NO",Valores!$C$63,Valores!$C$63/2),2)</f>
        <v>9724.47</v>
      </c>
      <c r="AH26" s="125">
        <f t="shared" si="5"/>
        <v>465129.98</v>
      </c>
      <c r="AI26" s="125">
        <f>Valores!$C$31</f>
        <v>0</v>
      </c>
      <c r="AJ26" s="125">
        <f>Valores!$C$89</f>
        <v>0</v>
      </c>
      <c r="AK26" s="125">
        <f>Valores!C$38*B26</f>
        <v>0</v>
      </c>
      <c r="AL26" s="125">
        <f>IF($F$3="NO",0,Valores!$C$55)</f>
        <v>0</v>
      </c>
      <c r="AM26" s="125">
        <f t="shared" si="3"/>
        <v>0</v>
      </c>
      <c r="AN26" s="125">
        <f>AH26*Valores!$C$71</f>
        <v>-51164.2978</v>
      </c>
      <c r="AO26" s="125">
        <f>AH26*-Valores!$C$72</f>
        <v>0</v>
      </c>
      <c r="AP26" s="125">
        <f>AH26*Valores!$C$73</f>
        <v>-20930.8491</v>
      </c>
      <c r="AQ26" s="125">
        <f>Valores!$C$100</f>
        <v>-554.86</v>
      </c>
      <c r="AR26" s="125">
        <f>IF($F$5=0,Valores!$C$101,(Valores!$C$101+$F$5*(Valores!$C$101)))</f>
        <v>-550</v>
      </c>
      <c r="AS26" s="125">
        <f t="shared" si="6"/>
        <v>391929.9731</v>
      </c>
      <c r="AT26" s="125">
        <f t="shared" si="0"/>
        <v>-51164.2978</v>
      </c>
      <c r="AU26" s="125">
        <f>AH26*Valores!$C$74</f>
        <v>-12558.50946</v>
      </c>
      <c r="AV26" s="125">
        <f>AH26*Valores!$C$75</f>
        <v>-1395.38994</v>
      </c>
      <c r="AW26" s="125">
        <f t="shared" si="4"/>
        <v>400011.7828</v>
      </c>
      <c r="AX26" s="126"/>
      <c r="AY26" s="126">
        <v>45</v>
      </c>
      <c r="AZ26" s="123" t="s">
        <v>4</v>
      </c>
    </row>
    <row r="27" spans="1:52" s="110" customFormat="1" ht="11.25" customHeight="1">
      <c r="A27" s="123" t="s">
        <v>148</v>
      </c>
      <c r="B27" s="123">
        <v>1</v>
      </c>
      <c r="C27" s="126">
        <v>20</v>
      </c>
      <c r="D27" s="124" t="s">
        <v>149</v>
      </c>
      <c r="E27" s="191">
        <v>96</v>
      </c>
      <c r="F27" s="125">
        <f>ROUND(E27*Valores!$C$2,2)</f>
        <v>3905.45</v>
      </c>
      <c r="G27" s="191">
        <v>3737</v>
      </c>
      <c r="H27" s="125">
        <f>ROUND(G27*Valores!$C$2,2)</f>
        <v>152027.89</v>
      </c>
      <c r="I27" s="191">
        <v>1220</v>
      </c>
      <c r="J27" s="125">
        <f>ROUND(I27*Valores!$C$2,2)</f>
        <v>49631.8</v>
      </c>
      <c r="K27" s="191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36998.62</v>
      </c>
      <c r="N27" s="125">
        <f t="shared" si="1"/>
        <v>0</v>
      </c>
      <c r="O27" s="125">
        <f>Valores!$C$12</f>
        <v>92295.44</v>
      </c>
      <c r="P27" s="125">
        <f>Valores!$D$5</f>
        <v>20796.54</v>
      </c>
      <c r="Q27" s="125">
        <v>0</v>
      </c>
      <c r="R27" s="125">
        <f>IF($F$4="NO",Valores!$C$47,Valores!$C$47/2)</f>
        <v>21740.79</v>
      </c>
      <c r="S27" s="125">
        <f>Valores!$C$19</f>
        <v>19351.52</v>
      </c>
      <c r="T27" s="125">
        <f t="shared" si="7"/>
        <v>19351.52</v>
      </c>
      <c r="U27" s="125">
        <v>0</v>
      </c>
      <c r="V27" s="125">
        <v>0</v>
      </c>
      <c r="W27" s="191">
        <v>0</v>
      </c>
      <c r="X27" s="125">
        <f>ROUND(W27*Valores!$C$2,2)</f>
        <v>0</v>
      </c>
      <c r="Y27" s="125">
        <v>0</v>
      </c>
      <c r="Z27" s="125">
        <f>Valores!$C$96</f>
        <v>56956.28</v>
      </c>
      <c r="AA27" s="125">
        <f>Valores!$C$25</f>
        <v>850.59</v>
      </c>
      <c r="AB27" s="210">
        <v>0</v>
      </c>
      <c r="AC27" s="125">
        <f t="shared" si="2"/>
        <v>0</v>
      </c>
      <c r="AD27" s="125">
        <f>Valores!$C$26</f>
        <v>850.59</v>
      </c>
      <c r="AE27" s="191">
        <v>0</v>
      </c>
      <c r="AF27" s="125">
        <f>ROUND(AE27*Valores!$C$2,2)</f>
        <v>0</v>
      </c>
      <c r="AG27" s="125">
        <f>ROUND(IF($F$4="NO",Valores!$C$63,Valores!$C$63/2),2)</f>
        <v>9724.47</v>
      </c>
      <c r="AH27" s="125">
        <f t="shared" si="5"/>
        <v>465129.98</v>
      </c>
      <c r="AI27" s="125">
        <f>Valores!$C$31</f>
        <v>0</v>
      </c>
      <c r="AJ27" s="125">
        <f>Valores!$C$89</f>
        <v>0</v>
      </c>
      <c r="AK27" s="125">
        <f>Valores!C$38*B27</f>
        <v>0</v>
      </c>
      <c r="AL27" s="125">
        <f>IF($F$3="NO",0,Valores!$C$55)</f>
        <v>0</v>
      </c>
      <c r="AM27" s="125">
        <f t="shared" si="3"/>
        <v>0</v>
      </c>
      <c r="AN27" s="125">
        <f>AH27*Valores!$C$71</f>
        <v>-51164.2978</v>
      </c>
      <c r="AO27" s="125">
        <f>AH27*-Valores!$C$72</f>
        <v>0</v>
      </c>
      <c r="AP27" s="125">
        <f>AH27*Valores!$C$73</f>
        <v>-20930.8491</v>
      </c>
      <c r="AQ27" s="125">
        <f>Valores!$C$100</f>
        <v>-554.86</v>
      </c>
      <c r="AR27" s="125">
        <f>IF($F$5=0,Valores!$C$101,(Valores!$C$101+$F$5*(Valores!$C$101)))</f>
        <v>-550</v>
      </c>
      <c r="AS27" s="125">
        <f t="shared" si="6"/>
        <v>391929.9731</v>
      </c>
      <c r="AT27" s="125">
        <f t="shared" si="0"/>
        <v>-51164.2978</v>
      </c>
      <c r="AU27" s="125">
        <f>AH27*Valores!$C$74</f>
        <v>-12558.50946</v>
      </c>
      <c r="AV27" s="125">
        <f>AH27*Valores!$C$75</f>
        <v>-1395.38994</v>
      </c>
      <c r="AW27" s="125">
        <f t="shared" si="4"/>
        <v>400011.7828</v>
      </c>
      <c r="AX27" s="126"/>
      <c r="AY27" s="126">
        <v>45</v>
      </c>
      <c r="AZ27" s="123" t="s">
        <v>4</v>
      </c>
    </row>
    <row r="28" spans="1:52" s="110" customFormat="1" ht="11.25" customHeight="1">
      <c r="A28" s="123" t="s">
        <v>150</v>
      </c>
      <c r="B28" s="123">
        <v>1</v>
      </c>
      <c r="C28" s="126">
        <v>21</v>
      </c>
      <c r="D28" s="124" t="s">
        <v>151</v>
      </c>
      <c r="E28" s="191">
        <v>107</v>
      </c>
      <c r="F28" s="125">
        <f>ROUND(E28*Valores!$C$2,2)</f>
        <v>4352.95</v>
      </c>
      <c r="G28" s="191">
        <v>3728</v>
      </c>
      <c r="H28" s="125">
        <f>ROUND(G28*Valores!$C$2,2)</f>
        <v>151661.75</v>
      </c>
      <c r="I28" s="191">
        <v>1218</v>
      </c>
      <c r="J28" s="125">
        <f>ROUND(I28*Valores!$C$2,2)</f>
        <v>49550.43</v>
      </c>
      <c r="K28" s="191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36998.62</v>
      </c>
      <c r="N28" s="125">
        <f t="shared" si="1"/>
        <v>0</v>
      </c>
      <c r="O28" s="125">
        <f>Valores!$C$12</f>
        <v>92295.44</v>
      </c>
      <c r="P28" s="125">
        <f>Valores!$D$5</f>
        <v>20796.54</v>
      </c>
      <c r="Q28" s="125">
        <v>0</v>
      </c>
      <c r="R28" s="125">
        <f>IF($F$4="NO",Valores!$C$47,Valores!$C$47/2)</f>
        <v>21740.79</v>
      </c>
      <c r="S28" s="125">
        <f>Valores!$C$19</f>
        <v>19351.52</v>
      </c>
      <c r="T28" s="125">
        <f t="shared" si="7"/>
        <v>19351.52</v>
      </c>
      <c r="U28" s="125">
        <v>0</v>
      </c>
      <c r="V28" s="125">
        <v>0</v>
      </c>
      <c r="W28" s="191">
        <v>0</v>
      </c>
      <c r="X28" s="125">
        <f>ROUND(W28*Valores!$C$2,2)</f>
        <v>0</v>
      </c>
      <c r="Y28" s="125">
        <v>0</v>
      </c>
      <c r="Z28" s="125">
        <f>Valores!$C$96</f>
        <v>56956.28</v>
      </c>
      <c r="AA28" s="125">
        <f>Valores!$C$25</f>
        <v>850.59</v>
      </c>
      <c r="AB28" s="210">
        <v>0</v>
      </c>
      <c r="AC28" s="125">
        <f t="shared" si="2"/>
        <v>0</v>
      </c>
      <c r="AD28" s="125">
        <f>Valores!$C$26</f>
        <v>850.59</v>
      </c>
      <c r="AE28" s="191">
        <v>0</v>
      </c>
      <c r="AF28" s="125">
        <f>ROUND(AE28*Valores!$C$2,2)</f>
        <v>0</v>
      </c>
      <c r="AG28" s="125">
        <f>ROUND(IF($F$4="NO",Valores!$C$63,Valores!$C$63/2),2)</f>
        <v>9724.47</v>
      </c>
      <c r="AH28" s="125">
        <f t="shared" si="5"/>
        <v>465129.97</v>
      </c>
      <c r="AI28" s="125">
        <f>Valores!$C$31</f>
        <v>0</v>
      </c>
      <c r="AJ28" s="125">
        <f>Valores!$C$89</f>
        <v>0</v>
      </c>
      <c r="AK28" s="125">
        <f>Valores!C$38*B28</f>
        <v>0</v>
      </c>
      <c r="AL28" s="125">
        <f>IF($F$3="NO",0,Valores!$C$55)</f>
        <v>0</v>
      </c>
      <c r="AM28" s="125">
        <f t="shared" si="3"/>
        <v>0</v>
      </c>
      <c r="AN28" s="125">
        <f>AH28*Valores!$C$71</f>
        <v>-51164.2967</v>
      </c>
      <c r="AO28" s="125">
        <f>AH28*-Valores!$C$72</f>
        <v>0</v>
      </c>
      <c r="AP28" s="125">
        <f>AH28*Valores!$C$73</f>
        <v>-20930.848649999996</v>
      </c>
      <c r="AQ28" s="125">
        <f>Valores!$C$100</f>
        <v>-554.86</v>
      </c>
      <c r="AR28" s="125">
        <f>IF($F$5=0,Valores!$C$101,(Valores!$C$101+$F$5*(Valores!$C$101)))</f>
        <v>-550</v>
      </c>
      <c r="AS28" s="125">
        <f t="shared" si="6"/>
        <v>391929.96465</v>
      </c>
      <c r="AT28" s="125">
        <f t="shared" si="0"/>
        <v>-51164.2967</v>
      </c>
      <c r="AU28" s="125">
        <f>AH28*Valores!$C$74</f>
        <v>-12558.509189999999</v>
      </c>
      <c r="AV28" s="125">
        <f>AH28*Valores!$C$75</f>
        <v>-1395.3899099999999</v>
      </c>
      <c r="AW28" s="125">
        <f t="shared" si="4"/>
        <v>400011.7742</v>
      </c>
      <c r="AX28" s="126"/>
      <c r="AY28" s="126">
        <v>45</v>
      </c>
      <c r="AZ28" s="123" t="s">
        <v>8</v>
      </c>
    </row>
    <row r="29" spans="1:52" s="110" customFormat="1" ht="11.25" customHeight="1">
      <c r="A29" s="123" t="s">
        <v>152</v>
      </c>
      <c r="B29" s="123">
        <v>1</v>
      </c>
      <c r="C29" s="126">
        <v>22</v>
      </c>
      <c r="D29" s="124" t="s">
        <v>153</v>
      </c>
      <c r="E29" s="191">
        <v>94</v>
      </c>
      <c r="F29" s="125">
        <f>ROUND(E29*Valores!$C$2,2)</f>
        <v>3824.09</v>
      </c>
      <c r="G29" s="191">
        <v>3624</v>
      </c>
      <c r="H29" s="125">
        <f>ROUND(G29*Valores!$C$2,2)</f>
        <v>147430.84</v>
      </c>
      <c r="I29" s="191">
        <v>1219</v>
      </c>
      <c r="J29" s="125">
        <f>ROUND(I29*Valores!$C$2,2)</f>
        <v>49591.11</v>
      </c>
      <c r="K29" s="191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36290.75</v>
      </c>
      <c r="N29" s="125">
        <f t="shared" si="1"/>
        <v>0</v>
      </c>
      <c r="O29" s="125">
        <f>Valores!$C$12</f>
        <v>92295.44</v>
      </c>
      <c r="P29" s="125">
        <f>Valores!$D$5</f>
        <v>20796.54</v>
      </c>
      <c r="Q29" s="125">
        <v>0</v>
      </c>
      <c r="R29" s="125">
        <f>IF($F$4="NO",Valores!$C$47,Valores!$C$47/2)</f>
        <v>21740.79</v>
      </c>
      <c r="S29" s="125">
        <f>Valores!$C$19</f>
        <v>19351.52</v>
      </c>
      <c r="T29" s="125">
        <f t="shared" si="7"/>
        <v>19351.52</v>
      </c>
      <c r="U29" s="125">
        <v>0</v>
      </c>
      <c r="V29" s="125">
        <v>0</v>
      </c>
      <c r="W29" s="191">
        <v>0</v>
      </c>
      <c r="X29" s="125">
        <f>ROUND(W29*Valores!$C$2,2)</f>
        <v>0</v>
      </c>
      <c r="Y29" s="125">
        <v>0</v>
      </c>
      <c r="Z29" s="125">
        <f>Valores!$C$96</f>
        <v>56956.28</v>
      </c>
      <c r="AA29" s="125">
        <f>Valores!$C$25</f>
        <v>850.59</v>
      </c>
      <c r="AB29" s="210">
        <v>0</v>
      </c>
      <c r="AC29" s="125">
        <f t="shared" si="2"/>
        <v>0</v>
      </c>
      <c r="AD29" s="125">
        <f>Valores!$C$26</f>
        <v>850.59</v>
      </c>
      <c r="AE29" s="191">
        <v>0</v>
      </c>
      <c r="AF29" s="125">
        <f>ROUND(AE29*Valores!$C$2,2)</f>
        <v>0</v>
      </c>
      <c r="AG29" s="125">
        <f>ROUND(IF($F$4="NO",Valores!$C$63,Valores!$C$63/2),2)</f>
        <v>9724.47</v>
      </c>
      <c r="AH29" s="125">
        <f t="shared" si="5"/>
        <v>459703.01</v>
      </c>
      <c r="AI29" s="125">
        <f>Valores!$C$31</f>
        <v>0</v>
      </c>
      <c r="AJ29" s="125">
        <f>Valores!$C$89</f>
        <v>0</v>
      </c>
      <c r="AK29" s="125">
        <f>Valores!C$38*B29</f>
        <v>0</v>
      </c>
      <c r="AL29" s="125">
        <f>IF($F$3="NO",0,Valores!$C$55)</f>
        <v>0</v>
      </c>
      <c r="AM29" s="125">
        <f t="shared" si="3"/>
        <v>0</v>
      </c>
      <c r="AN29" s="125">
        <f>AH29*Valores!$C$71</f>
        <v>-50567.3311</v>
      </c>
      <c r="AO29" s="125">
        <f>AH29*-Valores!$C$72</f>
        <v>0</v>
      </c>
      <c r="AP29" s="125">
        <f>AH29*Valores!$C$73</f>
        <v>-20686.635449999998</v>
      </c>
      <c r="AQ29" s="125">
        <f>Valores!$C$100</f>
        <v>-554.86</v>
      </c>
      <c r="AR29" s="125">
        <f>IF($F$5=0,Valores!$C$101,(Valores!$C$101+$F$5*(Valores!$C$101)))</f>
        <v>-550</v>
      </c>
      <c r="AS29" s="125">
        <f t="shared" si="6"/>
        <v>387344.18345</v>
      </c>
      <c r="AT29" s="125">
        <f t="shared" si="0"/>
        <v>-50567.3311</v>
      </c>
      <c r="AU29" s="125">
        <f>AH29*Valores!$C$74</f>
        <v>-12411.98127</v>
      </c>
      <c r="AV29" s="125">
        <f>AH29*Valores!$C$75</f>
        <v>-1379.10903</v>
      </c>
      <c r="AW29" s="125">
        <f t="shared" si="4"/>
        <v>395344.5886</v>
      </c>
      <c r="AX29" s="126"/>
      <c r="AY29" s="126">
        <v>45</v>
      </c>
      <c r="AZ29" s="123" t="s">
        <v>4</v>
      </c>
    </row>
    <row r="30" spans="1:52" s="110" customFormat="1" ht="11.25" customHeight="1">
      <c r="A30" s="123" t="s">
        <v>154</v>
      </c>
      <c r="B30" s="123">
        <v>1</v>
      </c>
      <c r="C30" s="126">
        <v>23</v>
      </c>
      <c r="D30" s="124" t="s">
        <v>155</v>
      </c>
      <c r="E30" s="191">
        <v>93</v>
      </c>
      <c r="F30" s="125">
        <f>ROUND(E30*Valores!$C$2,2)</f>
        <v>3783.41</v>
      </c>
      <c r="G30" s="191">
        <v>3627</v>
      </c>
      <c r="H30" s="125">
        <f>ROUND(G30*Valores!$C$2,2)</f>
        <v>147552.89</v>
      </c>
      <c r="I30" s="191">
        <v>210</v>
      </c>
      <c r="J30" s="125">
        <f>ROUND(I30*Valores!$C$2,2)</f>
        <v>8543.18</v>
      </c>
      <c r="K30" s="191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30145.77</v>
      </c>
      <c r="N30" s="125">
        <f t="shared" si="1"/>
        <v>0</v>
      </c>
      <c r="O30" s="125">
        <f>Valores!$C$12</f>
        <v>92295.44</v>
      </c>
      <c r="P30" s="125">
        <f>Valores!$D$5</f>
        <v>20796.54</v>
      </c>
      <c r="Q30" s="125">
        <v>0</v>
      </c>
      <c r="R30" s="125">
        <f>IF($F$4="NO",Valores!$C$47,Valores!$C$47/2)</f>
        <v>21740.79</v>
      </c>
      <c r="S30" s="125">
        <f>Valores!$C$19</f>
        <v>19351.52</v>
      </c>
      <c r="T30" s="125">
        <f t="shared" si="7"/>
        <v>19351.52</v>
      </c>
      <c r="U30" s="125">
        <v>0</v>
      </c>
      <c r="V30" s="125">
        <v>0</v>
      </c>
      <c r="W30" s="191">
        <v>0</v>
      </c>
      <c r="X30" s="125">
        <f>ROUND(W30*Valores!$C$2,2)</f>
        <v>0</v>
      </c>
      <c r="Y30" s="125">
        <v>0</v>
      </c>
      <c r="Z30" s="125">
        <f>Valores!$C$96</f>
        <v>56956.28</v>
      </c>
      <c r="AA30" s="125">
        <f>Valores!$C$25</f>
        <v>850.59</v>
      </c>
      <c r="AB30" s="210">
        <v>0</v>
      </c>
      <c r="AC30" s="125">
        <f t="shared" si="2"/>
        <v>0</v>
      </c>
      <c r="AD30" s="125">
        <f>Valores!$C$26</f>
        <v>850.59</v>
      </c>
      <c r="AE30" s="191">
        <v>0</v>
      </c>
      <c r="AF30" s="125">
        <f>ROUND(AE30*Valores!$C$2,2)</f>
        <v>0</v>
      </c>
      <c r="AG30" s="125">
        <f>ROUND(IF($F$4="NO",Valores!$C$63,Valores!$C$63/2),2)</f>
        <v>9724.47</v>
      </c>
      <c r="AH30" s="125">
        <f t="shared" si="5"/>
        <v>412591.47</v>
      </c>
      <c r="AI30" s="125">
        <f>Valores!$C$31</f>
        <v>0</v>
      </c>
      <c r="AJ30" s="125">
        <f>Valores!$C$89</f>
        <v>0</v>
      </c>
      <c r="AK30" s="125">
        <f>Valores!C$38*B30</f>
        <v>0</v>
      </c>
      <c r="AL30" s="125">
        <f>IF($F$3="NO",0,Valores!$C$55)</f>
        <v>0</v>
      </c>
      <c r="AM30" s="125">
        <f t="shared" si="3"/>
        <v>0</v>
      </c>
      <c r="AN30" s="125">
        <f>AH30*Valores!$C$71</f>
        <v>-45385.0617</v>
      </c>
      <c r="AO30" s="125">
        <f>AH30*-Valores!$C$72</f>
        <v>0</v>
      </c>
      <c r="AP30" s="125">
        <f>AH30*Valores!$C$73</f>
        <v>-18566.616149999998</v>
      </c>
      <c r="AQ30" s="125">
        <f>Valores!$C$100</f>
        <v>-554.86</v>
      </c>
      <c r="AR30" s="125">
        <f>IF($F$5=0,Valores!$C$101,(Valores!$C$101+$F$5*(Valores!$C$101)))</f>
        <v>-550</v>
      </c>
      <c r="AS30" s="125">
        <f t="shared" si="6"/>
        <v>347534.93215</v>
      </c>
      <c r="AT30" s="125">
        <f t="shared" si="0"/>
        <v>-45385.0617</v>
      </c>
      <c r="AU30" s="125">
        <f>AH30*Valores!$C$74</f>
        <v>-11139.96969</v>
      </c>
      <c r="AV30" s="125">
        <f>AH30*Valores!$C$75</f>
        <v>-1237.77441</v>
      </c>
      <c r="AW30" s="125">
        <f t="shared" si="4"/>
        <v>354828.6642</v>
      </c>
      <c r="AX30" s="126"/>
      <c r="AY30" s="126">
        <v>45</v>
      </c>
      <c r="AZ30" s="123" t="s">
        <v>8</v>
      </c>
    </row>
    <row r="31" spans="1:52" s="110" customFormat="1" ht="11.25" customHeight="1">
      <c r="A31" s="123" t="s">
        <v>156</v>
      </c>
      <c r="B31" s="123">
        <v>1</v>
      </c>
      <c r="C31" s="126">
        <v>24</v>
      </c>
      <c r="D31" s="124" t="s">
        <v>157</v>
      </c>
      <c r="E31" s="191">
        <v>93</v>
      </c>
      <c r="F31" s="125">
        <f>ROUND(E31*Valores!$C$2,2)</f>
        <v>3783.41</v>
      </c>
      <c r="G31" s="191">
        <v>3630</v>
      </c>
      <c r="H31" s="125">
        <f>ROUND(G31*Valores!$C$2,2)</f>
        <v>147674.93</v>
      </c>
      <c r="I31" s="191">
        <v>1214</v>
      </c>
      <c r="J31" s="125">
        <f>ROUND(I31*Valores!$C$2,2)</f>
        <v>49387.71</v>
      </c>
      <c r="K31" s="191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36290.75</v>
      </c>
      <c r="N31" s="125">
        <f t="shared" si="1"/>
        <v>0</v>
      </c>
      <c r="O31" s="125">
        <f>Valores!$C$12</f>
        <v>92295.44</v>
      </c>
      <c r="P31" s="125">
        <f>Valores!$D$5</f>
        <v>20796.54</v>
      </c>
      <c r="Q31" s="125">
        <v>0</v>
      </c>
      <c r="R31" s="125">
        <f>IF($F$4="NO",Valores!$C$47,Valores!$C$47/2)</f>
        <v>21740.79</v>
      </c>
      <c r="S31" s="125">
        <f>Valores!$C$19</f>
        <v>19351.52</v>
      </c>
      <c r="T31" s="125">
        <f t="shared" si="7"/>
        <v>19351.52</v>
      </c>
      <c r="U31" s="125">
        <v>0</v>
      </c>
      <c r="V31" s="125">
        <v>0</v>
      </c>
      <c r="W31" s="191">
        <v>0</v>
      </c>
      <c r="X31" s="125">
        <f>ROUND(W31*Valores!$C$2,2)</f>
        <v>0</v>
      </c>
      <c r="Y31" s="125">
        <v>0</v>
      </c>
      <c r="Z31" s="125">
        <f>Valores!$C$96</f>
        <v>56956.28</v>
      </c>
      <c r="AA31" s="125">
        <f>Valores!$C$25</f>
        <v>850.59</v>
      </c>
      <c r="AB31" s="210">
        <v>0</v>
      </c>
      <c r="AC31" s="125">
        <f t="shared" si="2"/>
        <v>0</v>
      </c>
      <c r="AD31" s="125">
        <f>Valores!$C$26</f>
        <v>850.59</v>
      </c>
      <c r="AE31" s="191">
        <v>0</v>
      </c>
      <c r="AF31" s="125">
        <f>ROUND(AE31*Valores!$C$2,2)</f>
        <v>0</v>
      </c>
      <c r="AG31" s="125">
        <f>ROUND(IF($F$4="NO",Valores!$C$63,Valores!$C$63/2),2)</f>
        <v>9724.47</v>
      </c>
      <c r="AH31" s="125">
        <f t="shared" si="5"/>
        <v>459703.02</v>
      </c>
      <c r="AI31" s="125">
        <f>Valores!$C$31</f>
        <v>0</v>
      </c>
      <c r="AJ31" s="125">
        <f>Valores!$C$89</f>
        <v>0</v>
      </c>
      <c r="AK31" s="125">
        <f>Valores!C$38*B31</f>
        <v>0</v>
      </c>
      <c r="AL31" s="125">
        <f>IF($F$3="NO",0,Valores!$C$55)</f>
        <v>0</v>
      </c>
      <c r="AM31" s="125">
        <f t="shared" si="3"/>
        <v>0</v>
      </c>
      <c r="AN31" s="125">
        <f>AH31*Valores!$C$71</f>
        <v>-50567.332200000004</v>
      </c>
      <c r="AO31" s="125">
        <f>AH31*-Valores!$C$72</f>
        <v>0</v>
      </c>
      <c r="AP31" s="125">
        <f>AH31*Valores!$C$73</f>
        <v>-20686.6359</v>
      </c>
      <c r="AQ31" s="125">
        <f>Valores!$C$100</f>
        <v>-554.86</v>
      </c>
      <c r="AR31" s="125">
        <f>IF($F$5=0,Valores!$C$101,(Valores!$C$101+$F$5*(Valores!$C$101)))</f>
        <v>-550</v>
      </c>
      <c r="AS31" s="125">
        <f t="shared" si="6"/>
        <v>387344.19190000003</v>
      </c>
      <c r="AT31" s="125">
        <f t="shared" si="0"/>
        <v>-50567.332200000004</v>
      </c>
      <c r="AU31" s="125">
        <f>AH31*Valores!$C$74</f>
        <v>-12411.98154</v>
      </c>
      <c r="AV31" s="125">
        <f>AH31*Valores!$C$75</f>
        <v>-1379.10906</v>
      </c>
      <c r="AW31" s="125">
        <f t="shared" si="4"/>
        <v>395344.5972</v>
      </c>
      <c r="AX31" s="126"/>
      <c r="AY31" s="126">
        <v>45</v>
      </c>
      <c r="AZ31" s="123" t="s">
        <v>4</v>
      </c>
    </row>
    <row r="32" spans="1:52" s="110" customFormat="1" ht="11.25" customHeight="1">
      <c r="A32" s="123" t="s">
        <v>158</v>
      </c>
      <c r="B32" s="123">
        <v>1</v>
      </c>
      <c r="C32" s="126">
        <v>25</v>
      </c>
      <c r="D32" s="124" t="s">
        <v>159</v>
      </c>
      <c r="E32" s="191">
        <v>96</v>
      </c>
      <c r="F32" s="125">
        <f>ROUND(E32*Valores!$C$2,2)</f>
        <v>3905.45</v>
      </c>
      <c r="G32" s="191">
        <v>3737</v>
      </c>
      <c r="H32" s="125">
        <f>ROUND(G32*Valores!$C$2,2)</f>
        <v>152027.89</v>
      </c>
      <c r="I32" s="191">
        <v>1220</v>
      </c>
      <c r="J32" s="125">
        <f>ROUND(I32*Valores!$C$2,2)</f>
        <v>49631.8</v>
      </c>
      <c r="K32" s="191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36998.62</v>
      </c>
      <c r="N32" s="125">
        <f t="shared" si="1"/>
        <v>0</v>
      </c>
      <c r="O32" s="125">
        <f>Valores!$C$12</f>
        <v>92295.44</v>
      </c>
      <c r="P32" s="125">
        <f>Valores!$D$5</f>
        <v>20796.54</v>
      </c>
      <c r="Q32" s="125">
        <v>0</v>
      </c>
      <c r="R32" s="125">
        <f>IF($F$4="NO",Valores!$C$47,Valores!$C$47/2)</f>
        <v>21740.79</v>
      </c>
      <c r="S32" s="125">
        <f>Valores!$C$19</f>
        <v>19351.52</v>
      </c>
      <c r="T32" s="125">
        <f t="shared" si="7"/>
        <v>19351.52</v>
      </c>
      <c r="U32" s="125">
        <v>0</v>
      </c>
      <c r="V32" s="125">
        <v>0</v>
      </c>
      <c r="W32" s="191">
        <v>0</v>
      </c>
      <c r="X32" s="125">
        <f>ROUND(W32*Valores!$C$2,2)</f>
        <v>0</v>
      </c>
      <c r="Y32" s="125">
        <f>ROUND(SUM(J32,H32,F32,R32)*Valores!$C$3,2)</f>
        <v>34095.89</v>
      </c>
      <c r="Z32" s="125">
        <f>Valores!$C$96</f>
        <v>56956.28</v>
      </c>
      <c r="AA32" s="125">
        <f>Valores!$C$25</f>
        <v>850.59</v>
      </c>
      <c r="AB32" s="210">
        <v>0</v>
      </c>
      <c r="AC32" s="125">
        <f t="shared" si="2"/>
        <v>0</v>
      </c>
      <c r="AD32" s="125">
        <f>Valores!$C$26</f>
        <v>850.59</v>
      </c>
      <c r="AE32" s="191">
        <v>0</v>
      </c>
      <c r="AF32" s="125">
        <f>ROUND(AE32*Valores!$C$2,2)</f>
        <v>0</v>
      </c>
      <c r="AG32" s="125">
        <f>ROUND(IF($F$4="NO",Valores!$C$63,Valores!$C$63/2),2)</f>
        <v>9724.47</v>
      </c>
      <c r="AH32" s="125">
        <f t="shared" si="5"/>
        <v>499225.87</v>
      </c>
      <c r="AI32" s="125">
        <f>Valores!$C$31</f>
        <v>0</v>
      </c>
      <c r="AJ32" s="125">
        <f>Valores!$C$89</f>
        <v>0</v>
      </c>
      <c r="AK32" s="125">
        <f>Valores!C$38*B32</f>
        <v>0</v>
      </c>
      <c r="AL32" s="125">
        <f>IF($F$3="NO",0,Valores!$C$55)</f>
        <v>0</v>
      </c>
      <c r="AM32" s="125">
        <f t="shared" si="3"/>
        <v>0</v>
      </c>
      <c r="AN32" s="125">
        <f>AH32*Valores!$C$71</f>
        <v>-54914.8457</v>
      </c>
      <c r="AO32" s="125">
        <f>AH32*-Valores!$C$72</f>
        <v>0</v>
      </c>
      <c r="AP32" s="125">
        <f>AH32*Valores!$C$73</f>
        <v>-22465.16415</v>
      </c>
      <c r="AQ32" s="125">
        <f>Valores!$C$100</f>
        <v>-554.86</v>
      </c>
      <c r="AR32" s="125">
        <f>IF($F$5=0,Valores!$C$101,(Valores!$C$101+$F$5*(Valores!$C$101)))</f>
        <v>-550</v>
      </c>
      <c r="AS32" s="125">
        <f t="shared" si="6"/>
        <v>420741.00015</v>
      </c>
      <c r="AT32" s="125">
        <f t="shared" si="0"/>
        <v>-54914.8457</v>
      </c>
      <c r="AU32" s="125">
        <f>AH32*Valores!$C$74</f>
        <v>-13479.09849</v>
      </c>
      <c r="AV32" s="125">
        <f>AH32*Valores!$C$75</f>
        <v>-1497.67761</v>
      </c>
      <c r="AW32" s="125">
        <f t="shared" si="4"/>
        <v>429334.24820000003</v>
      </c>
      <c r="AX32" s="126"/>
      <c r="AY32" s="126">
        <v>45</v>
      </c>
      <c r="AZ32" s="123" t="s">
        <v>8</v>
      </c>
    </row>
    <row r="33" spans="1:52" s="110" customFormat="1" ht="11.25" customHeight="1">
      <c r="A33" s="123" t="s">
        <v>160</v>
      </c>
      <c r="B33" s="123">
        <v>1</v>
      </c>
      <c r="C33" s="126">
        <v>26</v>
      </c>
      <c r="D33" s="124" t="s">
        <v>161</v>
      </c>
      <c r="E33" s="191">
        <v>92</v>
      </c>
      <c r="F33" s="125">
        <f>ROUND(E33*Valores!$C$2,2)</f>
        <v>3742.73</v>
      </c>
      <c r="G33" s="191">
        <v>3483</v>
      </c>
      <c r="H33" s="125">
        <f>ROUND(G33*Valores!$C$2,2)</f>
        <v>141694.71</v>
      </c>
      <c r="I33" s="191">
        <v>1217</v>
      </c>
      <c r="J33" s="125">
        <f>ROUND(I33*Valores!$C$2,2)</f>
        <v>49509.75</v>
      </c>
      <c r="K33" s="191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35405.93</v>
      </c>
      <c r="N33" s="125">
        <f t="shared" si="1"/>
        <v>0</v>
      </c>
      <c r="O33" s="125">
        <f>Valores!$C$12</f>
        <v>92295.44</v>
      </c>
      <c r="P33" s="125">
        <f>Valores!$D$5</f>
        <v>20796.54</v>
      </c>
      <c r="Q33" s="125">
        <v>0</v>
      </c>
      <c r="R33" s="125">
        <f>IF($F$4="NO",Valores!$C$47,Valores!$C$47/2)</f>
        <v>21740.79</v>
      </c>
      <c r="S33" s="125">
        <f>Valores!$C$19</f>
        <v>19351.52</v>
      </c>
      <c r="T33" s="125">
        <f t="shared" si="7"/>
        <v>19351.52</v>
      </c>
      <c r="U33" s="125">
        <v>0</v>
      </c>
      <c r="V33" s="125">
        <v>0</v>
      </c>
      <c r="W33" s="191">
        <v>0</v>
      </c>
      <c r="X33" s="125">
        <f>ROUND(W33*Valores!$C$2,2)</f>
        <v>0</v>
      </c>
      <c r="Y33" s="125">
        <v>0</v>
      </c>
      <c r="Z33" s="125">
        <f>Valores!$C$96</f>
        <v>56956.28</v>
      </c>
      <c r="AA33" s="125">
        <f>Valores!$C$25</f>
        <v>850.59</v>
      </c>
      <c r="AB33" s="210">
        <v>0</v>
      </c>
      <c r="AC33" s="125">
        <f t="shared" si="2"/>
        <v>0</v>
      </c>
      <c r="AD33" s="125">
        <f>Valores!$C$26</f>
        <v>850.59</v>
      </c>
      <c r="AE33" s="191">
        <v>0</v>
      </c>
      <c r="AF33" s="125">
        <f>ROUND(AE33*Valores!$C$2,2)</f>
        <v>0</v>
      </c>
      <c r="AG33" s="125">
        <f>ROUND(IF($F$4="NO",Valores!$C$63,Valores!$C$63/2),2)</f>
        <v>9724.47</v>
      </c>
      <c r="AH33" s="125">
        <f t="shared" si="5"/>
        <v>452919.33999999997</v>
      </c>
      <c r="AI33" s="125">
        <f>Valores!$C$31</f>
        <v>0</v>
      </c>
      <c r="AJ33" s="125">
        <f>Valores!$C$89</f>
        <v>0</v>
      </c>
      <c r="AK33" s="125">
        <f>Valores!C$38*B33</f>
        <v>0</v>
      </c>
      <c r="AL33" s="125">
        <f>IF($F$3="NO",0,Valores!$C$55)</f>
        <v>0</v>
      </c>
      <c r="AM33" s="125">
        <f t="shared" si="3"/>
        <v>0</v>
      </c>
      <c r="AN33" s="125">
        <f>AH33*Valores!$C$71</f>
        <v>-49821.1274</v>
      </c>
      <c r="AO33" s="125">
        <f>AH33*-Valores!$C$72</f>
        <v>0</v>
      </c>
      <c r="AP33" s="125">
        <f>AH33*Valores!$C$73</f>
        <v>-20381.3703</v>
      </c>
      <c r="AQ33" s="125">
        <f>Valores!$C$100</f>
        <v>-554.86</v>
      </c>
      <c r="AR33" s="125">
        <f>IF($F$5=0,Valores!$C$101,(Valores!$C$101+$F$5*(Valores!$C$101)))</f>
        <v>-550</v>
      </c>
      <c r="AS33" s="125">
        <f t="shared" si="6"/>
        <v>381611.9823</v>
      </c>
      <c r="AT33" s="125">
        <f t="shared" si="0"/>
        <v>-49821.1274</v>
      </c>
      <c r="AU33" s="125">
        <f>AH33*Valores!$C$74</f>
        <v>-12228.82218</v>
      </c>
      <c r="AV33" s="125">
        <f>AH33*Valores!$C$75</f>
        <v>-1358.75802</v>
      </c>
      <c r="AW33" s="125">
        <f t="shared" si="4"/>
        <v>389510.63239999994</v>
      </c>
      <c r="AX33" s="126"/>
      <c r="AY33" s="126">
        <v>45</v>
      </c>
      <c r="AZ33" s="123" t="s">
        <v>4</v>
      </c>
    </row>
    <row r="34" spans="1:52" s="110" customFormat="1" ht="11.25" customHeight="1">
      <c r="A34" s="123" t="s">
        <v>162</v>
      </c>
      <c r="B34" s="123">
        <v>1</v>
      </c>
      <c r="C34" s="126">
        <v>27</v>
      </c>
      <c r="D34" s="124" t="s">
        <v>163</v>
      </c>
      <c r="E34" s="191">
        <v>85</v>
      </c>
      <c r="F34" s="125">
        <f>ROUND(E34*Valores!$C$2,2)</f>
        <v>3457.95</v>
      </c>
      <c r="G34" s="191">
        <v>3498</v>
      </c>
      <c r="H34" s="125">
        <f>ROUND(G34*Valores!$C$2,2)</f>
        <v>142304.94</v>
      </c>
      <c r="I34" s="191">
        <v>1209</v>
      </c>
      <c r="J34" s="125">
        <f>ROUND(I34*Valores!$C$2,2)</f>
        <v>49184.3</v>
      </c>
      <c r="K34" s="191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35405.93</v>
      </c>
      <c r="N34" s="125">
        <f t="shared" si="1"/>
        <v>0</v>
      </c>
      <c r="O34" s="125">
        <f>Valores!$C$12</f>
        <v>92295.44</v>
      </c>
      <c r="P34" s="125">
        <f>Valores!$D$5</f>
        <v>20796.54</v>
      </c>
      <c r="Q34" s="125">
        <v>0</v>
      </c>
      <c r="R34" s="125">
        <f>IF($F$4="NO",Valores!$C$47,Valores!$C$47/2)</f>
        <v>21740.79</v>
      </c>
      <c r="S34" s="125">
        <f>Valores!$C$19</f>
        <v>19351.52</v>
      </c>
      <c r="T34" s="125">
        <f t="shared" si="7"/>
        <v>19351.52</v>
      </c>
      <c r="U34" s="125">
        <v>0</v>
      </c>
      <c r="V34" s="125">
        <v>0</v>
      </c>
      <c r="W34" s="191">
        <v>0</v>
      </c>
      <c r="X34" s="125">
        <f>ROUND(W34*Valores!$C$2,2)</f>
        <v>0</v>
      </c>
      <c r="Y34" s="125">
        <v>0</v>
      </c>
      <c r="Z34" s="125">
        <f>Valores!$C$96</f>
        <v>56956.28</v>
      </c>
      <c r="AA34" s="125">
        <f>Valores!$C$25</f>
        <v>850.59</v>
      </c>
      <c r="AB34" s="210">
        <v>0</v>
      </c>
      <c r="AC34" s="125">
        <f t="shared" si="2"/>
        <v>0</v>
      </c>
      <c r="AD34" s="125">
        <f>Valores!$C$26</f>
        <v>850.59</v>
      </c>
      <c r="AE34" s="191">
        <v>0</v>
      </c>
      <c r="AF34" s="125">
        <f>ROUND(AE34*Valores!$C$2,2)</f>
        <v>0</v>
      </c>
      <c r="AG34" s="125">
        <f>ROUND(IF($F$4="NO",Valores!$C$63,Valores!$C$63/2),2)</f>
        <v>9724.47</v>
      </c>
      <c r="AH34" s="125">
        <f t="shared" si="5"/>
        <v>452919.33999999997</v>
      </c>
      <c r="AI34" s="125">
        <f>Valores!$C$31</f>
        <v>0</v>
      </c>
      <c r="AJ34" s="125">
        <f>Valores!$C$89</f>
        <v>0</v>
      </c>
      <c r="AK34" s="125">
        <f>Valores!C$38*B34</f>
        <v>0</v>
      </c>
      <c r="AL34" s="125">
        <f>IF($F$3="NO",0,Valores!$C$55)</f>
        <v>0</v>
      </c>
      <c r="AM34" s="125">
        <f t="shared" si="3"/>
        <v>0</v>
      </c>
      <c r="AN34" s="125">
        <f>AH34*Valores!$C$71</f>
        <v>-49821.1274</v>
      </c>
      <c r="AO34" s="125">
        <f>AH34*-Valores!$C$72</f>
        <v>0</v>
      </c>
      <c r="AP34" s="125">
        <f>AH34*Valores!$C$73</f>
        <v>-20381.3703</v>
      </c>
      <c r="AQ34" s="125">
        <f>Valores!$C$100</f>
        <v>-554.86</v>
      </c>
      <c r="AR34" s="125">
        <f>IF($F$5=0,Valores!$C$101,(Valores!$C$101+$F$5*(Valores!$C$101)))</f>
        <v>-550</v>
      </c>
      <c r="AS34" s="125">
        <f t="shared" si="6"/>
        <v>381611.9823</v>
      </c>
      <c r="AT34" s="125">
        <f t="shared" si="0"/>
        <v>-49821.1274</v>
      </c>
      <c r="AU34" s="125">
        <f>AH34*Valores!$C$74</f>
        <v>-12228.82218</v>
      </c>
      <c r="AV34" s="125">
        <f>AH34*Valores!$C$75</f>
        <v>-1358.75802</v>
      </c>
      <c r="AW34" s="125">
        <f t="shared" si="4"/>
        <v>389510.63239999994</v>
      </c>
      <c r="AX34" s="126"/>
      <c r="AY34" s="126">
        <v>45</v>
      </c>
      <c r="AZ34" s="123" t="s">
        <v>4</v>
      </c>
    </row>
    <row r="35" spans="1:52" s="110" customFormat="1" ht="11.25" customHeight="1">
      <c r="A35" s="123" t="s">
        <v>164</v>
      </c>
      <c r="B35" s="123">
        <v>1</v>
      </c>
      <c r="C35" s="126">
        <v>28</v>
      </c>
      <c r="D35" s="124" t="s">
        <v>165</v>
      </c>
      <c r="E35" s="191">
        <v>92</v>
      </c>
      <c r="F35" s="125">
        <f>ROUND(E35*Valores!$C$2,2)</f>
        <v>3742.73</v>
      </c>
      <c r="G35" s="191">
        <v>3483</v>
      </c>
      <c r="H35" s="125">
        <f>ROUND(G35*Valores!$C$2,2)</f>
        <v>141694.71</v>
      </c>
      <c r="I35" s="191">
        <v>1217</v>
      </c>
      <c r="J35" s="125">
        <f>ROUND(I35*Valores!$C$2,2)</f>
        <v>49509.75</v>
      </c>
      <c r="K35" s="191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35405.93</v>
      </c>
      <c r="N35" s="125">
        <f t="shared" si="1"/>
        <v>0</v>
      </c>
      <c r="O35" s="125">
        <f>Valores!$C$12</f>
        <v>92295.44</v>
      </c>
      <c r="P35" s="125">
        <f>Valores!$D$5</f>
        <v>20796.54</v>
      </c>
      <c r="Q35" s="125">
        <v>0</v>
      </c>
      <c r="R35" s="125">
        <f>IF($F$4="NO",Valores!$C$47,Valores!$C$47/2)</f>
        <v>21740.79</v>
      </c>
      <c r="S35" s="125">
        <f>Valores!$C$19</f>
        <v>19351.52</v>
      </c>
      <c r="T35" s="125">
        <f t="shared" si="7"/>
        <v>19351.52</v>
      </c>
      <c r="U35" s="125">
        <v>0</v>
      </c>
      <c r="V35" s="125">
        <v>0</v>
      </c>
      <c r="W35" s="191">
        <v>0</v>
      </c>
      <c r="X35" s="125">
        <f>ROUND(W35*Valores!$C$2,2)</f>
        <v>0</v>
      </c>
      <c r="Y35" s="125">
        <v>0</v>
      </c>
      <c r="Z35" s="125">
        <f>Valores!$C$96</f>
        <v>56956.28</v>
      </c>
      <c r="AA35" s="125">
        <f>Valores!$C$25</f>
        <v>850.59</v>
      </c>
      <c r="AB35" s="210">
        <v>0</v>
      </c>
      <c r="AC35" s="125">
        <f t="shared" si="2"/>
        <v>0</v>
      </c>
      <c r="AD35" s="125">
        <f>Valores!$C$26</f>
        <v>850.59</v>
      </c>
      <c r="AE35" s="191">
        <v>0</v>
      </c>
      <c r="AF35" s="125">
        <f>ROUND(AE35*Valores!$C$2,2)</f>
        <v>0</v>
      </c>
      <c r="AG35" s="125">
        <f>ROUND(IF($F$4="NO",Valores!$C$63,Valores!$C$63/2),2)</f>
        <v>9724.47</v>
      </c>
      <c r="AH35" s="125">
        <f t="shared" si="5"/>
        <v>452919.33999999997</v>
      </c>
      <c r="AI35" s="125">
        <f>Valores!$C$31</f>
        <v>0</v>
      </c>
      <c r="AJ35" s="125">
        <f>Valores!$C$89</f>
        <v>0</v>
      </c>
      <c r="AK35" s="125">
        <f>Valores!C$38*B35</f>
        <v>0</v>
      </c>
      <c r="AL35" s="125">
        <f>IF($F$3="NO",0,Valores!$C$55)</f>
        <v>0</v>
      </c>
      <c r="AM35" s="125">
        <f t="shared" si="3"/>
        <v>0</v>
      </c>
      <c r="AN35" s="125">
        <f>AH35*Valores!$C$71</f>
        <v>-49821.1274</v>
      </c>
      <c r="AO35" s="125">
        <f>AH35*-Valores!$C$72</f>
        <v>0</v>
      </c>
      <c r="AP35" s="125">
        <f>AH35*Valores!$C$73</f>
        <v>-20381.3703</v>
      </c>
      <c r="AQ35" s="125">
        <f>Valores!$C$100</f>
        <v>-554.86</v>
      </c>
      <c r="AR35" s="125">
        <f>IF($F$5=0,Valores!$C$101,(Valores!$C$101+$F$5*(Valores!$C$101)))</f>
        <v>-550</v>
      </c>
      <c r="AS35" s="125">
        <f t="shared" si="6"/>
        <v>381611.9823</v>
      </c>
      <c r="AT35" s="125">
        <f t="shared" si="0"/>
        <v>-49821.1274</v>
      </c>
      <c r="AU35" s="125">
        <f>AH35*Valores!$C$74</f>
        <v>-12228.82218</v>
      </c>
      <c r="AV35" s="125">
        <f>AH35*Valores!$C$75</f>
        <v>-1358.75802</v>
      </c>
      <c r="AW35" s="125">
        <f t="shared" si="4"/>
        <v>389510.63239999994</v>
      </c>
      <c r="AX35" s="126"/>
      <c r="AY35" s="126">
        <v>45</v>
      </c>
      <c r="AZ35" s="123" t="s">
        <v>4</v>
      </c>
    </row>
    <row r="36" spans="1:52" s="110" customFormat="1" ht="11.25" customHeight="1">
      <c r="A36" s="123" t="s">
        <v>166</v>
      </c>
      <c r="B36" s="123">
        <v>1</v>
      </c>
      <c r="C36" s="126">
        <v>29</v>
      </c>
      <c r="D36" s="124" t="s">
        <v>167</v>
      </c>
      <c r="E36" s="191">
        <v>85</v>
      </c>
      <c r="F36" s="125">
        <f>ROUND(E36*Valores!$C$2,2)</f>
        <v>3457.95</v>
      </c>
      <c r="G36" s="191">
        <v>3498</v>
      </c>
      <c r="H36" s="125">
        <f>ROUND(G36*Valores!$C$2,2)</f>
        <v>142304.94</v>
      </c>
      <c r="I36" s="191">
        <v>1209</v>
      </c>
      <c r="J36" s="125">
        <f>ROUND(I36*Valores!$C$2,2)</f>
        <v>49184.3</v>
      </c>
      <c r="K36" s="191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35405.93</v>
      </c>
      <c r="N36" s="125">
        <f t="shared" si="1"/>
        <v>0</v>
      </c>
      <c r="O36" s="125">
        <f>Valores!$C$12</f>
        <v>92295.44</v>
      </c>
      <c r="P36" s="125">
        <f>Valores!$D$5</f>
        <v>20796.54</v>
      </c>
      <c r="Q36" s="125">
        <v>0</v>
      </c>
      <c r="R36" s="125">
        <f>IF($F$4="NO",Valores!$C$47,Valores!$C$47/2)</f>
        <v>21740.79</v>
      </c>
      <c r="S36" s="125">
        <f>Valores!$C$19</f>
        <v>19351.52</v>
      </c>
      <c r="T36" s="125">
        <f t="shared" si="7"/>
        <v>19351.52</v>
      </c>
      <c r="U36" s="125">
        <v>0</v>
      </c>
      <c r="V36" s="125">
        <v>0</v>
      </c>
      <c r="W36" s="191">
        <v>0</v>
      </c>
      <c r="X36" s="125">
        <f>ROUND(W36*Valores!$C$2,2)</f>
        <v>0</v>
      </c>
      <c r="Y36" s="125">
        <v>0</v>
      </c>
      <c r="Z36" s="125">
        <f>Valores!$C$96</f>
        <v>56956.28</v>
      </c>
      <c r="AA36" s="125">
        <f>Valores!$C$25</f>
        <v>850.59</v>
      </c>
      <c r="AB36" s="210">
        <v>0</v>
      </c>
      <c r="AC36" s="125">
        <f t="shared" si="2"/>
        <v>0</v>
      </c>
      <c r="AD36" s="125">
        <f>Valores!$C$26</f>
        <v>850.59</v>
      </c>
      <c r="AE36" s="191">
        <v>0</v>
      </c>
      <c r="AF36" s="125">
        <f>ROUND(AE36*Valores!$C$2,2)</f>
        <v>0</v>
      </c>
      <c r="AG36" s="125">
        <f>ROUND(IF($F$4="NO",Valores!$C$63,Valores!$C$63/2),2)</f>
        <v>9724.47</v>
      </c>
      <c r="AH36" s="125">
        <f t="shared" si="5"/>
        <v>452919.33999999997</v>
      </c>
      <c r="AI36" s="125">
        <f>Valores!$C$31</f>
        <v>0</v>
      </c>
      <c r="AJ36" s="125">
        <f>Valores!$C$89</f>
        <v>0</v>
      </c>
      <c r="AK36" s="125">
        <f>Valores!C$38*B36</f>
        <v>0</v>
      </c>
      <c r="AL36" s="125">
        <f>IF($F$3="NO",0,Valores!$C$55)</f>
        <v>0</v>
      </c>
      <c r="AM36" s="125">
        <f t="shared" si="3"/>
        <v>0</v>
      </c>
      <c r="AN36" s="125">
        <f>AH36*Valores!$C$71</f>
        <v>-49821.1274</v>
      </c>
      <c r="AO36" s="125">
        <f>AH36*-Valores!$C$72</f>
        <v>0</v>
      </c>
      <c r="AP36" s="125">
        <f>AH36*Valores!$C$73</f>
        <v>-20381.3703</v>
      </c>
      <c r="AQ36" s="125">
        <f>Valores!$C$100</f>
        <v>-554.86</v>
      </c>
      <c r="AR36" s="125">
        <f>IF($F$5=0,Valores!$C$101,(Valores!$C$101+$F$5*(Valores!$C$101)))</f>
        <v>-550</v>
      </c>
      <c r="AS36" s="125">
        <f t="shared" si="6"/>
        <v>381611.9823</v>
      </c>
      <c r="AT36" s="125">
        <f t="shared" si="0"/>
        <v>-49821.1274</v>
      </c>
      <c r="AU36" s="125">
        <f>AH36*Valores!$C$74</f>
        <v>-12228.82218</v>
      </c>
      <c r="AV36" s="125">
        <f>AH36*Valores!$C$75</f>
        <v>-1358.75802</v>
      </c>
      <c r="AW36" s="125">
        <f t="shared" si="4"/>
        <v>389510.63239999994</v>
      </c>
      <c r="AX36" s="126"/>
      <c r="AY36" s="126">
        <v>45</v>
      </c>
      <c r="AZ36" s="123" t="s">
        <v>8</v>
      </c>
    </row>
    <row r="37" spans="1:52" s="110" customFormat="1" ht="11.25" customHeight="1">
      <c r="A37" s="123" t="s">
        <v>168</v>
      </c>
      <c r="B37" s="123">
        <v>1</v>
      </c>
      <c r="C37" s="126">
        <v>30</v>
      </c>
      <c r="D37" s="124" t="s">
        <v>169</v>
      </c>
      <c r="E37" s="191">
        <v>92</v>
      </c>
      <c r="F37" s="125">
        <f>ROUND(E37*Valores!$C$2,2)</f>
        <v>3742.73</v>
      </c>
      <c r="G37" s="191">
        <v>3483</v>
      </c>
      <c r="H37" s="125">
        <f>ROUND(G37*Valores!$C$2,2)</f>
        <v>141694.71</v>
      </c>
      <c r="I37" s="191">
        <v>1217</v>
      </c>
      <c r="J37" s="125">
        <f>ROUND(I37*Valores!$C$2,2)</f>
        <v>49509.75</v>
      </c>
      <c r="K37" s="191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35405.93</v>
      </c>
      <c r="N37" s="125">
        <f t="shared" si="1"/>
        <v>0</v>
      </c>
      <c r="O37" s="125">
        <f>Valores!$C$12</f>
        <v>92295.44</v>
      </c>
      <c r="P37" s="125">
        <f>Valores!$D$5</f>
        <v>20796.54</v>
      </c>
      <c r="Q37" s="125">
        <v>0</v>
      </c>
      <c r="R37" s="125">
        <f>IF($F$4="NO",Valores!$C$47,Valores!$C$47/2)</f>
        <v>21740.79</v>
      </c>
      <c r="S37" s="125">
        <f>Valores!$C$19</f>
        <v>19351.52</v>
      </c>
      <c r="T37" s="125">
        <f t="shared" si="7"/>
        <v>19351.52</v>
      </c>
      <c r="U37" s="125">
        <v>0</v>
      </c>
      <c r="V37" s="125">
        <v>0</v>
      </c>
      <c r="W37" s="191">
        <v>0</v>
      </c>
      <c r="X37" s="125">
        <f>ROUND(W37*Valores!$C$2,2)</f>
        <v>0</v>
      </c>
      <c r="Y37" s="125">
        <f>ROUND(SUM(J37,H37,F37,R37)*Valores!$C$3,2)</f>
        <v>32503.2</v>
      </c>
      <c r="Z37" s="125">
        <f>Valores!$C$96</f>
        <v>56956.28</v>
      </c>
      <c r="AA37" s="125">
        <f>Valores!$C$25</f>
        <v>850.59</v>
      </c>
      <c r="AB37" s="210">
        <v>0</v>
      </c>
      <c r="AC37" s="125">
        <f t="shared" si="2"/>
        <v>0</v>
      </c>
      <c r="AD37" s="125">
        <f>Valores!$C$26</f>
        <v>850.59</v>
      </c>
      <c r="AE37" s="191">
        <v>0</v>
      </c>
      <c r="AF37" s="125">
        <f>ROUND(AE37*Valores!$C$2,2)</f>
        <v>0</v>
      </c>
      <c r="AG37" s="125">
        <f>ROUND(IF($F$4="NO",Valores!$C$63,Valores!$C$63/2),2)</f>
        <v>9724.47</v>
      </c>
      <c r="AH37" s="125">
        <f t="shared" si="5"/>
        <v>485422.54000000004</v>
      </c>
      <c r="AI37" s="125">
        <f>Valores!$C$31</f>
        <v>0</v>
      </c>
      <c r="AJ37" s="125">
        <f>Valores!$C$89</f>
        <v>0</v>
      </c>
      <c r="AK37" s="125">
        <f>Valores!C$38*B37</f>
        <v>0</v>
      </c>
      <c r="AL37" s="125">
        <f>IF($F$3="NO",0,Valores!$C$55)</f>
        <v>0</v>
      </c>
      <c r="AM37" s="125">
        <f t="shared" si="3"/>
        <v>0</v>
      </c>
      <c r="AN37" s="125">
        <f>AH37*Valores!$C$71</f>
        <v>-53396.479400000004</v>
      </c>
      <c r="AO37" s="125">
        <f>AH37*-Valores!$C$72</f>
        <v>0</v>
      </c>
      <c r="AP37" s="125">
        <f>AH37*Valores!$C$73</f>
        <v>-21844.014300000003</v>
      </c>
      <c r="AQ37" s="125">
        <f>Valores!$C$100</f>
        <v>-554.86</v>
      </c>
      <c r="AR37" s="125">
        <f>IF($F$5=0,Valores!$C$101,(Valores!$C$101+$F$5*(Valores!$C$101)))</f>
        <v>-550</v>
      </c>
      <c r="AS37" s="125">
        <f t="shared" si="6"/>
        <v>409077.18630000006</v>
      </c>
      <c r="AT37" s="125">
        <f t="shared" si="0"/>
        <v>-53396.479400000004</v>
      </c>
      <c r="AU37" s="125">
        <f>AH37*Valores!$C$74</f>
        <v>-13106.408580000001</v>
      </c>
      <c r="AV37" s="125">
        <f>AH37*Valores!$C$75</f>
        <v>-1456.26762</v>
      </c>
      <c r="AW37" s="125">
        <f t="shared" si="4"/>
        <v>417463.38440000004</v>
      </c>
      <c r="AX37" s="126"/>
      <c r="AY37" s="126">
        <v>45</v>
      </c>
      <c r="AZ37" s="123" t="s">
        <v>8</v>
      </c>
    </row>
    <row r="38" spans="1:52" s="110" customFormat="1" ht="11.25" customHeight="1">
      <c r="A38" s="123" t="s">
        <v>170</v>
      </c>
      <c r="B38" s="123">
        <v>1</v>
      </c>
      <c r="C38" s="126">
        <v>31</v>
      </c>
      <c r="D38" s="124" t="s">
        <v>171</v>
      </c>
      <c r="E38" s="191">
        <v>85</v>
      </c>
      <c r="F38" s="125">
        <f>ROUND(E38*Valores!$C$2,2)</f>
        <v>3457.95</v>
      </c>
      <c r="G38" s="191">
        <v>3498</v>
      </c>
      <c r="H38" s="125">
        <f>ROUND(G38*Valores!$C$2,2)</f>
        <v>142304.94</v>
      </c>
      <c r="I38" s="191">
        <v>202</v>
      </c>
      <c r="J38" s="125">
        <f>ROUND(I38*Valores!$C$2,2)</f>
        <v>8217.72</v>
      </c>
      <c r="K38" s="191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29260.94</v>
      </c>
      <c r="N38" s="125">
        <f t="shared" si="1"/>
        <v>0</v>
      </c>
      <c r="O38" s="125">
        <f>Valores!$C$12</f>
        <v>92295.44</v>
      </c>
      <c r="P38" s="125">
        <f>Valores!$D$5</f>
        <v>20796.54</v>
      </c>
      <c r="Q38" s="125">
        <v>0</v>
      </c>
      <c r="R38" s="125">
        <f>IF($F$4="NO",Valores!$C$47,Valores!$C$47/2)</f>
        <v>21740.79</v>
      </c>
      <c r="S38" s="125">
        <f>Valores!$C$19</f>
        <v>19351.52</v>
      </c>
      <c r="T38" s="125">
        <f t="shared" si="7"/>
        <v>19351.52</v>
      </c>
      <c r="U38" s="125">
        <v>0</v>
      </c>
      <c r="V38" s="125">
        <v>0</v>
      </c>
      <c r="W38" s="191">
        <v>0</v>
      </c>
      <c r="X38" s="125">
        <f>ROUND(W38*Valores!$C$2,2)</f>
        <v>0</v>
      </c>
      <c r="Y38" s="125">
        <v>0</v>
      </c>
      <c r="Z38" s="125">
        <f>Valores!$C$96</f>
        <v>56956.28</v>
      </c>
      <c r="AA38" s="125">
        <f>Valores!$C$25</f>
        <v>850.59</v>
      </c>
      <c r="AB38" s="210">
        <v>0</v>
      </c>
      <c r="AC38" s="125">
        <f t="shared" si="2"/>
        <v>0</v>
      </c>
      <c r="AD38" s="125">
        <f>Valores!$C$26</f>
        <v>850.59</v>
      </c>
      <c r="AE38" s="191">
        <v>0</v>
      </c>
      <c r="AF38" s="125">
        <f>ROUND(AE38*Valores!$C$2,2)</f>
        <v>0</v>
      </c>
      <c r="AG38" s="125">
        <f>ROUND(IF($F$4="NO",Valores!$C$63,Valores!$C$63/2),2)</f>
        <v>9724.47</v>
      </c>
      <c r="AH38" s="125">
        <f t="shared" si="5"/>
        <v>405807.77</v>
      </c>
      <c r="AI38" s="125">
        <f>Valores!$C$31</f>
        <v>0</v>
      </c>
      <c r="AJ38" s="125">
        <f>Valores!$C$89</f>
        <v>0</v>
      </c>
      <c r="AK38" s="125">
        <f>Valores!C$38*B38</f>
        <v>0</v>
      </c>
      <c r="AL38" s="125">
        <f>IF($F$3="NO",0,Valores!$C$55)</f>
        <v>0</v>
      </c>
      <c r="AM38" s="125">
        <f t="shared" si="3"/>
        <v>0</v>
      </c>
      <c r="AN38" s="125">
        <f>AH38*Valores!$C$71</f>
        <v>-44638.8547</v>
      </c>
      <c r="AO38" s="125">
        <f>AH38*-Valores!$C$72</f>
        <v>0</v>
      </c>
      <c r="AP38" s="125">
        <f>AH38*Valores!$C$73</f>
        <v>-18261.34965</v>
      </c>
      <c r="AQ38" s="125">
        <f>Valores!$C$100</f>
        <v>-554.86</v>
      </c>
      <c r="AR38" s="125">
        <f>IF($F$5=0,Valores!$C$101,(Valores!$C$101+$F$5*(Valores!$C$101)))</f>
        <v>-550</v>
      </c>
      <c r="AS38" s="125">
        <f t="shared" si="6"/>
        <v>341802.70565</v>
      </c>
      <c r="AT38" s="125">
        <f t="shared" si="0"/>
        <v>-44638.8547</v>
      </c>
      <c r="AU38" s="125">
        <f>AH38*Valores!$C$74</f>
        <v>-10956.809790000001</v>
      </c>
      <c r="AV38" s="125">
        <f>AH38*Valores!$C$75</f>
        <v>-1217.4233100000001</v>
      </c>
      <c r="AW38" s="125">
        <f t="shared" si="4"/>
        <v>348994.68220000004</v>
      </c>
      <c r="AX38" s="126"/>
      <c r="AY38" s="126">
        <v>45</v>
      </c>
      <c r="AZ38" s="123" t="s">
        <v>8</v>
      </c>
    </row>
    <row r="39" spans="1:52" s="110" customFormat="1" ht="11.25" customHeight="1">
      <c r="A39" s="123" t="s">
        <v>172</v>
      </c>
      <c r="B39" s="123">
        <v>1</v>
      </c>
      <c r="C39" s="126">
        <v>32</v>
      </c>
      <c r="D39" s="124" t="s">
        <v>173</v>
      </c>
      <c r="E39" s="191">
        <v>85</v>
      </c>
      <c r="F39" s="125">
        <f>ROUND(E39*Valores!$C$2,2)</f>
        <v>3457.95</v>
      </c>
      <c r="G39" s="191">
        <v>3498</v>
      </c>
      <c r="H39" s="125">
        <f>ROUND(G39*Valores!$C$2,2)</f>
        <v>142304.94</v>
      </c>
      <c r="I39" s="191">
        <v>1209</v>
      </c>
      <c r="J39" s="125">
        <f>ROUND(I39*Valores!$C$2,2)</f>
        <v>49184.3</v>
      </c>
      <c r="K39" s="191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35405.93</v>
      </c>
      <c r="N39" s="125">
        <f t="shared" si="1"/>
        <v>0</v>
      </c>
      <c r="O39" s="125">
        <f>Valores!$C$12</f>
        <v>92295.44</v>
      </c>
      <c r="P39" s="125">
        <f>Valores!$D$5</f>
        <v>20796.54</v>
      </c>
      <c r="Q39" s="125">
        <v>0</v>
      </c>
      <c r="R39" s="125">
        <f>IF($F$4="NO",Valores!$C$47,Valores!$C$47/2)</f>
        <v>21740.79</v>
      </c>
      <c r="S39" s="125">
        <f>Valores!$C$19</f>
        <v>19351.52</v>
      </c>
      <c r="T39" s="125">
        <f t="shared" si="7"/>
        <v>19351.52</v>
      </c>
      <c r="U39" s="125">
        <v>0</v>
      </c>
      <c r="V39" s="125">
        <v>0</v>
      </c>
      <c r="W39" s="191">
        <v>0</v>
      </c>
      <c r="X39" s="125">
        <f>ROUND(W39*Valores!$C$2,2)</f>
        <v>0</v>
      </c>
      <c r="Y39" s="125">
        <v>0</v>
      </c>
      <c r="Z39" s="125">
        <f>Valores!$C$96</f>
        <v>56956.28</v>
      </c>
      <c r="AA39" s="125">
        <f>Valores!$C$25</f>
        <v>850.59</v>
      </c>
      <c r="AB39" s="210">
        <v>0</v>
      </c>
      <c r="AC39" s="125">
        <f t="shared" si="2"/>
        <v>0</v>
      </c>
      <c r="AD39" s="125">
        <f>Valores!$C$26</f>
        <v>850.59</v>
      </c>
      <c r="AE39" s="191">
        <v>0</v>
      </c>
      <c r="AF39" s="125">
        <f>ROUND(AE39*Valores!$C$2,2)</f>
        <v>0</v>
      </c>
      <c r="AG39" s="125">
        <f>ROUND(IF($F$4="NO",Valores!$C$63,Valores!$C$63/2),2)</f>
        <v>9724.47</v>
      </c>
      <c r="AH39" s="125">
        <f t="shared" si="5"/>
        <v>452919.33999999997</v>
      </c>
      <c r="AI39" s="125">
        <f>Valores!$C$31</f>
        <v>0</v>
      </c>
      <c r="AJ39" s="125">
        <f>Valores!$C$89</f>
        <v>0</v>
      </c>
      <c r="AK39" s="125">
        <f>Valores!C$38*B39</f>
        <v>0</v>
      </c>
      <c r="AL39" s="125">
        <f>IF($F$3="NO",0,Valores!$C$55)</f>
        <v>0</v>
      </c>
      <c r="AM39" s="125">
        <f t="shared" si="3"/>
        <v>0</v>
      </c>
      <c r="AN39" s="125">
        <f>AH39*Valores!$C$71</f>
        <v>-49821.1274</v>
      </c>
      <c r="AO39" s="125">
        <f>AH39*-Valores!$C$72</f>
        <v>0</v>
      </c>
      <c r="AP39" s="125">
        <f>AH39*Valores!$C$73</f>
        <v>-20381.3703</v>
      </c>
      <c r="AQ39" s="125">
        <f>Valores!$C$100</f>
        <v>-554.86</v>
      </c>
      <c r="AR39" s="125">
        <f>IF($F$5=0,Valores!$C$101,(Valores!$C$101+$F$5*(Valores!$C$101)))</f>
        <v>-550</v>
      </c>
      <c r="AS39" s="125">
        <f t="shared" si="6"/>
        <v>381611.9823</v>
      </c>
      <c r="AT39" s="125">
        <f t="shared" si="0"/>
        <v>-49821.1274</v>
      </c>
      <c r="AU39" s="125">
        <f>AH39*Valores!$C$74</f>
        <v>-12228.82218</v>
      </c>
      <c r="AV39" s="125">
        <f>AH39*Valores!$C$75</f>
        <v>-1358.75802</v>
      </c>
      <c r="AW39" s="125">
        <f t="shared" si="4"/>
        <v>389510.63239999994</v>
      </c>
      <c r="AX39" s="126"/>
      <c r="AY39" s="126">
        <v>45</v>
      </c>
      <c r="AZ39" s="123" t="s">
        <v>4</v>
      </c>
    </row>
    <row r="40" spans="1:52" s="110" customFormat="1" ht="11.25" customHeight="1">
      <c r="A40" s="123" t="s">
        <v>174</v>
      </c>
      <c r="B40" s="123">
        <v>1</v>
      </c>
      <c r="C40" s="126">
        <v>33</v>
      </c>
      <c r="D40" s="124" t="s">
        <v>175</v>
      </c>
      <c r="E40" s="191">
        <v>85</v>
      </c>
      <c r="F40" s="125">
        <f>ROUND(E40*Valores!$C$2,2)</f>
        <v>3457.95</v>
      </c>
      <c r="G40" s="191">
        <v>3498</v>
      </c>
      <c r="H40" s="125">
        <f>ROUND(G40*Valores!$C$2,2)</f>
        <v>142304.94</v>
      </c>
      <c r="I40" s="191">
        <v>1209</v>
      </c>
      <c r="J40" s="125">
        <f>ROUND(I40*Valores!$C$2,2)</f>
        <v>49184.3</v>
      </c>
      <c r="K40" s="191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35405.93</v>
      </c>
      <c r="N40" s="125">
        <f t="shared" si="1"/>
        <v>0</v>
      </c>
      <c r="O40" s="125">
        <f>Valores!$C$12</f>
        <v>92295.44</v>
      </c>
      <c r="P40" s="125">
        <f>Valores!$D$5</f>
        <v>20796.54</v>
      </c>
      <c r="Q40" s="125">
        <v>0</v>
      </c>
      <c r="R40" s="125">
        <f>IF($F$4="NO",Valores!$C$47,Valores!$C$47/2)</f>
        <v>21740.79</v>
      </c>
      <c r="S40" s="125">
        <f>Valores!$C$19</f>
        <v>19351.52</v>
      </c>
      <c r="T40" s="125">
        <f t="shared" si="7"/>
        <v>19351.52</v>
      </c>
      <c r="U40" s="125">
        <v>0</v>
      </c>
      <c r="V40" s="125">
        <v>0</v>
      </c>
      <c r="W40" s="191">
        <v>0</v>
      </c>
      <c r="X40" s="125">
        <f>ROUND(W40*Valores!$C$2,2)</f>
        <v>0</v>
      </c>
      <c r="Y40" s="125">
        <v>0</v>
      </c>
      <c r="Z40" s="125">
        <f>Valores!$C$96</f>
        <v>56956.28</v>
      </c>
      <c r="AA40" s="125">
        <f>Valores!$C$25</f>
        <v>850.59</v>
      </c>
      <c r="AB40" s="210">
        <v>0</v>
      </c>
      <c r="AC40" s="125">
        <f t="shared" si="2"/>
        <v>0</v>
      </c>
      <c r="AD40" s="125">
        <f>Valores!$C$26</f>
        <v>850.59</v>
      </c>
      <c r="AE40" s="191">
        <v>0</v>
      </c>
      <c r="AF40" s="125">
        <f>ROUND(AE40*Valores!$C$2,2)</f>
        <v>0</v>
      </c>
      <c r="AG40" s="125">
        <f>ROUND(IF($F$4="NO",Valores!$C$63,Valores!$C$63/2),2)</f>
        <v>9724.47</v>
      </c>
      <c r="AH40" s="125">
        <f t="shared" si="5"/>
        <v>452919.33999999997</v>
      </c>
      <c r="AI40" s="125">
        <f>Valores!$C$31</f>
        <v>0</v>
      </c>
      <c r="AJ40" s="125">
        <f>Valores!$C$89</f>
        <v>0</v>
      </c>
      <c r="AK40" s="125">
        <f>Valores!C$38*B40</f>
        <v>0</v>
      </c>
      <c r="AL40" s="125">
        <f>IF($F$3="NO",0,Valores!$C$55)</f>
        <v>0</v>
      </c>
      <c r="AM40" s="125">
        <f t="shared" si="3"/>
        <v>0</v>
      </c>
      <c r="AN40" s="125">
        <f>AH40*Valores!$C$71</f>
        <v>-49821.1274</v>
      </c>
      <c r="AO40" s="125">
        <f>AH40*-Valores!$C$72</f>
        <v>0</v>
      </c>
      <c r="AP40" s="125">
        <f>AH40*Valores!$C$73</f>
        <v>-20381.3703</v>
      </c>
      <c r="AQ40" s="125">
        <f>Valores!$C$100</f>
        <v>-554.86</v>
      </c>
      <c r="AR40" s="125">
        <f>IF($F$5=0,Valores!$C$101,(Valores!$C$101+$F$5*(Valores!$C$101)))</f>
        <v>-550</v>
      </c>
      <c r="AS40" s="125">
        <f t="shared" si="6"/>
        <v>381611.9823</v>
      </c>
      <c r="AT40" s="125">
        <f t="shared" si="0"/>
        <v>-49821.1274</v>
      </c>
      <c r="AU40" s="125">
        <f>AH40*Valores!$C$74</f>
        <v>-12228.82218</v>
      </c>
      <c r="AV40" s="125">
        <f>AH40*Valores!$C$75</f>
        <v>-1358.75802</v>
      </c>
      <c r="AW40" s="125">
        <f t="shared" si="4"/>
        <v>389510.63239999994</v>
      </c>
      <c r="AX40" s="126"/>
      <c r="AY40" s="126">
        <v>45</v>
      </c>
      <c r="AZ40" s="123" t="s">
        <v>8</v>
      </c>
    </row>
    <row r="41" spans="1:52" s="110" customFormat="1" ht="11.25" customHeight="1">
      <c r="A41" s="123" t="s">
        <v>176</v>
      </c>
      <c r="B41" s="123">
        <v>1</v>
      </c>
      <c r="C41" s="126">
        <v>34</v>
      </c>
      <c r="D41" s="124" t="s">
        <v>177</v>
      </c>
      <c r="E41" s="191">
        <v>101</v>
      </c>
      <c r="F41" s="125">
        <f>ROUND(E41*Valores!$C$2,2)</f>
        <v>4108.86</v>
      </c>
      <c r="G41" s="191">
        <v>2548</v>
      </c>
      <c r="H41" s="125">
        <f>ROUND(G41*Valores!$C$2,2)</f>
        <v>103657.23</v>
      </c>
      <c r="I41" s="191">
        <v>216</v>
      </c>
      <c r="J41" s="125">
        <f>ROUND(I41*Valores!$C$2,2)</f>
        <v>8787.27</v>
      </c>
      <c r="K41" s="191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23041.08</v>
      </c>
      <c r="N41" s="125">
        <f t="shared" si="1"/>
        <v>0</v>
      </c>
      <c r="O41" s="125">
        <f>Valores!$C$9</f>
        <v>51121.66</v>
      </c>
      <c r="P41" s="125">
        <f>Valores!$D$5</f>
        <v>20796.54</v>
      </c>
      <c r="Q41" s="125">
        <v>0</v>
      </c>
      <c r="R41" s="125">
        <f>IF($F$4="NO",Valores!$C$46,Valores!$C$46/2)</f>
        <v>17702.33</v>
      </c>
      <c r="S41" s="125">
        <f>Valores!$C$19</f>
        <v>19351.52</v>
      </c>
      <c r="T41" s="125">
        <f t="shared" si="7"/>
        <v>19351.52</v>
      </c>
      <c r="U41" s="125">
        <v>0</v>
      </c>
      <c r="V41" s="125">
        <v>0</v>
      </c>
      <c r="W41" s="191">
        <v>0</v>
      </c>
      <c r="X41" s="125">
        <f>ROUND(W41*Valores!$C$2,2)</f>
        <v>0</v>
      </c>
      <c r="Y41" s="125">
        <v>0</v>
      </c>
      <c r="Z41" s="125">
        <f>Valores!$C$94</f>
        <v>28478.14</v>
      </c>
      <c r="AA41" s="125">
        <f>Valores!$C$25</f>
        <v>850.59</v>
      </c>
      <c r="AB41" s="210">
        <v>0</v>
      </c>
      <c r="AC41" s="125">
        <f t="shared" si="2"/>
        <v>0</v>
      </c>
      <c r="AD41" s="125">
        <f>Valores!$C$26</f>
        <v>850.59</v>
      </c>
      <c r="AE41" s="191">
        <v>0</v>
      </c>
      <c r="AF41" s="125">
        <f>ROUND(AE41*Valores!$C$2,2)</f>
        <v>0</v>
      </c>
      <c r="AG41" s="125">
        <f>ROUND(IF($F$4="NO",Valores!$C$63,Valores!$C$63/2),2)</f>
        <v>9724.47</v>
      </c>
      <c r="AH41" s="125">
        <f t="shared" si="5"/>
        <v>288470.28</v>
      </c>
      <c r="AI41" s="125">
        <f>Valores!$C$31</f>
        <v>0</v>
      </c>
      <c r="AJ41" s="125">
        <f>Valores!$C$87</f>
        <v>0</v>
      </c>
      <c r="AK41" s="125">
        <f>Valores!C$38*B41</f>
        <v>0</v>
      </c>
      <c r="AL41" s="125">
        <f>IF($F$3="NO",0,Valores!$C$55)</f>
        <v>0</v>
      </c>
      <c r="AM41" s="125">
        <f t="shared" si="3"/>
        <v>0</v>
      </c>
      <c r="AN41" s="125">
        <f>AH41*Valores!$C$71</f>
        <v>-31731.730800000005</v>
      </c>
      <c r="AO41" s="125">
        <f>AH41*-Valores!$C$72</f>
        <v>0</v>
      </c>
      <c r="AP41" s="125">
        <f>AH41*Valores!$C$73</f>
        <v>-12981.162600000001</v>
      </c>
      <c r="AQ41" s="125">
        <f>Valores!$C$100</f>
        <v>-554.86</v>
      </c>
      <c r="AR41" s="125">
        <f>IF($F$5=0,Valores!$C$101,(Valores!$C$101+$F$5*(Valores!$C$101)))</f>
        <v>-550</v>
      </c>
      <c r="AS41" s="125">
        <f t="shared" si="6"/>
        <v>242652.5266</v>
      </c>
      <c r="AT41" s="125">
        <f t="shared" si="0"/>
        <v>-31731.730800000005</v>
      </c>
      <c r="AU41" s="125">
        <f>AH41*Valores!$C$74</f>
        <v>-7788.6975600000005</v>
      </c>
      <c r="AV41" s="125">
        <f>AH41*Valores!$C$75</f>
        <v>-865.4108400000001</v>
      </c>
      <c r="AW41" s="125">
        <f t="shared" si="4"/>
        <v>248084.44080000004</v>
      </c>
      <c r="AX41" s="126"/>
      <c r="AY41" s="126">
        <v>45</v>
      </c>
      <c r="AZ41" s="123" t="s">
        <v>8</v>
      </c>
    </row>
    <row r="42" spans="1:52" s="110" customFormat="1" ht="11.25" customHeight="1">
      <c r="A42" s="123" t="s">
        <v>178</v>
      </c>
      <c r="B42" s="123">
        <v>1</v>
      </c>
      <c r="C42" s="126">
        <v>35</v>
      </c>
      <c r="D42" s="124" t="s">
        <v>177</v>
      </c>
      <c r="E42" s="191">
        <v>101</v>
      </c>
      <c r="F42" s="125">
        <f>ROUND(E42*Valores!$C$2,2)</f>
        <v>4108.86</v>
      </c>
      <c r="G42" s="191">
        <v>2548</v>
      </c>
      <c r="H42" s="125">
        <f>ROUND(G42*Valores!$C$2,2)</f>
        <v>103657.23</v>
      </c>
      <c r="I42" s="191">
        <v>216</v>
      </c>
      <c r="J42" s="125">
        <f>ROUND(I42*Valores!$C$2,2)</f>
        <v>8787.27</v>
      </c>
      <c r="K42" s="191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23041.08</v>
      </c>
      <c r="N42" s="125">
        <f t="shared" si="1"/>
        <v>0</v>
      </c>
      <c r="O42" s="125">
        <f>Valores!$C$9</f>
        <v>51121.66</v>
      </c>
      <c r="P42" s="125">
        <f>Valores!$D$5</f>
        <v>20796.54</v>
      </c>
      <c r="Q42" s="125">
        <v>0</v>
      </c>
      <c r="R42" s="125">
        <f>IF($F$4="NO",Valores!$C$46,Valores!$C$46/2)</f>
        <v>17702.33</v>
      </c>
      <c r="S42" s="125">
        <f>Valores!$C$19</f>
        <v>19351.52</v>
      </c>
      <c r="T42" s="125">
        <f t="shared" si="7"/>
        <v>19351.52</v>
      </c>
      <c r="U42" s="125">
        <v>0</v>
      </c>
      <c r="V42" s="125">
        <v>0</v>
      </c>
      <c r="W42" s="191">
        <v>0</v>
      </c>
      <c r="X42" s="125">
        <f>ROUND(W42*Valores!$C$2,2)</f>
        <v>0</v>
      </c>
      <c r="Y42" s="125">
        <v>0</v>
      </c>
      <c r="Z42" s="125">
        <f>Valores!$C$94</f>
        <v>28478.14</v>
      </c>
      <c r="AA42" s="125">
        <f>Valores!$C$25</f>
        <v>850.59</v>
      </c>
      <c r="AB42" s="210">
        <v>0</v>
      </c>
      <c r="AC42" s="125">
        <f t="shared" si="2"/>
        <v>0</v>
      </c>
      <c r="AD42" s="125">
        <f>Valores!$C$26</f>
        <v>850.59</v>
      </c>
      <c r="AE42" s="191">
        <v>0</v>
      </c>
      <c r="AF42" s="125">
        <f>ROUND(AE42*Valores!$C$2,2)</f>
        <v>0</v>
      </c>
      <c r="AG42" s="125">
        <f>ROUND(IF($F$4="NO",Valores!$C$63,Valores!$C$63/2),2)</f>
        <v>9724.47</v>
      </c>
      <c r="AH42" s="125">
        <f t="shared" si="5"/>
        <v>288470.28</v>
      </c>
      <c r="AI42" s="125">
        <f>Valores!$C$31</f>
        <v>0</v>
      </c>
      <c r="AJ42" s="125">
        <f>Valores!$C$87</f>
        <v>0</v>
      </c>
      <c r="AK42" s="125">
        <f>Valores!C$38*B42</f>
        <v>0</v>
      </c>
      <c r="AL42" s="125">
        <f>IF($F$3="NO",0,Valores!$C$55)</f>
        <v>0</v>
      </c>
      <c r="AM42" s="125">
        <f t="shared" si="3"/>
        <v>0</v>
      </c>
      <c r="AN42" s="125">
        <f>AH42*Valores!$C$71</f>
        <v>-31731.730800000005</v>
      </c>
      <c r="AO42" s="125">
        <f>AH42*-Valores!$C$72</f>
        <v>0</v>
      </c>
      <c r="AP42" s="125">
        <f>AH42*Valores!$C$73</f>
        <v>-12981.162600000001</v>
      </c>
      <c r="AQ42" s="125">
        <f>Valores!$C$100</f>
        <v>-554.86</v>
      </c>
      <c r="AR42" s="125">
        <f>IF($F$5=0,Valores!$C$101,(Valores!$C$101+$F$5*(Valores!$C$101)))</f>
        <v>-550</v>
      </c>
      <c r="AS42" s="125">
        <f t="shared" si="6"/>
        <v>242652.5266</v>
      </c>
      <c r="AT42" s="125">
        <f t="shared" si="0"/>
        <v>-31731.730800000005</v>
      </c>
      <c r="AU42" s="125">
        <f>AH42*Valores!$C$74</f>
        <v>-7788.6975600000005</v>
      </c>
      <c r="AV42" s="125">
        <f>AH42*Valores!$C$75</f>
        <v>-865.4108400000001</v>
      </c>
      <c r="AW42" s="125">
        <f t="shared" si="4"/>
        <v>248084.44080000004</v>
      </c>
      <c r="AX42" s="126"/>
      <c r="AY42" s="126">
        <v>45</v>
      </c>
      <c r="AZ42" s="123" t="s">
        <v>8</v>
      </c>
    </row>
    <row r="43" spans="1:52" s="110" customFormat="1" ht="11.25" customHeight="1">
      <c r="A43" s="123" t="s">
        <v>179</v>
      </c>
      <c r="B43" s="123">
        <v>1</v>
      </c>
      <c r="C43" s="126">
        <v>36</v>
      </c>
      <c r="D43" s="124" t="s">
        <v>180</v>
      </c>
      <c r="E43" s="191">
        <v>96</v>
      </c>
      <c r="F43" s="125">
        <f>ROUND(E43*Valores!$C$2,2)</f>
        <v>3905.45</v>
      </c>
      <c r="G43" s="191">
        <v>2475</v>
      </c>
      <c r="H43" s="125">
        <f>ROUND(G43*Valores!$C$2,2)</f>
        <v>100687.46</v>
      </c>
      <c r="I43" s="191">
        <v>213</v>
      </c>
      <c r="J43" s="125">
        <f>ROUND(I43*Valores!$C$2,2)</f>
        <v>8665.22</v>
      </c>
      <c r="K43" s="191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22058.52</v>
      </c>
      <c r="N43" s="125">
        <f t="shared" si="1"/>
        <v>0</v>
      </c>
      <c r="O43" s="125">
        <f>Valores!$C$9</f>
        <v>51121.66</v>
      </c>
      <c r="P43" s="125">
        <f>Valores!$D$5</f>
        <v>20796.54</v>
      </c>
      <c r="Q43" s="125">
        <v>0</v>
      </c>
      <c r="R43" s="125">
        <f>IF($F$4="NO",Valores!$C$44,Valores!$C$44/2)</f>
        <v>14447.16</v>
      </c>
      <c r="S43" s="125">
        <f>Valores!$C$19</f>
        <v>19351.52</v>
      </c>
      <c r="T43" s="125">
        <f t="shared" si="7"/>
        <v>19351.52</v>
      </c>
      <c r="U43" s="125">
        <v>0</v>
      </c>
      <c r="V43" s="125">
        <v>0</v>
      </c>
      <c r="W43" s="191">
        <v>0</v>
      </c>
      <c r="X43" s="125">
        <f>ROUND(W43*Valores!$C$2,2)</f>
        <v>0</v>
      </c>
      <c r="Y43" s="125">
        <v>0</v>
      </c>
      <c r="Z43" s="125">
        <f>Valores!$C$94</f>
        <v>28478.14</v>
      </c>
      <c r="AA43" s="125">
        <f>Valores!$C$25</f>
        <v>850.59</v>
      </c>
      <c r="AB43" s="210">
        <v>0</v>
      </c>
      <c r="AC43" s="125">
        <f t="shared" si="2"/>
        <v>0</v>
      </c>
      <c r="AD43" s="125">
        <f>Valores!$C$26</f>
        <v>850.59</v>
      </c>
      <c r="AE43" s="191">
        <v>0</v>
      </c>
      <c r="AF43" s="125">
        <f>ROUND(AE43*Valores!$C$2,2)</f>
        <v>0</v>
      </c>
      <c r="AG43" s="125">
        <f>ROUND(IF($F$4="NO",Valores!$C$63,Valores!$C$63/2),2)</f>
        <v>9724.47</v>
      </c>
      <c r="AH43" s="125">
        <f t="shared" si="5"/>
        <v>280937.32</v>
      </c>
      <c r="AI43" s="125">
        <f>Valores!$C$31</f>
        <v>0</v>
      </c>
      <c r="AJ43" s="125">
        <f>Valores!$C$87</f>
        <v>0</v>
      </c>
      <c r="AK43" s="125">
        <f>Valores!C$38*B43</f>
        <v>0</v>
      </c>
      <c r="AL43" s="125">
        <f>IF($F$3="NO",0,Valores!$C$56)</f>
        <v>0</v>
      </c>
      <c r="AM43" s="125">
        <f t="shared" si="3"/>
        <v>0</v>
      </c>
      <c r="AN43" s="125">
        <f>AH43*Valores!$C$71</f>
        <v>-30903.1052</v>
      </c>
      <c r="AO43" s="125">
        <f>AH43*-Valores!$C$72</f>
        <v>0</v>
      </c>
      <c r="AP43" s="125">
        <f>AH43*Valores!$C$73</f>
        <v>-12642.179399999999</v>
      </c>
      <c r="AQ43" s="125">
        <f>Valores!$C$100</f>
        <v>-554.86</v>
      </c>
      <c r="AR43" s="125">
        <f>IF($F$5=0,Valores!$C$101,(Valores!$C$101+$F$5*(Valores!$C$101)))</f>
        <v>-550</v>
      </c>
      <c r="AS43" s="125">
        <f t="shared" si="6"/>
        <v>236287.1754</v>
      </c>
      <c r="AT43" s="125">
        <f t="shared" si="0"/>
        <v>-30903.1052</v>
      </c>
      <c r="AU43" s="125">
        <f>AH43*Valores!$C$74</f>
        <v>-7585.30764</v>
      </c>
      <c r="AV43" s="125">
        <f>AH43*Valores!$C$75</f>
        <v>-842.81196</v>
      </c>
      <c r="AW43" s="125">
        <f t="shared" si="4"/>
        <v>241606.0952</v>
      </c>
      <c r="AX43" s="126"/>
      <c r="AY43" s="126">
        <v>45</v>
      </c>
      <c r="AZ43" s="123" t="s">
        <v>4</v>
      </c>
    </row>
    <row r="44" spans="1:52" s="110" customFormat="1" ht="11.25" customHeight="1">
      <c r="A44" s="123" t="s">
        <v>181</v>
      </c>
      <c r="B44" s="123">
        <v>1</v>
      </c>
      <c r="C44" s="126">
        <v>37</v>
      </c>
      <c r="D44" s="124" t="s">
        <v>182</v>
      </c>
      <c r="E44" s="191">
        <v>72</v>
      </c>
      <c r="F44" s="125">
        <f>ROUND(E44*Valores!$C$2,2)</f>
        <v>2929.09</v>
      </c>
      <c r="G44" s="191">
        <v>2471</v>
      </c>
      <c r="H44" s="125">
        <f>ROUND(G44*Valores!$C$2,2)</f>
        <v>100524.73</v>
      </c>
      <c r="I44" s="191">
        <v>199</v>
      </c>
      <c r="J44" s="125">
        <f>ROUND(I44*Valores!$C$2,2)</f>
        <v>8095.68</v>
      </c>
      <c r="K44" s="191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21802.23</v>
      </c>
      <c r="N44" s="125">
        <f t="shared" si="1"/>
        <v>0</v>
      </c>
      <c r="O44" s="125">
        <f>Valores!$C$9</f>
        <v>51121.66</v>
      </c>
      <c r="P44" s="125">
        <f>Valores!$D$5</f>
        <v>20796.54</v>
      </c>
      <c r="Q44" s="125">
        <v>0</v>
      </c>
      <c r="R44" s="125">
        <f>IF($F$4="NO",Valores!$C$44,Valores!$C$44/2)</f>
        <v>14447.16</v>
      </c>
      <c r="S44" s="125">
        <f>Valores!$C$19</f>
        <v>19351.52</v>
      </c>
      <c r="T44" s="125">
        <f t="shared" si="7"/>
        <v>19351.52</v>
      </c>
      <c r="U44" s="125">
        <v>0</v>
      </c>
      <c r="V44" s="125">
        <v>0</v>
      </c>
      <c r="W44" s="191">
        <v>0</v>
      </c>
      <c r="X44" s="125">
        <f>ROUND(W44*Valores!$C$2,2)</f>
        <v>0</v>
      </c>
      <c r="Y44" s="125">
        <v>0</v>
      </c>
      <c r="Z44" s="125">
        <f>Valores!$C$94</f>
        <v>28478.14</v>
      </c>
      <c r="AA44" s="125">
        <f>Valores!$C$25</f>
        <v>850.59</v>
      </c>
      <c r="AB44" s="210">
        <v>0</v>
      </c>
      <c r="AC44" s="125">
        <f t="shared" si="2"/>
        <v>0</v>
      </c>
      <c r="AD44" s="125">
        <f>Valores!$C$26</f>
        <v>850.59</v>
      </c>
      <c r="AE44" s="191">
        <v>0</v>
      </c>
      <c r="AF44" s="125">
        <f>ROUND(AE44*Valores!$C$2,2)</f>
        <v>0</v>
      </c>
      <c r="AG44" s="125">
        <f>ROUND(IF($F$4="NO",Valores!$C$63,Valores!$C$63/2),2)</f>
        <v>9724.47</v>
      </c>
      <c r="AH44" s="125">
        <f t="shared" si="5"/>
        <v>278972.4</v>
      </c>
      <c r="AI44" s="125">
        <f>Valores!$C$31</f>
        <v>0</v>
      </c>
      <c r="AJ44" s="125">
        <f>Valores!$C$87</f>
        <v>0</v>
      </c>
      <c r="AK44" s="125">
        <f>Valores!C$38*B44</f>
        <v>0</v>
      </c>
      <c r="AL44" s="125">
        <f>IF($F$3="NO",0,Valores!$C$56)</f>
        <v>0</v>
      </c>
      <c r="AM44" s="125">
        <f t="shared" si="3"/>
        <v>0</v>
      </c>
      <c r="AN44" s="125">
        <f>AH44*Valores!$C$71</f>
        <v>-30686.964000000004</v>
      </c>
      <c r="AO44" s="125">
        <f>AH44*-Valores!$C$72</f>
        <v>0</v>
      </c>
      <c r="AP44" s="125">
        <f>AH44*Valores!$C$73</f>
        <v>-12553.758</v>
      </c>
      <c r="AQ44" s="125">
        <f>Valores!$C$100</f>
        <v>-554.86</v>
      </c>
      <c r="AR44" s="125">
        <f>IF($F$5=0,Valores!$C$101,(Valores!$C$101+$F$5*(Valores!$C$101)))</f>
        <v>-550</v>
      </c>
      <c r="AS44" s="125">
        <f t="shared" si="6"/>
        <v>234626.81800000003</v>
      </c>
      <c r="AT44" s="125">
        <f t="shared" si="0"/>
        <v>-30686.964000000004</v>
      </c>
      <c r="AU44" s="125">
        <f>AH44*Valores!$C$74</f>
        <v>-7532.254800000001</v>
      </c>
      <c r="AV44" s="125">
        <f>AH44*Valores!$C$75</f>
        <v>-836.9172000000001</v>
      </c>
      <c r="AW44" s="125">
        <f t="shared" si="4"/>
        <v>239916.26400000002</v>
      </c>
      <c r="AX44" s="126"/>
      <c r="AY44" s="126">
        <v>45</v>
      </c>
      <c r="AZ44" s="123" t="s">
        <v>4</v>
      </c>
    </row>
    <row r="45" spans="1:52" s="110" customFormat="1" ht="11.25" customHeight="1">
      <c r="A45" s="123" t="s">
        <v>183</v>
      </c>
      <c r="B45" s="123">
        <v>1</v>
      </c>
      <c r="C45" s="126">
        <v>38</v>
      </c>
      <c r="D45" s="124" t="s">
        <v>184</v>
      </c>
      <c r="E45" s="191">
        <f>E39</f>
        <v>85</v>
      </c>
      <c r="F45" s="125">
        <f>ROUND(E45*Valores!$C$2,2)</f>
        <v>3457.95</v>
      </c>
      <c r="G45" s="191">
        <f>G39</f>
        <v>3498</v>
      </c>
      <c r="H45" s="125">
        <f>ROUND(G45*Valores!$C$2,2)</f>
        <v>142304.94</v>
      </c>
      <c r="I45" s="191">
        <f>I39</f>
        <v>1209</v>
      </c>
      <c r="J45" s="125">
        <f>ROUND(I45*Valores!$C$2,2)</f>
        <v>49184.3</v>
      </c>
      <c r="K45" s="191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34800.16</v>
      </c>
      <c r="N45" s="125">
        <f t="shared" si="1"/>
        <v>0</v>
      </c>
      <c r="O45" s="125">
        <f>O39</f>
        <v>92295.44</v>
      </c>
      <c r="P45" s="125">
        <f>Valores!$D$5</f>
        <v>20796.54</v>
      </c>
      <c r="Q45" s="125">
        <v>0</v>
      </c>
      <c r="R45" s="125">
        <f>IF($F$4="NO",Valores!$C$46,Valores!$C$46/2)</f>
        <v>17702.33</v>
      </c>
      <c r="S45" s="125">
        <f>S39</f>
        <v>19351.52</v>
      </c>
      <c r="T45" s="125">
        <f t="shared" si="7"/>
        <v>19351.52</v>
      </c>
      <c r="U45" s="125">
        <v>0</v>
      </c>
      <c r="V45" s="125">
        <v>0</v>
      </c>
      <c r="W45" s="191">
        <v>0</v>
      </c>
      <c r="X45" s="125">
        <f>ROUND(W45*Valores!$C$2,2)</f>
        <v>0</v>
      </c>
      <c r="Y45" s="125">
        <v>0</v>
      </c>
      <c r="Z45" s="125">
        <f>Z39</f>
        <v>56956.28</v>
      </c>
      <c r="AA45" s="125">
        <f>Valores!$C$25</f>
        <v>850.59</v>
      </c>
      <c r="AB45" s="210">
        <v>0</v>
      </c>
      <c r="AC45" s="125">
        <f t="shared" si="2"/>
        <v>0</v>
      </c>
      <c r="AD45" s="125">
        <f>Valores!$C$26</f>
        <v>850.59</v>
      </c>
      <c r="AE45" s="191">
        <v>0</v>
      </c>
      <c r="AF45" s="125">
        <f>ROUND(AE45*Valores!$C$2,2)</f>
        <v>0</v>
      </c>
      <c r="AG45" s="125">
        <f>ROUND(IF($F$4="NO",Valores!$C$63,Valores!$C$63/2),2)</f>
        <v>9724.47</v>
      </c>
      <c r="AH45" s="125">
        <f t="shared" si="5"/>
        <v>448275.1100000001</v>
      </c>
      <c r="AI45" s="125">
        <f>Valores!$C$31</f>
        <v>0</v>
      </c>
      <c r="AJ45" s="125">
        <f>AJ39</f>
        <v>0</v>
      </c>
      <c r="AK45" s="125">
        <f>Valores!C$38*B45</f>
        <v>0</v>
      </c>
      <c r="AL45" s="125">
        <f>IF($F$3="NO",0,Valores!$C$55)</f>
        <v>0</v>
      </c>
      <c r="AM45" s="125">
        <f t="shared" si="3"/>
        <v>0</v>
      </c>
      <c r="AN45" s="125">
        <f>AH45*Valores!$C$71</f>
        <v>-49310.262100000014</v>
      </c>
      <c r="AO45" s="125">
        <f>AH45*-Valores!$C$72</f>
        <v>0</v>
      </c>
      <c r="AP45" s="125">
        <f>AH45*Valores!$C$73</f>
        <v>-20172.379950000002</v>
      </c>
      <c r="AQ45" s="125">
        <f>Valores!$C$100</f>
        <v>-554.86</v>
      </c>
      <c r="AR45" s="125">
        <f>IF($F$5=0,Valores!$C$101,(Valores!$C$101+$F$5*(Valores!$C$101)))</f>
        <v>-550</v>
      </c>
      <c r="AS45" s="125">
        <f t="shared" si="6"/>
        <v>377687.6079500001</v>
      </c>
      <c r="AT45" s="125">
        <f t="shared" si="0"/>
        <v>-49310.262100000014</v>
      </c>
      <c r="AU45" s="125">
        <f>AH45*Valores!$C$74</f>
        <v>-12103.427970000002</v>
      </c>
      <c r="AV45" s="125">
        <f>AH45*Valores!$C$75</f>
        <v>-1344.8253300000003</v>
      </c>
      <c r="AW45" s="125">
        <f t="shared" si="4"/>
        <v>385516.59460000007</v>
      </c>
      <c r="AX45" s="126"/>
      <c r="AY45" s="126">
        <v>45</v>
      </c>
      <c r="AZ45" s="123" t="s">
        <v>8</v>
      </c>
    </row>
    <row r="46" spans="1:52" s="110" customFormat="1" ht="11.25" customHeight="1">
      <c r="A46" s="123" t="s">
        <v>185</v>
      </c>
      <c r="B46" s="123">
        <v>1</v>
      </c>
      <c r="C46" s="126">
        <v>39</v>
      </c>
      <c r="D46" s="124" t="s">
        <v>186</v>
      </c>
      <c r="E46" s="191">
        <f>E88+E304</f>
        <v>518</v>
      </c>
      <c r="F46" s="125">
        <f>ROUND(E46*Valores!$C$2,2)</f>
        <v>21073.17</v>
      </c>
      <c r="G46" s="191">
        <f>G88+G304</f>
        <v>1997</v>
      </c>
      <c r="H46" s="125">
        <f>ROUND(G46*Valores!$C$2,2)</f>
        <v>81241.55</v>
      </c>
      <c r="I46" s="191">
        <v>0</v>
      </c>
      <c r="J46" s="125">
        <f>ROUND(I46*Valores!$C$2,2)</f>
        <v>0</v>
      </c>
      <c r="K46" s="191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20962.05</v>
      </c>
      <c r="N46" s="125">
        <f t="shared" si="1"/>
        <v>0</v>
      </c>
      <c r="O46" s="125">
        <f>O88+O304</f>
        <v>58782.229999999996</v>
      </c>
      <c r="P46" s="125">
        <f>Valores!$D$5</f>
        <v>20796.54</v>
      </c>
      <c r="Q46" s="125">
        <f>Q88+Q304</f>
        <v>18553.83</v>
      </c>
      <c r="R46" s="125">
        <f>R88+R304</f>
        <v>18080.760000000002</v>
      </c>
      <c r="S46" s="125">
        <f>S88+S304</f>
        <v>19351.52</v>
      </c>
      <c r="T46" s="125">
        <f t="shared" si="7"/>
        <v>19351.52</v>
      </c>
      <c r="U46" s="125">
        <v>0</v>
      </c>
      <c r="V46" s="125">
        <v>0</v>
      </c>
      <c r="W46" s="191">
        <v>0</v>
      </c>
      <c r="X46" s="125">
        <f>ROUND(W46*Valores!$C$2,2)</f>
        <v>0</v>
      </c>
      <c r="Y46" s="125">
        <v>0</v>
      </c>
      <c r="Z46" s="125">
        <f>Z88+Z304</f>
        <v>28478.14</v>
      </c>
      <c r="AA46" s="125">
        <f>Valores!$C$25</f>
        <v>850.59</v>
      </c>
      <c r="AB46" s="210">
        <v>0</v>
      </c>
      <c r="AC46" s="125">
        <f t="shared" si="2"/>
        <v>0</v>
      </c>
      <c r="AD46" s="125">
        <f>Valores!$C$26</f>
        <v>850.59</v>
      </c>
      <c r="AE46" s="191">
        <v>0</v>
      </c>
      <c r="AF46" s="125">
        <f>ROUND(AE46*Valores!$C$2,2)</f>
        <v>0</v>
      </c>
      <c r="AG46" s="125">
        <f>ROUND(IF($F$4="NO",Valores!$C$63,Valores!$C$63/2),2)</f>
        <v>9724.47</v>
      </c>
      <c r="AH46" s="125">
        <f t="shared" si="5"/>
        <v>298745.44</v>
      </c>
      <c r="AI46" s="125">
        <f>Valores!$C$31</f>
        <v>0</v>
      </c>
      <c r="AJ46" s="125">
        <f>AJ88+AJ304</f>
        <v>0</v>
      </c>
      <c r="AK46" s="125">
        <f>Valores!C$38*B46</f>
        <v>0</v>
      </c>
      <c r="AL46" s="125">
        <f>IF($F$3="NO",0,Valores!$C$56)</f>
        <v>0</v>
      </c>
      <c r="AM46" s="125">
        <f t="shared" si="3"/>
        <v>0</v>
      </c>
      <c r="AN46" s="125">
        <f>AH46*Valores!$C$71</f>
        <v>-32861.998400000004</v>
      </c>
      <c r="AO46" s="125">
        <f>AH46*-Valores!$C$72</f>
        <v>0</v>
      </c>
      <c r="AP46" s="125">
        <f>AH46*Valores!$C$73</f>
        <v>-13443.5448</v>
      </c>
      <c r="AQ46" s="125">
        <f>Valores!$C$100</f>
        <v>-554.86</v>
      </c>
      <c r="AR46" s="125">
        <f>IF($F$5=0,Valores!$C$101,(Valores!$C$101+$F$5*(Valores!$C$101)))</f>
        <v>-550</v>
      </c>
      <c r="AS46" s="125">
        <f t="shared" si="6"/>
        <v>251335.0368</v>
      </c>
      <c r="AT46" s="125">
        <f t="shared" si="0"/>
        <v>-32861.998400000004</v>
      </c>
      <c r="AU46" s="125">
        <f>AH46*Valores!$C$74</f>
        <v>-8066.12688</v>
      </c>
      <c r="AV46" s="125">
        <f>AH46*Valores!$C$75</f>
        <v>-896.23632</v>
      </c>
      <c r="AW46" s="125">
        <f t="shared" si="4"/>
        <v>256921.0784</v>
      </c>
      <c r="AX46" s="126"/>
      <c r="AY46" s="126"/>
      <c r="AZ46" s="123" t="s">
        <v>8</v>
      </c>
    </row>
    <row r="47" spans="1:52" s="110" customFormat="1" ht="11.25" customHeight="1">
      <c r="A47" s="123" t="s">
        <v>187</v>
      </c>
      <c r="B47" s="123">
        <v>1</v>
      </c>
      <c r="C47" s="126">
        <v>40</v>
      </c>
      <c r="D47" s="124" t="s">
        <v>188</v>
      </c>
      <c r="E47" s="191">
        <f>E55+E237</f>
        <v>572</v>
      </c>
      <c r="F47" s="125">
        <f>ROUND(E47*Valores!$C$2,2)</f>
        <v>23269.99</v>
      </c>
      <c r="G47" s="191">
        <f>G55+G237</f>
        <v>2686</v>
      </c>
      <c r="H47" s="125">
        <f>ROUND(G47*Valores!$C$2,2)</f>
        <v>109271.31</v>
      </c>
      <c r="I47" s="191">
        <v>0</v>
      </c>
      <c r="J47" s="125">
        <f>ROUND(I47*Valores!$C$2,2)</f>
        <v>0</v>
      </c>
      <c r="K47" s="191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26116.73</v>
      </c>
      <c r="N47" s="125">
        <f t="shared" si="1"/>
        <v>0</v>
      </c>
      <c r="O47" s="125">
        <f>O55+O237</f>
        <v>59399.5</v>
      </c>
      <c r="P47" s="125">
        <f>Valores!$D$5</f>
        <v>20796.54</v>
      </c>
      <c r="Q47" s="125">
        <f>Q55+Q237</f>
        <v>18553.83</v>
      </c>
      <c r="R47" s="125">
        <f>R55+R237</f>
        <v>19615.17</v>
      </c>
      <c r="S47" s="125">
        <f>S55+S237</f>
        <v>21955.04</v>
      </c>
      <c r="T47" s="125">
        <f t="shared" si="7"/>
        <v>21955.04</v>
      </c>
      <c r="U47" s="125">
        <v>0</v>
      </c>
      <c r="V47" s="125">
        <v>0</v>
      </c>
      <c r="W47" s="191">
        <v>0</v>
      </c>
      <c r="X47" s="125">
        <f>ROUND(W47*Valores!$C$2,2)</f>
        <v>0</v>
      </c>
      <c r="Y47" s="125">
        <v>0</v>
      </c>
      <c r="Z47" s="125">
        <f>Z55+Z237</f>
        <v>42121.78999999999</v>
      </c>
      <c r="AA47" s="125">
        <f>AA55+AA237</f>
        <v>1055.07</v>
      </c>
      <c r="AB47" s="210">
        <v>0</v>
      </c>
      <c r="AC47" s="125">
        <f t="shared" si="2"/>
        <v>0</v>
      </c>
      <c r="AD47" s="125">
        <f>Valores!$C$26</f>
        <v>850.59</v>
      </c>
      <c r="AE47" s="191">
        <v>0</v>
      </c>
      <c r="AF47" s="125">
        <f>ROUND(AE47*Valores!$C$2,2)</f>
        <v>0</v>
      </c>
      <c r="AG47" s="125">
        <f>AG55+AG237</f>
        <v>13614.269999999999</v>
      </c>
      <c r="AH47" s="125">
        <f t="shared" si="5"/>
        <v>356619.83</v>
      </c>
      <c r="AI47" s="125">
        <f>AI55+AI237</f>
        <v>0</v>
      </c>
      <c r="AJ47" s="125">
        <f>AJ55+AJ237</f>
        <v>0</v>
      </c>
      <c r="AK47" s="125">
        <f>Valores!C$38*B47</f>
        <v>0</v>
      </c>
      <c r="AL47" s="125">
        <f>IF($F$3="NO",0,Valores!$C$56)</f>
        <v>0</v>
      </c>
      <c r="AM47" s="125">
        <f t="shared" si="3"/>
        <v>0</v>
      </c>
      <c r="AN47" s="125">
        <f>AH47*Valores!$C$71</f>
        <v>-39228.181300000004</v>
      </c>
      <c r="AO47" s="125">
        <f>AH47*-Valores!$C$72</f>
        <v>0</v>
      </c>
      <c r="AP47" s="125">
        <f>AH47*Valores!$C$73</f>
        <v>-16047.89235</v>
      </c>
      <c r="AQ47" s="125">
        <f>Valores!$C$100</f>
        <v>-554.86</v>
      </c>
      <c r="AR47" s="125">
        <f>IF($F$5=0,Valores!$C$101,(Valores!$C$101+$F$5*(Valores!$C$101)))</f>
        <v>-550</v>
      </c>
      <c r="AS47" s="125">
        <f t="shared" si="6"/>
        <v>300238.89635</v>
      </c>
      <c r="AT47" s="125">
        <f t="shared" si="0"/>
        <v>-39228.181300000004</v>
      </c>
      <c r="AU47" s="125">
        <f>AH47*Valores!$C$74</f>
        <v>-9628.735410000001</v>
      </c>
      <c r="AV47" s="125">
        <f>AH47*Valores!$C$75</f>
        <v>-1069.85949</v>
      </c>
      <c r="AW47" s="125">
        <f t="shared" si="4"/>
        <v>306693.0538</v>
      </c>
      <c r="AX47" s="126"/>
      <c r="AY47" s="126"/>
      <c r="AZ47" s="123" t="s">
        <v>8</v>
      </c>
    </row>
    <row r="48" spans="1:52" s="110" customFormat="1" ht="11.25" customHeight="1">
      <c r="A48" s="123" t="s">
        <v>189</v>
      </c>
      <c r="B48" s="123">
        <v>1</v>
      </c>
      <c r="C48" s="126">
        <v>41</v>
      </c>
      <c r="D48" s="124" t="s">
        <v>190</v>
      </c>
      <c r="E48" s="191">
        <v>108</v>
      </c>
      <c r="F48" s="125">
        <f>ROUND(E48*Valores!$C$2,2)</f>
        <v>4393.63</v>
      </c>
      <c r="G48" s="191">
        <v>2907</v>
      </c>
      <c r="H48" s="125">
        <f>ROUND(G48*Valores!$C$2,2)</f>
        <v>118261.99</v>
      </c>
      <c r="I48" s="191">
        <v>0</v>
      </c>
      <c r="J48" s="125">
        <f>ROUND(I48*Valores!$C$2,2)</f>
        <v>0</v>
      </c>
      <c r="K48" s="191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23589.3</v>
      </c>
      <c r="N48" s="125">
        <f t="shared" si="1"/>
        <v>0</v>
      </c>
      <c r="O48" s="125">
        <f>Valores!$C$9</f>
        <v>51121.66</v>
      </c>
      <c r="P48" s="125">
        <f>Valores!$D$5</f>
        <v>20796.54</v>
      </c>
      <c r="Q48" s="125">
        <f>Valores!$C$22</f>
        <v>18553.83</v>
      </c>
      <c r="R48" s="125">
        <f>IF($F$4="NO",Valores!$C$45,Valores!$C$45/2)</f>
        <v>15254.85</v>
      </c>
      <c r="S48" s="125">
        <f>Valores!$C$19</f>
        <v>19351.52</v>
      </c>
      <c r="T48" s="125">
        <f t="shared" si="7"/>
        <v>19351.52</v>
      </c>
      <c r="U48" s="125">
        <v>0</v>
      </c>
      <c r="V48" s="125">
        <v>0</v>
      </c>
      <c r="W48" s="191">
        <v>0</v>
      </c>
      <c r="X48" s="125">
        <f>ROUND(W48*Valores!$C$2,2)</f>
        <v>0</v>
      </c>
      <c r="Y48" s="125">
        <v>0</v>
      </c>
      <c r="Z48" s="125">
        <f>Valores!$C$95</f>
        <v>34173.77</v>
      </c>
      <c r="AA48" s="125">
        <f>Valores!$C$25</f>
        <v>850.59</v>
      </c>
      <c r="AB48" s="210">
        <v>0</v>
      </c>
      <c r="AC48" s="125">
        <f t="shared" si="2"/>
        <v>0</v>
      </c>
      <c r="AD48" s="125">
        <f>Valores!$C$26</f>
        <v>850.59</v>
      </c>
      <c r="AE48" s="191">
        <v>0</v>
      </c>
      <c r="AF48" s="125">
        <f>ROUND(AE48*Valores!$C$2,2)</f>
        <v>0</v>
      </c>
      <c r="AG48" s="125">
        <f>ROUND(IF($F$4="NO",Valores!$C$63,Valores!$C$63/2),2)</f>
        <v>9724.47</v>
      </c>
      <c r="AH48" s="125">
        <f t="shared" si="5"/>
        <v>316922.74000000005</v>
      </c>
      <c r="AI48" s="125">
        <f>Valores!$C$31</f>
        <v>0</v>
      </c>
      <c r="AJ48" s="125">
        <f>Valores!$C$88</f>
        <v>0</v>
      </c>
      <c r="AK48" s="125">
        <f>Valores!C$38*B48</f>
        <v>0</v>
      </c>
      <c r="AL48" s="125">
        <f>IF($F$3="NO",0,Valores!$C$56)</f>
        <v>0</v>
      </c>
      <c r="AM48" s="125">
        <f t="shared" si="3"/>
        <v>0</v>
      </c>
      <c r="AN48" s="125">
        <f>AH48*Valores!$C$71</f>
        <v>-34861.50140000001</v>
      </c>
      <c r="AO48" s="125">
        <f>AH48*-Valores!$C$72</f>
        <v>0</v>
      </c>
      <c r="AP48" s="125">
        <f>AH48*Valores!$C$73</f>
        <v>-14261.523300000003</v>
      </c>
      <c r="AQ48" s="125">
        <f>Valores!$C$100</f>
        <v>-554.86</v>
      </c>
      <c r="AR48" s="125">
        <f>IF($F$5=0,Valores!$C$101,(Valores!$C$101+$F$5*(Valores!$C$101)))</f>
        <v>-550</v>
      </c>
      <c r="AS48" s="125">
        <f t="shared" si="6"/>
        <v>266694.85530000005</v>
      </c>
      <c r="AT48" s="125">
        <f t="shared" si="0"/>
        <v>-34861.50140000001</v>
      </c>
      <c r="AU48" s="125">
        <f>AH48*Valores!$C$74</f>
        <v>-8556.913980000001</v>
      </c>
      <c r="AV48" s="125">
        <f>AH48*Valores!$C$75</f>
        <v>-950.7682200000002</v>
      </c>
      <c r="AW48" s="125">
        <f t="shared" si="4"/>
        <v>272553.55640000006</v>
      </c>
      <c r="AX48" s="126"/>
      <c r="AY48" s="126">
        <v>30</v>
      </c>
      <c r="AZ48" s="123" t="s">
        <v>4</v>
      </c>
    </row>
    <row r="49" spans="1:52" s="110" customFormat="1" ht="11.25" customHeight="1">
      <c r="A49" s="123" t="s">
        <v>191</v>
      </c>
      <c r="B49" s="123">
        <v>1</v>
      </c>
      <c r="C49" s="126">
        <v>42</v>
      </c>
      <c r="D49" s="124" t="s">
        <v>192</v>
      </c>
      <c r="E49" s="191">
        <v>88</v>
      </c>
      <c r="F49" s="125">
        <f>ROUND(E49*Valores!$C$2,2)</f>
        <v>3580</v>
      </c>
      <c r="G49" s="191">
        <v>2622</v>
      </c>
      <c r="H49" s="125">
        <f>ROUND(G49*Valores!$C$2,2)</f>
        <v>106667.68</v>
      </c>
      <c r="I49" s="191">
        <v>0</v>
      </c>
      <c r="J49" s="125">
        <f>ROUND(I49*Valores!$C$2,2)</f>
        <v>0</v>
      </c>
      <c r="K49" s="191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21728.11</v>
      </c>
      <c r="N49" s="125">
        <f t="shared" si="1"/>
        <v>0</v>
      </c>
      <c r="O49" s="125">
        <f>Valores!$C$9</f>
        <v>51121.66</v>
      </c>
      <c r="P49" s="125">
        <f>Valores!$D$5</f>
        <v>20796.54</v>
      </c>
      <c r="Q49" s="125">
        <f>Valores!$C$22</f>
        <v>18553.83</v>
      </c>
      <c r="R49" s="125">
        <f>IF($F$4="NO",Valores!$C$45,Valores!$C$45/2)</f>
        <v>15254.85</v>
      </c>
      <c r="S49" s="125">
        <f>Valores!$C$19</f>
        <v>19351.52</v>
      </c>
      <c r="T49" s="125">
        <f t="shared" si="7"/>
        <v>19351.52</v>
      </c>
      <c r="U49" s="125">
        <v>0</v>
      </c>
      <c r="V49" s="125">
        <v>0</v>
      </c>
      <c r="W49" s="191">
        <v>0</v>
      </c>
      <c r="X49" s="125">
        <f>ROUND(W49*Valores!$C$2,2)</f>
        <v>0</v>
      </c>
      <c r="Y49" s="125">
        <v>0</v>
      </c>
      <c r="Z49" s="125">
        <f>Valores!$C$95</f>
        <v>34173.77</v>
      </c>
      <c r="AA49" s="125">
        <f>Valores!$C$25</f>
        <v>850.59</v>
      </c>
      <c r="AB49" s="210">
        <v>0</v>
      </c>
      <c r="AC49" s="125">
        <f t="shared" si="2"/>
        <v>0</v>
      </c>
      <c r="AD49" s="125">
        <f>Valores!$C$26</f>
        <v>850.59</v>
      </c>
      <c r="AE49" s="191">
        <v>0</v>
      </c>
      <c r="AF49" s="125">
        <f>ROUND(AE49*Valores!$C$2,2)</f>
        <v>0</v>
      </c>
      <c r="AG49" s="125">
        <f>ROUND(IF($F$4="NO",Valores!$C$63,Valores!$C$63/2),2)</f>
        <v>9724.47</v>
      </c>
      <c r="AH49" s="125">
        <f t="shared" si="5"/>
        <v>302653.61000000004</v>
      </c>
      <c r="AI49" s="125">
        <f>Valores!$C$31</f>
        <v>0</v>
      </c>
      <c r="AJ49" s="125">
        <f>Valores!$C$88</f>
        <v>0</v>
      </c>
      <c r="AK49" s="125">
        <f>Valores!C$38*B49</f>
        <v>0</v>
      </c>
      <c r="AL49" s="125">
        <f>IF($F$3="NO",0,Valores!$C$56)</f>
        <v>0</v>
      </c>
      <c r="AM49" s="125">
        <f t="shared" si="3"/>
        <v>0</v>
      </c>
      <c r="AN49" s="125">
        <f>AH49*Valores!$C$71</f>
        <v>-33291.8971</v>
      </c>
      <c r="AO49" s="125">
        <f>AH49*-Valores!$C$72</f>
        <v>0</v>
      </c>
      <c r="AP49" s="125">
        <f>AH49*Valores!$C$73</f>
        <v>-13619.412450000002</v>
      </c>
      <c r="AQ49" s="125">
        <f>Valores!$C$100</f>
        <v>-554.86</v>
      </c>
      <c r="AR49" s="125">
        <f>IF($F$5=0,Valores!$C$101,(Valores!$C$101+$F$5*(Valores!$C$101)))</f>
        <v>-550</v>
      </c>
      <c r="AS49" s="125">
        <f t="shared" si="6"/>
        <v>254637.44045000005</v>
      </c>
      <c r="AT49" s="125">
        <f t="shared" si="0"/>
        <v>-33291.8971</v>
      </c>
      <c r="AU49" s="125">
        <f>AH49*Valores!$C$74</f>
        <v>-8171.647470000001</v>
      </c>
      <c r="AV49" s="125">
        <f>AH49*Valores!$C$75</f>
        <v>-907.9608300000001</v>
      </c>
      <c r="AW49" s="125">
        <f t="shared" si="4"/>
        <v>260282.10460000002</v>
      </c>
      <c r="AX49" s="126"/>
      <c r="AY49" s="126">
        <v>30</v>
      </c>
      <c r="AZ49" s="123" t="s">
        <v>4</v>
      </c>
    </row>
    <row r="50" spans="1:52" s="110" customFormat="1" ht="11.25" customHeight="1">
      <c r="A50" s="123" t="s">
        <v>193</v>
      </c>
      <c r="B50" s="123">
        <v>1</v>
      </c>
      <c r="C50" s="126">
        <v>43</v>
      </c>
      <c r="D50" s="124" t="s">
        <v>194</v>
      </c>
      <c r="E50" s="191">
        <v>88</v>
      </c>
      <c r="F50" s="125">
        <f>ROUND(E50*Valores!$C$2,2)</f>
        <v>3580</v>
      </c>
      <c r="G50" s="191">
        <v>2622</v>
      </c>
      <c r="H50" s="125">
        <f>ROUND(G50*Valores!$C$2,2)</f>
        <v>106667.68</v>
      </c>
      <c r="I50" s="191">
        <v>0</v>
      </c>
      <c r="J50" s="125">
        <f>ROUND(I50*Valores!$C$2,2)</f>
        <v>0</v>
      </c>
      <c r="K50" s="191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21728.11</v>
      </c>
      <c r="N50" s="125">
        <f t="shared" si="1"/>
        <v>0</v>
      </c>
      <c r="O50" s="125">
        <f>Valores!$C$9</f>
        <v>51121.66</v>
      </c>
      <c r="P50" s="125">
        <f>Valores!$D$5</f>
        <v>20796.54</v>
      </c>
      <c r="Q50" s="125">
        <f>Valores!$C$22</f>
        <v>18553.83</v>
      </c>
      <c r="R50" s="125">
        <f>IF($F$4="NO",Valores!$C$45,Valores!$C$45/2)</f>
        <v>15254.85</v>
      </c>
      <c r="S50" s="125">
        <f>Valores!$C$19</f>
        <v>19351.52</v>
      </c>
      <c r="T50" s="125">
        <f t="shared" si="7"/>
        <v>19351.52</v>
      </c>
      <c r="U50" s="125">
        <v>0</v>
      </c>
      <c r="V50" s="125">
        <v>0</v>
      </c>
      <c r="W50" s="191">
        <v>0</v>
      </c>
      <c r="X50" s="125">
        <f>ROUND(W50*Valores!$C$2,2)</f>
        <v>0</v>
      </c>
      <c r="Y50" s="125">
        <v>0</v>
      </c>
      <c r="Z50" s="125">
        <f>Valores!$C$95</f>
        <v>34173.77</v>
      </c>
      <c r="AA50" s="125">
        <f>Valores!$C$25</f>
        <v>850.59</v>
      </c>
      <c r="AB50" s="210">
        <v>0</v>
      </c>
      <c r="AC50" s="125">
        <f t="shared" si="2"/>
        <v>0</v>
      </c>
      <c r="AD50" s="125">
        <f>Valores!$C$26</f>
        <v>850.59</v>
      </c>
      <c r="AE50" s="191">
        <v>0</v>
      </c>
      <c r="AF50" s="125">
        <f>ROUND(AE50*Valores!$C$2,2)</f>
        <v>0</v>
      </c>
      <c r="AG50" s="125">
        <f>ROUND(IF($F$4="NO",Valores!$C$63,Valores!$C$63/2),2)</f>
        <v>9724.47</v>
      </c>
      <c r="AH50" s="125">
        <f t="shared" si="5"/>
        <v>302653.61000000004</v>
      </c>
      <c r="AI50" s="125">
        <f>Valores!$C$31</f>
        <v>0</v>
      </c>
      <c r="AJ50" s="125">
        <f>Valores!$C$88</f>
        <v>0</v>
      </c>
      <c r="AK50" s="125">
        <f>Valores!C$38*B50</f>
        <v>0</v>
      </c>
      <c r="AL50" s="125">
        <f>IF($F$3="NO",0,Valores!$C$56)</f>
        <v>0</v>
      </c>
      <c r="AM50" s="125">
        <f t="shared" si="3"/>
        <v>0</v>
      </c>
      <c r="AN50" s="125">
        <f>AH50*Valores!$C$71</f>
        <v>-33291.8971</v>
      </c>
      <c r="AO50" s="125">
        <f>AH50*-Valores!$C$72</f>
        <v>0</v>
      </c>
      <c r="AP50" s="125">
        <f>AH50*Valores!$C$73</f>
        <v>-13619.412450000002</v>
      </c>
      <c r="AQ50" s="125">
        <f>Valores!$C$100</f>
        <v>-554.86</v>
      </c>
      <c r="AR50" s="125">
        <f>IF($F$5=0,Valores!$C$101,(Valores!$C$101+$F$5*(Valores!$C$101)))</f>
        <v>-550</v>
      </c>
      <c r="AS50" s="125">
        <f t="shared" si="6"/>
        <v>254637.44045000005</v>
      </c>
      <c r="AT50" s="125">
        <f t="shared" si="0"/>
        <v>-33291.8971</v>
      </c>
      <c r="AU50" s="125">
        <f>AH50*Valores!$C$74</f>
        <v>-8171.647470000001</v>
      </c>
      <c r="AV50" s="125">
        <f>AH50*Valores!$C$75</f>
        <v>-907.9608300000001</v>
      </c>
      <c r="AW50" s="125">
        <f t="shared" si="4"/>
        <v>260282.10460000002</v>
      </c>
      <c r="AX50" s="126"/>
      <c r="AY50" s="126">
        <v>30</v>
      </c>
      <c r="AZ50" s="123" t="s">
        <v>4</v>
      </c>
    </row>
    <row r="51" spans="1:52" s="110" customFormat="1" ht="11.25" customHeight="1">
      <c r="A51" s="123" t="s">
        <v>195</v>
      </c>
      <c r="B51" s="123">
        <v>1</v>
      </c>
      <c r="C51" s="126">
        <v>44</v>
      </c>
      <c r="D51" s="124" t="s">
        <v>196</v>
      </c>
      <c r="E51" s="191">
        <v>80</v>
      </c>
      <c r="F51" s="125">
        <f>ROUND(E51*Valores!$C$2,2)</f>
        <v>3254.54</v>
      </c>
      <c r="G51" s="191">
        <v>2278</v>
      </c>
      <c r="H51" s="125">
        <f>ROUND(G51*Valores!$C$2,2)</f>
        <v>92673.14</v>
      </c>
      <c r="I51" s="191">
        <v>0</v>
      </c>
      <c r="J51" s="125">
        <f>ROUND(I51*Valores!$C$2,2)</f>
        <v>0</v>
      </c>
      <c r="K51" s="191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19580.11</v>
      </c>
      <c r="N51" s="125">
        <f t="shared" si="1"/>
        <v>0</v>
      </c>
      <c r="O51" s="125">
        <f>Valores!$C$9</f>
        <v>51121.66</v>
      </c>
      <c r="P51" s="125">
        <f>Valores!$D$5</f>
        <v>20796.54</v>
      </c>
      <c r="Q51" s="125">
        <f>Valores!$C$22</f>
        <v>18553.83</v>
      </c>
      <c r="R51" s="125">
        <f>IF($F$4="NO",Valores!$C$45,Valores!$C$45/2)</f>
        <v>15254.85</v>
      </c>
      <c r="S51" s="125">
        <f>Valores!$C$19</f>
        <v>19351.52</v>
      </c>
      <c r="T51" s="125">
        <f t="shared" si="7"/>
        <v>19351.52</v>
      </c>
      <c r="U51" s="125">
        <v>0</v>
      </c>
      <c r="V51" s="125">
        <v>0</v>
      </c>
      <c r="W51" s="191">
        <v>0</v>
      </c>
      <c r="X51" s="125">
        <f>ROUND(W51*Valores!$C$2,2)</f>
        <v>0</v>
      </c>
      <c r="Y51" s="125">
        <v>0</v>
      </c>
      <c r="Z51" s="125">
        <f>Valores!$C$95</f>
        <v>34173.77</v>
      </c>
      <c r="AA51" s="125">
        <f>Valores!$C$25</f>
        <v>850.59</v>
      </c>
      <c r="AB51" s="210">
        <v>0</v>
      </c>
      <c r="AC51" s="125">
        <f t="shared" si="2"/>
        <v>0</v>
      </c>
      <c r="AD51" s="125">
        <f>Valores!$C$26</f>
        <v>850.59</v>
      </c>
      <c r="AE51" s="191">
        <v>0</v>
      </c>
      <c r="AF51" s="125">
        <f>ROUND(AE51*Valores!$C$2,2)</f>
        <v>0</v>
      </c>
      <c r="AG51" s="125">
        <f>ROUND(IF($F$4="NO",Valores!$C$63,Valores!$C$63/2),2)</f>
        <v>9724.47</v>
      </c>
      <c r="AH51" s="125">
        <f t="shared" si="5"/>
        <v>286185.61000000004</v>
      </c>
      <c r="AI51" s="125">
        <f>Valores!$C$31</f>
        <v>0</v>
      </c>
      <c r="AJ51" s="125">
        <f>Valores!$C$88</f>
        <v>0</v>
      </c>
      <c r="AK51" s="125">
        <f>Valores!C$38*B51</f>
        <v>0</v>
      </c>
      <c r="AL51" s="125">
        <f>IF($F$3="NO",0,Valores!$C$56)</f>
        <v>0</v>
      </c>
      <c r="AM51" s="125">
        <f t="shared" si="3"/>
        <v>0</v>
      </c>
      <c r="AN51" s="125">
        <f>AH51*Valores!$C$71</f>
        <v>-31480.417100000006</v>
      </c>
      <c r="AO51" s="125">
        <f>AH51*-Valores!$C$72</f>
        <v>0</v>
      </c>
      <c r="AP51" s="125">
        <f>AH51*Valores!$C$73</f>
        <v>-12878.352450000002</v>
      </c>
      <c r="AQ51" s="125">
        <f>Valores!$C$100</f>
        <v>-554.86</v>
      </c>
      <c r="AR51" s="125">
        <f>IF($F$5=0,Valores!$C$101,(Valores!$C$101+$F$5*(Valores!$C$101)))</f>
        <v>-550</v>
      </c>
      <c r="AS51" s="125">
        <f t="shared" si="6"/>
        <v>240721.98045000003</v>
      </c>
      <c r="AT51" s="125">
        <f t="shared" si="0"/>
        <v>-31480.417100000006</v>
      </c>
      <c r="AU51" s="125">
        <f>AH51*Valores!$C$74</f>
        <v>-7727.011470000001</v>
      </c>
      <c r="AV51" s="125">
        <f>AH51*Valores!$C$75</f>
        <v>-858.5568300000001</v>
      </c>
      <c r="AW51" s="125">
        <f t="shared" si="4"/>
        <v>246119.62460000004</v>
      </c>
      <c r="AX51" s="126"/>
      <c r="AY51" s="126">
        <v>30</v>
      </c>
      <c r="AZ51" s="123" t="s">
        <v>4</v>
      </c>
    </row>
    <row r="52" spans="1:52" s="110" customFormat="1" ht="11.25" customHeight="1">
      <c r="A52" s="123" t="s">
        <v>197</v>
      </c>
      <c r="B52" s="123">
        <v>1</v>
      </c>
      <c r="C52" s="126">
        <v>45</v>
      </c>
      <c r="D52" s="124" t="s">
        <v>198</v>
      </c>
      <c r="E52" s="191">
        <v>100</v>
      </c>
      <c r="F52" s="125">
        <f>ROUND(E52*Valores!$C$2,2)</f>
        <v>4068.18</v>
      </c>
      <c r="G52" s="191">
        <v>3620</v>
      </c>
      <c r="H52" s="125">
        <f>ROUND(G52*Valores!$C$2,2)</f>
        <v>147268.12</v>
      </c>
      <c r="I52" s="191">
        <v>0</v>
      </c>
      <c r="J52" s="125">
        <f>ROUND(I52*Valores!$C$2,2)</f>
        <v>0</v>
      </c>
      <c r="K52" s="191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28864.29</v>
      </c>
      <c r="N52" s="125">
        <f t="shared" si="1"/>
        <v>0</v>
      </c>
      <c r="O52" s="125">
        <f>Valores!$C$9</f>
        <v>51121.66</v>
      </c>
      <c r="P52" s="125">
        <f>Valores!$D$5</f>
        <v>20796.54</v>
      </c>
      <c r="Q52" s="125">
        <f>Valores!$C$22</f>
        <v>18553.83</v>
      </c>
      <c r="R52" s="125">
        <f>IF($F$4="NO",Valores!$C$47,Valores!$C$47/2)</f>
        <v>21740.79</v>
      </c>
      <c r="S52" s="125">
        <f>Valores!$C$19</f>
        <v>19351.52</v>
      </c>
      <c r="T52" s="125">
        <f t="shared" si="7"/>
        <v>19351.52</v>
      </c>
      <c r="U52" s="125">
        <v>0</v>
      </c>
      <c r="V52" s="125">
        <v>0</v>
      </c>
      <c r="W52" s="191">
        <v>0</v>
      </c>
      <c r="X52" s="125">
        <f>ROUND(W52*Valores!$C$2,2)</f>
        <v>0</v>
      </c>
      <c r="Y52" s="125">
        <v>0</v>
      </c>
      <c r="Z52" s="125">
        <f>Valores!$C$96</f>
        <v>56956.28</v>
      </c>
      <c r="AA52" s="125">
        <f>Valores!$C$25</f>
        <v>850.59</v>
      </c>
      <c r="AB52" s="210">
        <v>0</v>
      </c>
      <c r="AC52" s="125">
        <f t="shared" si="2"/>
        <v>0</v>
      </c>
      <c r="AD52" s="125">
        <f>Valores!$C$26</f>
        <v>850.59</v>
      </c>
      <c r="AE52" s="191">
        <v>0</v>
      </c>
      <c r="AF52" s="125">
        <f>ROUND(AE52*Valores!$C$2,2)</f>
        <v>0</v>
      </c>
      <c r="AG52" s="125">
        <f>ROUND(IF($F$4="NO",Valores!$C$63,Valores!$C$63/2),2)</f>
        <v>9724.47</v>
      </c>
      <c r="AH52" s="125">
        <f t="shared" si="5"/>
        <v>380146.86</v>
      </c>
      <c r="AI52" s="125">
        <f>Valores!$C$31</f>
        <v>0</v>
      </c>
      <c r="AJ52" s="125">
        <f>Valores!$C$89</f>
        <v>0</v>
      </c>
      <c r="AK52" s="125">
        <f>Valores!C$38*B52</f>
        <v>0</v>
      </c>
      <c r="AL52" s="125">
        <f>IF($F$3="NO",0,Valores!$C$56)</f>
        <v>0</v>
      </c>
      <c r="AM52" s="125">
        <f t="shared" si="3"/>
        <v>0</v>
      </c>
      <c r="AN52" s="125">
        <f>AH52*Valores!$C$71</f>
        <v>-41816.1546</v>
      </c>
      <c r="AO52" s="125">
        <f>AH52*-Valores!$C$72</f>
        <v>0</v>
      </c>
      <c r="AP52" s="125">
        <f>AH52*Valores!$C$73</f>
        <v>-17106.608699999997</v>
      </c>
      <c r="AQ52" s="125">
        <f>Valores!$C$100</f>
        <v>-554.86</v>
      </c>
      <c r="AR52" s="125">
        <f>IF($F$5=0,Valores!$C$101,(Valores!$C$101+$F$5*(Valores!$C$101)))</f>
        <v>-550</v>
      </c>
      <c r="AS52" s="125">
        <f t="shared" si="6"/>
        <v>320119.2367</v>
      </c>
      <c r="AT52" s="125">
        <f t="shared" si="0"/>
        <v>-41816.1546</v>
      </c>
      <c r="AU52" s="125">
        <f>AH52*Valores!$C$74</f>
        <v>-10263.96522</v>
      </c>
      <c r="AV52" s="125">
        <f>AH52*Valores!$C$75</f>
        <v>-1140.44058</v>
      </c>
      <c r="AW52" s="125">
        <f t="shared" si="4"/>
        <v>326926.29959999997</v>
      </c>
      <c r="AX52" s="126"/>
      <c r="AY52" s="126"/>
      <c r="AZ52" s="123" t="s">
        <v>4</v>
      </c>
    </row>
    <row r="53" spans="1:52" s="110" customFormat="1" ht="11.25" customHeight="1">
      <c r="A53" s="123" t="s">
        <v>199</v>
      </c>
      <c r="B53" s="123">
        <v>1</v>
      </c>
      <c r="C53" s="126">
        <v>46</v>
      </c>
      <c r="D53" s="124" t="s">
        <v>200</v>
      </c>
      <c r="E53" s="191">
        <v>100</v>
      </c>
      <c r="F53" s="125">
        <f>ROUND(E53*Valores!$C$2,2)</f>
        <v>4068.18</v>
      </c>
      <c r="G53" s="191">
        <v>3560</v>
      </c>
      <c r="H53" s="125">
        <f>ROUND(G53*Valores!$C$2,2)</f>
        <v>144827.21</v>
      </c>
      <c r="I53" s="191">
        <v>0</v>
      </c>
      <c r="J53" s="125">
        <f>ROUND(I53*Valores!$C$2,2)</f>
        <v>0</v>
      </c>
      <c r="K53" s="191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28498.16</v>
      </c>
      <c r="N53" s="125">
        <f t="shared" si="1"/>
        <v>0</v>
      </c>
      <c r="O53" s="125">
        <f>Valores!$C$9</f>
        <v>51121.66</v>
      </c>
      <c r="P53" s="125">
        <f>Valores!$D$5</f>
        <v>20796.54</v>
      </c>
      <c r="Q53" s="125">
        <v>0</v>
      </c>
      <c r="R53" s="125">
        <f>IF($F$4="NO",Valores!$C$47,Valores!$C$47/2)</f>
        <v>21740.79</v>
      </c>
      <c r="S53" s="125">
        <f>Valores!$C$19</f>
        <v>19351.52</v>
      </c>
      <c r="T53" s="125">
        <f t="shared" si="7"/>
        <v>19351.52</v>
      </c>
      <c r="U53" s="125">
        <v>0</v>
      </c>
      <c r="V53" s="125">
        <v>0</v>
      </c>
      <c r="W53" s="191">
        <v>0</v>
      </c>
      <c r="X53" s="125">
        <f>ROUND(W53*Valores!$C$2,2)</f>
        <v>0</v>
      </c>
      <c r="Y53" s="125">
        <v>0</v>
      </c>
      <c r="Z53" s="125">
        <f>Valores!$C$96</f>
        <v>56956.28</v>
      </c>
      <c r="AA53" s="125">
        <f>Valores!$C$25</f>
        <v>850.59</v>
      </c>
      <c r="AB53" s="210">
        <v>0</v>
      </c>
      <c r="AC53" s="125">
        <f t="shared" si="2"/>
        <v>0</v>
      </c>
      <c r="AD53" s="125">
        <f>Valores!$C$26</f>
        <v>850.59</v>
      </c>
      <c r="AE53" s="191">
        <v>0</v>
      </c>
      <c r="AF53" s="125">
        <f>ROUND(AE53*Valores!$C$2,2)</f>
        <v>0</v>
      </c>
      <c r="AG53" s="125">
        <f>ROUND(IF($F$4="NO",Valores!$C$63,Valores!$C$63/2),2)</f>
        <v>9724.47</v>
      </c>
      <c r="AH53" s="125">
        <f t="shared" si="5"/>
        <v>358785.99</v>
      </c>
      <c r="AI53" s="125">
        <f>Valores!$C$31</f>
        <v>0</v>
      </c>
      <c r="AJ53" s="125">
        <f>Valores!$C$89</f>
        <v>0</v>
      </c>
      <c r="AK53" s="125">
        <f>Valores!C$38*B53</f>
        <v>0</v>
      </c>
      <c r="AL53" s="125">
        <f>IF($F$3="NO",0,Valores!$C$56)</f>
        <v>0</v>
      </c>
      <c r="AM53" s="125">
        <f t="shared" si="3"/>
        <v>0</v>
      </c>
      <c r="AN53" s="125">
        <f>AH53*Valores!$C$71</f>
        <v>-39466.4589</v>
      </c>
      <c r="AO53" s="125">
        <f>AH53*-Valores!$C$72</f>
        <v>0</v>
      </c>
      <c r="AP53" s="125">
        <f>AH53*Valores!$C$73</f>
        <v>-16145.36955</v>
      </c>
      <c r="AQ53" s="125">
        <f>Valores!$C$100</f>
        <v>-554.86</v>
      </c>
      <c r="AR53" s="125">
        <f>IF($F$5=0,Valores!$C$101,(Valores!$C$101+$F$5*(Valores!$C$101)))</f>
        <v>-550</v>
      </c>
      <c r="AS53" s="125">
        <f t="shared" si="6"/>
        <v>302069.30155</v>
      </c>
      <c r="AT53" s="125">
        <f t="shared" si="0"/>
        <v>-39466.4589</v>
      </c>
      <c r="AU53" s="125">
        <f>AH53*Valores!$C$74</f>
        <v>-9687.22173</v>
      </c>
      <c r="AV53" s="125">
        <f>AH53*Valores!$C$75</f>
        <v>-1076.35797</v>
      </c>
      <c r="AW53" s="125">
        <f t="shared" si="4"/>
        <v>308555.9514</v>
      </c>
      <c r="AX53" s="126"/>
      <c r="AY53" s="126"/>
      <c r="AZ53" s="123" t="s">
        <v>8</v>
      </c>
    </row>
    <row r="54" spans="1:52" s="110" customFormat="1" ht="11.25" customHeight="1">
      <c r="A54" s="123" t="s">
        <v>201</v>
      </c>
      <c r="B54" s="123">
        <v>1</v>
      </c>
      <c r="C54" s="126">
        <v>47</v>
      </c>
      <c r="D54" s="124" t="s">
        <v>202</v>
      </c>
      <c r="E54" s="191">
        <v>100</v>
      </c>
      <c r="F54" s="125">
        <f>ROUND(E54*Valores!$C$2,2)</f>
        <v>4068.18</v>
      </c>
      <c r="G54" s="191">
        <v>3360</v>
      </c>
      <c r="H54" s="125">
        <f>ROUND(G54*Valores!$C$2,2)</f>
        <v>136690.85</v>
      </c>
      <c r="I54" s="191">
        <v>0</v>
      </c>
      <c r="J54" s="125">
        <f>ROUND(I54*Valores!$C$2,2)</f>
        <v>0</v>
      </c>
      <c r="K54" s="191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27277.7</v>
      </c>
      <c r="N54" s="125">
        <f t="shared" si="1"/>
        <v>0</v>
      </c>
      <c r="O54" s="125">
        <f>Valores!$C$9</f>
        <v>51121.66</v>
      </c>
      <c r="P54" s="125">
        <f>Valores!$D$5</f>
        <v>20796.54</v>
      </c>
      <c r="Q54" s="125">
        <f>Valores!$C$22</f>
        <v>18553.83</v>
      </c>
      <c r="R54" s="125">
        <f>IF($F$4="NO",Valores!$C$47,Valores!$C$47/2)</f>
        <v>21740.79</v>
      </c>
      <c r="S54" s="125">
        <f>Valores!$C$19</f>
        <v>19351.52</v>
      </c>
      <c r="T54" s="125">
        <f t="shared" si="7"/>
        <v>19351.52</v>
      </c>
      <c r="U54" s="125">
        <v>0</v>
      </c>
      <c r="V54" s="125">
        <v>0</v>
      </c>
      <c r="W54" s="191">
        <v>0</v>
      </c>
      <c r="X54" s="125">
        <f>ROUND(W54*Valores!$C$2,2)</f>
        <v>0</v>
      </c>
      <c r="Y54" s="125">
        <v>0</v>
      </c>
      <c r="Z54" s="125">
        <f>Valores!$C$96</f>
        <v>56956.28</v>
      </c>
      <c r="AA54" s="125">
        <f>Valores!$C$25</f>
        <v>850.59</v>
      </c>
      <c r="AB54" s="210">
        <v>0</v>
      </c>
      <c r="AC54" s="125">
        <f t="shared" si="2"/>
        <v>0</v>
      </c>
      <c r="AD54" s="125">
        <f>Valores!$C$26</f>
        <v>850.59</v>
      </c>
      <c r="AE54" s="191">
        <v>0</v>
      </c>
      <c r="AF54" s="125">
        <f>ROUND(AE54*Valores!$C$2,2)</f>
        <v>0</v>
      </c>
      <c r="AG54" s="125">
        <f>ROUND(IF($F$4="NO",Valores!$C$63,Valores!$C$63/2),2)</f>
        <v>9724.47</v>
      </c>
      <c r="AH54" s="125">
        <f t="shared" si="5"/>
        <v>367983</v>
      </c>
      <c r="AI54" s="125">
        <f>Valores!$C$31</f>
        <v>0</v>
      </c>
      <c r="AJ54" s="125">
        <f>Valores!$C$89</f>
        <v>0</v>
      </c>
      <c r="AK54" s="125">
        <f>Valores!C$38*B54</f>
        <v>0</v>
      </c>
      <c r="AL54" s="125">
        <f>IF($F$3="NO",0,Valores!$C$56)</f>
        <v>0</v>
      </c>
      <c r="AM54" s="125">
        <f t="shared" si="3"/>
        <v>0</v>
      </c>
      <c r="AN54" s="125">
        <f>AH54*Valores!$C$71</f>
        <v>-40478.13</v>
      </c>
      <c r="AO54" s="125">
        <f>AH54*-Valores!$C$72</f>
        <v>0</v>
      </c>
      <c r="AP54" s="125">
        <f>AH54*Valores!$C$73</f>
        <v>-16559.235</v>
      </c>
      <c r="AQ54" s="125">
        <f>Valores!$C$100</f>
        <v>-554.86</v>
      </c>
      <c r="AR54" s="125">
        <f>IF($F$5=0,Valores!$C$101,(Valores!$C$101+$F$5*(Valores!$C$101)))</f>
        <v>-550</v>
      </c>
      <c r="AS54" s="125">
        <f t="shared" si="6"/>
        <v>309840.775</v>
      </c>
      <c r="AT54" s="125">
        <f t="shared" si="0"/>
        <v>-40478.13</v>
      </c>
      <c r="AU54" s="125">
        <f>AH54*Valores!$C$74</f>
        <v>-9935.541</v>
      </c>
      <c r="AV54" s="125">
        <f>AH54*Valores!$C$75</f>
        <v>-1103.949</v>
      </c>
      <c r="AW54" s="125">
        <f t="shared" si="4"/>
        <v>316465.38</v>
      </c>
      <c r="AX54" s="126"/>
      <c r="AY54" s="126"/>
      <c r="AZ54" s="123" t="s">
        <v>4</v>
      </c>
    </row>
    <row r="55" spans="1:52" s="110" customFormat="1" ht="11.25" customHeight="1">
      <c r="A55" s="123" t="s">
        <v>203</v>
      </c>
      <c r="B55" s="123">
        <v>1</v>
      </c>
      <c r="C55" s="126">
        <v>48</v>
      </c>
      <c r="D55" s="124" t="s">
        <v>204</v>
      </c>
      <c r="E55" s="191">
        <v>98</v>
      </c>
      <c r="F55" s="125">
        <f>ROUND(E55*Valores!$C$2,2)</f>
        <v>3986.82</v>
      </c>
      <c r="G55" s="191">
        <v>2686</v>
      </c>
      <c r="H55" s="125">
        <f>ROUND(G55*Valores!$C$2,2)</f>
        <v>109271.31</v>
      </c>
      <c r="I55" s="191">
        <v>0</v>
      </c>
      <c r="J55" s="125">
        <f>ROUND(I55*Valores!$C$2,2)</f>
        <v>0</v>
      </c>
      <c r="K55" s="191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22179.68</v>
      </c>
      <c r="N55" s="125">
        <f t="shared" si="1"/>
        <v>0</v>
      </c>
      <c r="O55" s="125">
        <f>Valores!$C$9</f>
        <v>51121.66</v>
      </c>
      <c r="P55" s="125">
        <f>Valores!$D$5</f>
        <v>20796.54</v>
      </c>
      <c r="Q55" s="125">
        <f>Valores!$C$22</f>
        <v>18553.83</v>
      </c>
      <c r="R55" s="125">
        <f>IF($F$4="NO",Valores!$C$45,Valores!$C$45/2)</f>
        <v>15254.85</v>
      </c>
      <c r="S55" s="125">
        <f>Valores!$C$19</f>
        <v>19351.52</v>
      </c>
      <c r="T55" s="125">
        <f t="shared" si="7"/>
        <v>19351.52</v>
      </c>
      <c r="U55" s="125">
        <v>0</v>
      </c>
      <c r="V55" s="125">
        <v>0</v>
      </c>
      <c r="W55" s="191">
        <v>0</v>
      </c>
      <c r="X55" s="125">
        <f>ROUND(W55*Valores!$C$2,2)</f>
        <v>0</v>
      </c>
      <c r="Y55" s="125">
        <v>0</v>
      </c>
      <c r="Z55" s="125">
        <f>Valores!$C$95</f>
        <v>34173.77</v>
      </c>
      <c r="AA55" s="125">
        <f>Valores!$C$25</f>
        <v>850.59</v>
      </c>
      <c r="AB55" s="210">
        <v>0</v>
      </c>
      <c r="AC55" s="125">
        <f t="shared" si="2"/>
        <v>0</v>
      </c>
      <c r="AD55" s="125">
        <f>Valores!$C$26</f>
        <v>850.59</v>
      </c>
      <c r="AE55" s="191">
        <v>0</v>
      </c>
      <c r="AF55" s="125">
        <f>ROUND(AE55*Valores!$C$2,2)</f>
        <v>0</v>
      </c>
      <c r="AG55" s="125">
        <f>ROUND(IF($F$4="NO",Valores!$C$63,Valores!$C$63/2),2)</f>
        <v>9724.47</v>
      </c>
      <c r="AH55" s="125">
        <f t="shared" si="5"/>
        <v>306115.63000000006</v>
      </c>
      <c r="AI55" s="125">
        <f>Valores!$C$31</f>
        <v>0</v>
      </c>
      <c r="AJ55" s="125">
        <f>Valores!$C$88</f>
        <v>0</v>
      </c>
      <c r="AK55" s="125">
        <f>Valores!C$38*B55</f>
        <v>0</v>
      </c>
      <c r="AL55" s="125">
        <f>IF($F$3="NO",0,Valores!$C$56)</f>
        <v>0</v>
      </c>
      <c r="AM55" s="125">
        <f t="shared" si="3"/>
        <v>0</v>
      </c>
      <c r="AN55" s="125">
        <f>AH55*Valores!$C$71</f>
        <v>-33672.719300000004</v>
      </c>
      <c r="AO55" s="125">
        <f>AH55*-Valores!$C$72</f>
        <v>0</v>
      </c>
      <c r="AP55" s="125">
        <f>AH55*Valores!$C$73</f>
        <v>-13775.203350000002</v>
      </c>
      <c r="AQ55" s="125">
        <f>Valores!$C$100</f>
        <v>-554.86</v>
      </c>
      <c r="AR55" s="125">
        <f>IF($F$5=0,Valores!$C$101,(Valores!$C$101+$F$5*(Valores!$C$101)))</f>
        <v>-550</v>
      </c>
      <c r="AS55" s="125">
        <f t="shared" si="6"/>
        <v>257562.84735000005</v>
      </c>
      <c r="AT55" s="125">
        <f t="shared" si="0"/>
        <v>-33672.719300000004</v>
      </c>
      <c r="AU55" s="125">
        <f>AH55*Valores!$C$74</f>
        <v>-8265.122010000001</v>
      </c>
      <c r="AV55" s="125">
        <f>AH55*Valores!$C$75</f>
        <v>-918.3468900000003</v>
      </c>
      <c r="AW55" s="125">
        <f t="shared" si="4"/>
        <v>263259.44180000003</v>
      </c>
      <c r="AX55" s="126"/>
      <c r="AY55" s="126">
        <v>30</v>
      </c>
      <c r="AZ55" s="123" t="s">
        <v>4</v>
      </c>
    </row>
    <row r="56" spans="1:52" s="110" customFormat="1" ht="11.25" customHeight="1">
      <c r="A56" s="123" t="s">
        <v>205</v>
      </c>
      <c r="B56" s="123">
        <v>1</v>
      </c>
      <c r="C56" s="126">
        <v>49</v>
      </c>
      <c r="D56" s="124" t="s">
        <v>206</v>
      </c>
      <c r="E56" s="191">
        <v>94</v>
      </c>
      <c r="F56" s="125">
        <f>ROUND(E56*Valores!$C$2,2)</f>
        <v>3824.09</v>
      </c>
      <c r="G56" s="191">
        <v>2690</v>
      </c>
      <c r="H56" s="125">
        <f>ROUND(G56*Valores!$C$2,2)</f>
        <v>109434.04</v>
      </c>
      <c r="I56" s="191">
        <v>0</v>
      </c>
      <c r="J56" s="125">
        <f>ROUND(I56*Valores!$C$2,2)</f>
        <v>0</v>
      </c>
      <c r="K56" s="191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22179.68</v>
      </c>
      <c r="N56" s="125">
        <f t="shared" si="1"/>
        <v>0</v>
      </c>
      <c r="O56" s="125">
        <f>Valores!$C$9</f>
        <v>51121.66</v>
      </c>
      <c r="P56" s="125">
        <f>Valores!$D$5</f>
        <v>20796.54</v>
      </c>
      <c r="Q56" s="125">
        <f>Valores!$C$22</f>
        <v>18553.83</v>
      </c>
      <c r="R56" s="125">
        <f>IF($F$4="NO",Valores!$C$45,Valores!$C$45/2)</f>
        <v>15254.85</v>
      </c>
      <c r="S56" s="125">
        <f>Valores!$C$19</f>
        <v>19351.52</v>
      </c>
      <c r="T56" s="125">
        <f t="shared" si="7"/>
        <v>19351.52</v>
      </c>
      <c r="U56" s="125">
        <v>0</v>
      </c>
      <c r="V56" s="125">
        <v>0</v>
      </c>
      <c r="W56" s="191">
        <v>0</v>
      </c>
      <c r="X56" s="125">
        <f>ROUND(W56*Valores!$C$2,2)</f>
        <v>0</v>
      </c>
      <c r="Y56" s="125">
        <v>0</v>
      </c>
      <c r="Z56" s="125">
        <f>Valores!$C$95</f>
        <v>34173.77</v>
      </c>
      <c r="AA56" s="125">
        <f>Valores!$C$25</f>
        <v>850.59</v>
      </c>
      <c r="AB56" s="210">
        <v>0</v>
      </c>
      <c r="AC56" s="125">
        <f t="shared" si="2"/>
        <v>0</v>
      </c>
      <c r="AD56" s="125">
        <f>Valores!$C$26</f>
        <v>850.59</v>
      </c>
      <c r="AE56" s="191">
        <v>94</v>
      </c>
      <c r="AF56" s="125">
        <f>ROUND(AE56*Valores!$C$2,2)</f>
        <v>3824.09</v>
      </c>
      <c r="AG56" s="125">
        <f>ROUND(IF($F$4="NO",Valores!$C$63,Valores!$C$63/2),2)</f>
        <v>9724.47</v>
      </c>
      <c r="AH56" s="125">
        <f t="shared" si="5"/>
        <v>309939.7200000001</v>
      </c>
      <c r="AI56" s="125">
        <f>Valores!$C$31</f>
        <v>0</v>
      </c>
      <c r="AJ56" s="125">
        <f>Valores!$C$88</f>
        <v>0</v>
      </c>
      <c r="AK56" s="125">
        <f>Valores!C$38*B56</f>
        <v>0</v>
      </c>
      <c r="AL56" s="125">
        <f>IF($F$3="NO",0,Valores!$C$56)</f>
        <v>0</v>
      </c>
      <c r="AM56" s="125">
        <f t="shared" si="3"/>
        <v>0</v>
      </c>
      <c r="AN56" s="125">
        <f>AH56*Valores!$C$71</f>
        <v>-34093.36920000001</v>
      </c>
      <c r="AO56" s="125">
        <f>AH56*-Valores!$C$72</f>
        <v>0</v>
      </c>
      <c r="AP56" s="125">
        <f>AH56*Valores!$C$73</f>
        <v>-13947.287400000003</v>
      </c>
      <c r="AQ56" s="125">
        <f>Valores!$C$100</f>
        <v>-554.86</v>
      </c>
      <c r="AR56" s="125">
        <f>IF($F$5=0,Valores!$C$101,(Valores!$C$101+$F$5*(Valores!$C$101)))</f>
        <v>-550</v>
      </c>
      <c r="AS56" s="125">
        <f t="shared" si="6"/>
        <v>260794.2034000001</v>
      </c>
      <c r="AT56" s="125">
        <f t="shared" si="0"/>
        <v>-34093.36920000001</v>
      </c>
      <c r="AU56" s="125">
        <f>AH56*Valores!$C$74</f>
        <v>-8368.372440000003</v>
      </c>
      <c r="AV56" s="125">
        <f>AH56*Valores!$C$75</f>
        <v>-929.8191600000002</v>
      </c>
      <c r="AW56" s="125">
        <f t="shared" si="4"/>
        <v>266548.1592000001</v>
      </c>
      <c r="AX56" s="126"/>
      <c r="AY56" s="126">
        <v>25</v>
      </c>
      <c r="AZ56" s="123" t="s">
        <v>4</v>
      </c>
    </row>
    <row r="57" spans="1:52" s="110" customFormat="1" ht="11.25" customHeight="1">
      <c r="A57" s="123" t="s">
        <v>207</v>
      </c>
      <c r="B57" s="123">
        <v>1</v>
      </c>
      <c r="C57" s="126">
        <v>50</v>
      </c>
      <c r="D57" s="124" t="s">
        <v>208</v>
      </c>
      <c r="E57" s="191">
        <v>93</v>
      </c>
      <c r="F57" s="125">
        <f>ROUND(E57*Valores!$C$2,2)</f>
        <v>3783.41</v>
      </c>
      <c r="G57" s="191">
        <v>2547</v>
      </c>
      <c r="H57" s="125">
        <f>ROUND(G57*Valores!$C$2,2)</f>
        <v>103616.54</v>
      </c>
      <c r="I57" s="191">
        <v>0</v>
      </c>
      <c r="J57" s="125">
        <f>ROUND(I57*Valores!$C$2,2)</f>
        <v>0</v>
      </c>
      <c r="K57" s="191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21300.95</v>
      </c>
      <c r="N57" s="125">
        <f t="shared" si="1"/>
        <v>0</v>
      </c>
      <c r="O57" s="125">
        <f>Valores!$C$9</f>
        <v>51121.66</v>
      </c>
      <c r="P57" s="125">
        <f>Valores!$D$5</f>
        <v>20796.54</v>
      </c>
      <c r="Q57" s="125">
        <f>Valores!$C$22</f>
        <v>18553.83</v>
      </c>
      <c r="R57" s="125">
        <f>IF($F$4="NO",Valores!$C$45,Valores!$C$45/2)</f>
        <v>15254.85</v>
      </c>
      <c r="S57" s="125">
        <f>Valores!$C$19</f>
        <v>19351.52</v>
      </c>
      <c r="T57" s="125">
        <f t="shared" si="7"/>
        <v>19351.52</v>
      </c>
      <c r="U57" s="125">
        <v>0</v>
      </c>
      <c r="V57" s="125">
        <v>0</v>
      </c>
      <c r="W57" s="191">
        <v>0</v>
      </c>
      <c r="X57" s="125">
        <f>ROUND(W57*Valores!$C$2,2)</f>
        <v>0</v>
      </c>
      <c r="Y57" s="125">
        <v>0</v>
      </c>
      <c r="Z57" s="125">
        <f>Valores!$C$95</f>
        <v>34173.77</v>
      </c>
      <c r="AA57" s="125">
        <f>Valores!$C$25</f>
        <v>850.59</v>
      </c>
      <c r="AB57" s="210">
        <v>0</v>
      </c>
      <c r="AC57" s="125">
        <f t="shared" si="2"/>
        <v>0</v>
      </c>
      <c r="AD57" s="125">
        <f>Valores!$C$26</f>
        <v>850.59</v>
      </c>
      <c r="AE57" s="191">
        <v>0</v>
      </c>
      <c r="AF57" s="125">
        <f>ROUND(AE57*Valores!$C$2,2)</f>
        <v>0</v>
      </c>
      <c r="AG57" s="125">
        <f>ROUND(IF($F$4="NO",Valores!$C$63,Valores!$C$63/2),2)</f>
        <v>9724.47</v>
      </c>
      <c r="AH57" s="125">
        <f t="shared" si="5"/>
        <v>299378.72000000003</v>
      </c>
      <c r="AI57" s="125">
        <f>Valores!$C$31</f>
        <v>0</v>
      </c>
      <c r="AJ57" s="125">
        <f>Valores!$C$88</f>
        <v>0</v>
      </c>
      <c r="AK57" s="125">
        <f>Valores!C$38*B57</f>
        <v>0</v>
      </c>
      <c r="AL57" s="125">
        <f>IF($F$3="NO",0,Valores!$C$56)</f>
        <v>0</v>
      </c>
      <c r="AM57" s="125">
        <f t="shared" si="3"/>
        <v>0</v>
      </c>
      <c r="AN57" s="125">
        <f>AH57*Valores!$C$71</f>
        <v>-32931.6592</v>
      </c>
      <c r="AO57" s="125">
        <f>AH57*-Valores!$C$72</f>
        <v>0</v>
      </c>
      <c r="AP57" s="125">
        <f>AH57*Valores!$C$73</f>
        <v>-13472.0424</v>
      </c>
      <c r="AQ57" s="125">
        <f>Valores!$C$100</f>
        <v>-554.86</v>
      </c>
      <c r="AR57" s="125">
        <f>IF($F$5=0,Valores!$C$101,(Valores!$C$101+$F$5*(Valores!$C$101)))</f>
        <v>-550</v>
      </c>
      <c r="AS57" s="125">
        <f t="shared" si="6"/>
        <v>251870.15840000001</v>
      </c>
      <c r="AT57" s="125">
        <f t="shared" si="0"/>
        <v>-32931.6592</v>
      </c>
      <c r="AU57" s="125">
        <f>AH57*Valores!$C$74</f>
        <v>-8083.225440000001</v>
      </c>
      <c r="AV57" s="125">
        <f>AH57*Valores!$C$75</f>
        <v>-898.1361600000001</v>
      </c>
      <c r="AW57" s="125">
        <f t="shared" si="4"/>
        <v>257465.69920000003</v>
      </c>
      <c r="AX57" s="126"/>
      <c r="AY57" s="126">
        <v>30</v>
      </c>
      <c r="AZ57" s="123" t="s">
        <v>4</v>
      </c>
    </row>
    <row r="58" spans="1:52" s="110" customFormat="1" ht="11.25" customHeight="1">
      <c r="A58" s="123" t="s">
        <v>209</v>
      </c>
      <c r="B58" s="123">
        <v>1</v>
      </c>
      <c r="C58" s="126">
        <v>51</v>
      </c>
      <c r="D58" s="124" t="s">
        <v>210</v>
      </c>
      <c r="E58" s="191">
        <v>89</v>
      </c>
      <c r="F58" s="125">
        <f>ROUND(E58*Valores!$C$2,2)</f>
        <v>3620.68</v>
      </c>
      <c r="G58" s="191">
        <v>2551</v>
      </c>
      <c r="H58" s="125">
        <f>ROUND(G58*Valores!$C$2,2)</f>
        <v>103779.27</v>
      </c>
      <c r="I58" s="191">
        <v>0</v>
      </c>
      <c r="J58" s="125">
        <f>ROUND(I58*Valores!$C$2,2)</f>
        <v>0</v>
      </c>
      <c r="K58" s="191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21300.95</v>
      </c>
      <c r="N58" s="125">
        <f t="shared" si="1"/>
        <v>0</v>
      </c>
      <c r="O58" s="125">
        <f>Valores!$C$9</f>
        <v>51121.66</v>
      </c>
      <c r="P58" s="125">
        <f>Valores!$D$5</f>
        <v>20796.54</v>
      </c>
      <c r="Q58" s="125">
        <f>Valores!$C$22</f>
        <v>18553.83</v>
      </c>
      <c r="R58" s="125">
        <f>IF($F$4="NO",Valores!$C$45,Valores!$C$45/2)</f>
        <v>15254.85</v>
      </c>
      <c r="S58" s="125">
        <f>Valores!$C$19</f>
        <v>19351.52</v>
      </c>
      <c r="T58" s="125">
        <f t="shared" si="7"/>
        <v>19351.52</v>
      </c>
      <c r="U58" s="125">
        <v>0</v>
      </c>
      <c r="V58" s="125">
        <v>0</v>
      </c>
      <c r="W58" s="191">
        <v>0</v>
      </c>
      <c r="X58" s="125">
        <f>ROUND(W58*Valores!$C$2,2)</f>
        <v>0</v>
      </c>
      <c r="Y58" s="125">
        <v>0</v>
      </c>
      <c r="Z58" s="125">
        <f>Valores!$C$95</f>
        <v>34173.77</v>
      </c>
      <c r="AA58" s="125">
        <f>Valores!$C$25</f>
        <v>850.59</v>
      </c>
      <c r="AB58" s="210">
        <v>0</v>
      </c>
      <c r="AC58" s="125">
        <f t="shared" si="2"/>
        <v>0</v>
      </c>
      <c r="AD58" s="125">
        <f>Valores!$C$26</f>
        <v>850.59</v>
      </c>
      <c r="AE58" s="191">
        <v>94</v>
      </c>
      <c r="AF58" s="125">
        <f>ROUND(AE58*Valores!$C$2,2)</f>
        <v>3824.09</v>
      </c>
      <c r="AG58" s="125">
        <f>ROUND(IF($F$4="NO",Valores!$C$63,Valores!$C$63/2),2)</f>
        <v>9724.47</v>
      </c>
      <c r="AH58" s="125">
        <f t="shared" si="5"/>
        <v>303202.81000000006</v>
      </c>
      <c r="AI58" s="125">
        <f>Valores!$C$31</f>
        <v>0</v>
      </c>
      <c r="AJ58" s="125">
        <f>Valores!$C$88</f>
        <v>0</v>
      </c>
      <c r="AK58" s="125">
        <f>Valores!C$38*B58</f>
        <v>0</v>
      </c>
      <c r="AL58" s="125">
        <f>IF($F$3="NO",0,Valores!$C$56)</f>
        <v>0</v>
      </c>
      <c r="AM58" s="125">
        <f t="shared" si="3"/>
        <v>0</v>
      </c>
      <c r="AN58" s="125">
        <f>AH58*Valores!$C$71</f>
        <v>-33352.309100000006</v>
      </c>
      <c r="AO58" s="125">
        <f>AH58*-Valores!$C$72</f>
        <v>0</v>
      </c>
      <c r="AP58" s="125">
        <f>AH58*Valores!$C$73</f>
        <v>-13644.126450000002</v>
      </c>
      <c r="AQ58" s="125">
        <f>Valores!$C$100</f>
        <v>-554.86</v>
      </c>
      <c r="AR58" s="125">
        <f>IF($F$5=0,Valores!$C$101,(Valores!$C$101+$F$5*(Valores!$C$101)))</f>
        <v>-550</v>
      </c>
      <c r="AS58" s="125">
        <f t="shared" si="6"/>
        <v>255101.51445000005</v>
      </c>
      <c r="AT58" s="125">
        <f t="shared" si="0"/>
        <v>-33352.309100000006</v>
      </c>
      <c r="AU58" s="125">
        <f>AH58*Valores!$C$74</f>
        <v>-8186.475870000001</v>
      </c>
      <c r="AV58" s="125">
        <f>AH58*Valores!$C$75</f>
        <v>-909.6084300000002</v>
      </c>
      <c r="AW58" s="125">
        <f t="shared" si="4"/>
        <v>260754.41660000006</v>
      </c>
      <c r="AX58" s="126"/>
      <c r="AY58" s="126">
        <v>25</v>
      </c>
      <c r="AZ58" s="123" t="s">
        <v>4</v>
      </c>
    </row>
    <row r="59" spans="1:52" s="110" customFormat="1" ht="11.25" customHeight="1">
      <c r="A59" s="123" t="s">
        <v>211</v>
      </c>
      <c r="B59" s="123">
        <v>1</v>
      </c>
      <c r="C59" s="126">
        <v>52</v>
      </c>
      <c r="D59" s="124" t="s">
        <v>212</v>
      </c>
      <c r="E59" s="191">
        <v>89</v>
      </c>
      <c r="F59" s="125">
        <f>ROUND(E59*Valores!$C$2,2)</f>
        <v>3620.68</v>
      </c>
      <c r="G59" s="191">
        <v>2251</v>
      </c>
      <c r="H59" s="125">
        <f>ROUND(G59*Valores!$C$2,2)</f>
        <v>91574.73</v>
      </c>
      <c r="I59" s="191">
        <v>0</v>
      </c>
      <c r="J59" s="125">
        <f>ROUND(I59*Valores!$C$2,2)</f>
        <v>0</v>
      </c>
      <c r="K59" s="191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19470.27</v>
      </c>
      <c r="N59" s="125">
        <f t="shared" si="1"/>
        <v>0</v>
      </c>
      <c r="O59" s="125">
        <f>Valores!$C$9</f>
        <v>51121.66</v>
      </c>
      <c r="P59" s="125">
        <f>Valores!$D$5</f>
        <v>20796.54</v>
      </c>
      <c r="Q59" s="125">
        <f>Valores!$C$22</f>
        <v>18553.83</v>
      </c>
      <c r="R59" s="125">
        <f>IF($F$4="NO",Valores!$C$45,Valores!$C$45/2)</f>
        <v>15254.85</v>
      </c>
      <c r="S59" s="125">
        <f>Valores!$C$19</f>
        <v>19351.52</v>
      </c>
      <c r="T59" s="125">
        <f t="shared" si="7"/>
        <v>19351.52</v>
      </c>
      <c r="U59" s="125">
        <v>0</v>
      </c>
      <c r="V59" s="125">
        <v>0</v>
      </c>
      <c r="W59" s="191">
        <v>0</v>
      </c>
      <c r="X59" s="125">
        <f>ROUND(W59*Valores!$C$2,2)</f>
        <v>0</v>
      </c>
      <c r="Y59" s="125">
        <v>0</v>
      </c>
      <c r="Z59" s="125">
        <f>Valores!$C$95</f>
        <v>34173.77</v>
      </c>
      <c r="AA59" s="125">
        <f>Valores!$C$25</f>
        <v>850.59</v>
      </c>
      <c r="AB59" s="210">
        <v>0</v>
      </c>
      <c r="AC59" s="125">
        <f t="shared" si="2"/>
        <v>0</v>
      </c>
      <c r="AD59" s="125">
        <f>Valores!$C$26</f>
        <v>850.59</v>
      </c>
      <c r="AE59" s="191">
        <v>0</v>
      </c>
      <c r="AF59" s="125">
        <f>ROUND(AE59*Valores!$C$2,2)</f>
        <v>0</v>
      </c>
      <c r="AG59" s="125">
        <f>ROUND(IF($F$4="NO",Valores!$C$63,Valores!$C$63/2),2)</f>
        <v>9724.47</v>
      </c>
      <c r="AH59" s="125">
        <f t="shared" si="5"/>
        <v>285343.50000000006</v>
      </c>
      <c r="AI59" s="125">
        <f>Valores!$C$31</f>
        <v>0</v>
      </c>
      <c r="AJ59" s="125">
        <f>Valores!$C$88</f>
        <v>0</v>
      </c>
      <c r="AK59" s="125">
        <f>Valores!C$38*B59</f>
        <v>0</v>
      </c>
      <c r="AL59" s="125">
        <f>IF($F$3="NO",0,Valores!$C$56)</f>
        <v>0</v>
      </c>
      <c r="AM59" s="125">
        <f t="shared" si="3"/>
        <v>0</v>
      </c>
      <c r="AN59" s="125">
        <f>AH59*Valores!$C$71</f>
        <v>-31387.785000000007</v>
      </c>
      <c r="AO59" s="125">
        <f>AH59*-Valores!$C$72</f>
        <v>0</v>
      </c>
      <c r="AP59" s="125">
        <f>AH59*Valores!$C$73</f>
        <v>-12840.457500000002</v>
      </c>
      <c r="AQ59" s="125">
        <f>Valores!$C$100</f>
        <v>-554.86</v>
      </c>
      <c r="AR59" s="125">
        <f>IF($F$5=0,Valores!$C$101,(Valores!$C$101+$F$5*(Valores!$C$101)))</f>
        <v>-550</v>
      </c>
      <c r="AS59" s="125">
        <f t="shared" si="6"/>
        <v>240010.39750000005</v>
      </c>
      <c r="AT59" s="125">
        <f t="shared" si="0"/>
        <v>-31387.785000000007</v>
      </c>
      <c r="AU59" s="125">
        <f>AH59*Valores!$C$74</f>
        <v>-7704.274500000001</v>
      </c>
      <c r="AV59" s="125">
        <f>AH59*Valores!$C$75</f>
        <v>-856.0305000000002</v>
      </c>
      <c r="AW59" s="125">
        <f t="shared" si="4"/>
        <v>245395.41000000003</v>
      </c>
      <c r="AX59" s="126"/>
      <c r="AY59" s="126">
        <v>30</v>
      </c>
      <c r="AZ59" s="123" t="s">
        <v>4</v>
      </c>
    </row>
    <row r="60" spans="1:52" s="110" customFormat="1" ht="11.25" customHeight="1">
      <c r="A60" s="123" t="s">
        <v>213</v>
      </c>
      <c r="B60" s="123">
        <v>1</v>
      </c>
      <c r="C60" s="126">
        <v>53</v>
      </c>
      <c r="D60" s="124" t="s">
        <v>214</v>
      </c>
      <c r="E60" s="191">
        <v>85</v>
      </c>
      <c r="F60" s="125">
        <f>ROUND(E60*Valores!$C$2,2)</f>
        <v>3457.95</v>
      </c>
      <c r="G60" s="191">
        <v>2255</v>
      </c>
      <c r="H60" s="125">
        <f>ROUND(G60*Valores!$C$2,2)</f>
        <v>91737.46</v>
      </c>
      <c r="I60" s="191">
        <v>0</v>
      </c>
      <c r="J60" s="125">
        <f>ROUND(I60*Valores!$C$2,2)</f>
        <v>0</v>
      </c>
      <c r="K60" s="191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19470.27</v>
      </c>
      <c r="N60" s="125">
        <f t="shared" si="1"/>
        <v>0</v>
      </c>
      <c r="O60" s="125">
        <f>Valores!$C$9</f>
        <v>51121.66</v>
      </c>
      <c r="P60" s="125">
        <f>Valores!$D$5</f>
        <v>20796.54</v>
      </c>
      <c r="Q60" s="125">
        <f>Valores!$C$22</f>
        <v>18553.83</v>
      </c>
      <c r="R60" s="125">
        <f>IF($F$4="NO",Valores!$C$45,Valores!$C$45/2)</f>
        <v>15254.85</v>
      </c>
      <c r="S60" s="125">
        <f>Valores!$C$19</f>
        <v>19351.52</v>
      </c>
      <c r="T60" s="125">
        <f t="shared" si="7"/>
        <v>19351.52</v>
      </c>
      <c r="U60" s="125">
        <v>0</v>
      </c>
      <c r="V60" s="125">
        <v>0</v>
      </c>
      <c r="W60" s="191">
        <v>0</v>
      </c>
      <c r="X60" s="125">
        <f>ROUND(W60*Valores!$C$2,2)</f>
        <v>0</v>
      </c>
      <c r="Y60" s="125">
        <v>0</v>
      </c>
      <c r="Z60" s="125">
        <f>Valores!$C$95</f>
        <v>34173.77</v>
      </c>
      <c r="AA60" s="125">
        <f>Valores!$C$25</f>
        <v>850.59</v>
      </c>
      <c r="AB60" s="210">
        <v>0</v>
      </c>
      <c r="AC60" s="125">
        <f t="shared" si="2"/>
        <v>0</v>
      </c>
      <c r="AD60" s="125">
        <f>Valores!$C$26</f>
        <v>850.59</v>
      </c>
      <c r="AE60" s="191">
        <v>94</v>
      </c>
      <c r="AF60" s="125">
        <f>ROUND(AE60*Valores!$C$2,2)</f>
        <v>3824.09</v>
      </c>
      <c r="AG60" s="125">
        <f>ROUND(IF($F$4="NO",Valores!$C$63,Valores!$C$63/2),2)</f>
        <v>9724.47</v>
      </c>
      <c r="AH60" s="125">
        <f t="shared" si="5"/>
        <v>289167.5900000001</v>
      </c>
      <c r="AI60" s="125">
        <f>Valores!$C$31</f>
        <v>0</v>
      </c>
      <c r="AJ60" s="125">
        <f>Valores!$C$88</f>
        <v>0</v>
      </c>
      <c r="AK60" s="125">
        <f>Valores!C$38*B60</f>
        <v>0</v>
      </c>
      <c r="AL60" s="125">
        <f>IF($F$3="NO",0,Valores!$C$56)</f>
        <v>0</v>
      </c>
      <c r="AM60" s="125">
        <f t="shared" si="3"/>
        <v>0</v>
      </c>
      <c r="AN60" s="125">
        <f>AH60*Valores!$C$71</f>
        <v>-31808.43490000001</v>
      </c>
      <c r="AO60" s="125">
        <f>AH60*-Valores!$C$72</f>
        <v>0</v>
      </c>
      <c r="AP60" s="125">
        <f>AH60*Valores!$C$73</f>
        <v>-13012.541550000004</v>
      </c>
      <c r="AQ60" s="125">
        <f>Valores!$C$100</f>
        <v>-554.86</v>
      </c>
      <c r="AR60" s="125">
        <f>IF($F$5=0,Valores!$C$101,(Valores!$C$101+$F$5*(Valores!$C$101)))</f>
        <v>-550</v>
      </c>
      <c r="AS60" s="125">
        <f t="shared" si="6"/>
        <v>243241.75355000008</v>
      </c>
      <c r="AT60" s="125">
        <f t="shared" si="0"/>
        <v>-31808.43490000001</v>
      </c>
      <c r="AU60" s="125">
        <f>AH60*Valores!$C$74</f>
        <v>-7807.524930000002</v>
      </c>
      <c r="AV60" s="125">
        <f>AH60*Valores!$C$75</f>
        <v>-867.5027700000003</v>
      </c>
      <c r="AW60" s="125">
        <f t="shared" si="4"/>
        <v>248684.12740000006</v>
      </c>
      <c r="AX60" s="126"/>
      <c r="AY60" s="126">
        <v>25</v>
      </c>
      <c r="AZ60" s="123" t="s">
        <v>4</v>
      </c>
    </row>
    <row r="61" spans="1:52" s="110" customFormat="1" ht="11.25" customHeight="1">
      <c r="A61" s="123" t="s">
        <v>215</v>
      </c>
      <c r="B61" s="123">
        <v>1</v>
      </c>
      <c r="C61" s="126">
        <v>54</v>
      </c>
      <c r="D61" s="124" t="s">
        <v>216</v>
      </c>
      <c r="E61" s="191">
        <v>100</v>
      </c>
      <c r="F61" s="125">
        <f>ROUND(E61*Valores!$C$2,2)</f>
        <v>4068.18</v>
      </c>
      <c r="G61" s="191">
        <v>3180</v>
      </c>
      <c r="H61" s="125">
        <f>ROUND(G61*Valores!$C$2,2)</f>
        <v>129368.12</v>
      </c>
      <c r="I61" s="191">
        <v>0</v>
      </c>
      <c r="J61" s="125">
        <f>ROUND(I61*Valores!$C$2,2)</f>
        <v>0</v>
      </c>
      <c r="K61" s="191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25694.68</v>
      </c>
      <c r="N61" s="125">
        <f t="shared" si="1"/>
        <v>0</v>
      </c>
      <c r="O61" s="125">
        <f>Valores!$C$9</f>
        <v>51121.66</v>
      </c>
      <c r="P61" s="125">
        <f>Valores!$D$5</f>
        <v>20796.54</v>
      </c>
      <c r="Q61" s="125">
        <f>Valores!$C$22</f>
        <v>18553.83</v>
      </c>
      <c r="R61" s="125">
        <f>IF($F$4="NO",Valores!$C$48,Valores!$C$48/2)</f>
        <v>18510.02</v>
      </c>
      <c r="S61" s="125">
        <f>Valores!$C$19</f>
        <v>19351.52</v>
      </c>
      <c r="T61" s="125">
        <f t="shared" si="7"/>
        <v>19351.52</v>
      </c>
      <c r="U61" s="125">
        <v>0</v>
      </c>
      <c r="V61" s="125">
        <v>0</v>
      </c>
      <c r="W61" s="191">
        <v>0</v>
      </c>
      <c r="X61" s="125">
        <f>ROUND(W61*Valores!$C$2,2)</f>
        <v>0</v>
      </c>
      <c r="Y61" s="125">
        <v>0</v>
      </c>
      <c r="Z61" s="125">
        <f>Valores!$C$95</f>
        <v>34173.77</v>
      </c>
      <c r="AA61" s="125">
        <f>Valores!$C$25</f>
        <v>850.59</v>
      </c>
      <c r="AB61" s="210">
        <v>0</v>
      </c>
      <c r="AC61" s="125">
        <f t="shared" si="2"/>
        <v>0</v>
      </c>
      <c r="AD61" s="125">
        <f>Valores!$C$26</f>
        <v>850.59</v>
      </c>
      <c r="AE61" s="191">
        <v>0</v>
      </c>
      <c r="AF61" s="125">
        <f>ROUND(AE61*Valores!$C$2,2)</f>
        <v>0</v>
      </c>
      <c r="AG61" s="125">
        <f>ROUND(IF($F$4="NO",Valores!$C$63,Valores!$C$63/2),2)</f>
        <v>9724.47</v>
      </c>
      <c r="AH61" s="125">
        <f t="shared" si="5"/>
        <v>333063.9700000001</v>
      </c>
      <c r="AI61" s="125">
        <f>Valores!$C$31</f>
        <v>0</v>
      </c>
      <c r="AJ61" s="125">
        <f>Valores!$C$88</f>
        <v>0</v>
      </c>
      <c r="AK61" s="125">
        <f>Valores!C$38*B61</f>
        <v>0</v>
      </c>
      <c r="AL61" s="125">
        <f>IF($F$3="NO",0,Valores!$C$56)</f>
        <v>0</v>
      </c>
      <c r="AM61" s="125">
        <f t="shared" si="3"/>
        <v>0</v>
      </c>
      <c r="AN61" s="125">
        <f>AH61*Valores!$C$71</f>
        <v>-36637.03670000001</v>
      </c>
      <c r="AO61" s="125">
        <f>AH61*-Valores!$C$72</f>
        <v>0</v>
      </c>
      <c r="AP61" s="125">
        <f>AH61*Valores!$C$73</f>
        <v>-14987.878650000004</v>
      </c>
      <c r="AQ61" s="125">
        <f>Valores!$C$100</f>
        <v>-554.86</v>
      </c>
      <c r="AR61" s="125">
        <f>IF($F$5=0,Valores!$C$101,(Valores!$C$101+$F$5*(Valores!$C$101)))</f>
        <v>-550</v>
      </c>
      <c r="AS61" s="125">
        <f t="shared" si="6"/>
        <v>280334.1946500001</v>
      </c>
      <c r="AT61" s="125">
        <f t="shared" si="0"/>
        <v>-36637.03670000001</v>
      </c>
      <c r="AU61" s="125">
        <f>AH61*Valores!$C$74</f>
        <v>-8992.727190000001</v>
      </c>
      <c r="AV61" s="125">
        <f>AH61*Valores!$C$75</f>
        <v>-999.1919100000002</v>
      </c>
      <c r="AW61" s="125">
        <f t="shared" si="4"/>
        <v>286435.0142000001</v>
      </c>
      <c r="AX61" s="126"/>
      <c r="AY61" s="126"/>
      <c r="AZ61" s="123" t="s">
        <v>4</v>
      </c>
    </row>
    <row r="62" spans="1:52" s="110" customFormat="1" ht="11.25" customHeight="1">
      <c r="A62" s="123" t="s">
        <v>217</v>
      </c>
      <c r="B62" s="123">
        <v>1</v>
      </c>
      <c r="C62" s="126">
        <v>55</v>
      </c>
      <c r="D62" s="124" t="s">
        <v>218</v>
      </c>
      <c r="E62" s="191">
        <v>83</v>
      </c>
      <c r="F62" s="125">
        <f>ROUND(E62*Valores!$C$2,2)</f>
        <v>3376.59</v>
      </c>
      <c r="G62" s="191">
        <v>2352</v>
      </c>
      <c r="H62" s="125">
        <f>ROUND(G62*Valores!$C$2,2)</f>
        <v>95683.59</v>
      </c>
      <c r="I62" s="191">
        <v>0</v>
      </c>
      <c r="J62" s="125">
        <f>ROUND(I62*Valores!$C$2,2)</f>
        <v>0</v>
      </c>
      <c r="K62" s="191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20049.98</v>
      </c>
      <c r="N62" s="125">
        <f t="shared" si="1"/>
        <v>0</v>
      </c>
      <c r="O62" s="125">
        <f>Valores!$C$9</f>
        <v>51121.66</v>
      </c>
      <c r="P62" s="125">
        <f>Valores!$D$5</f>
        <v>20796.54</v>
      </c>
      <c r="Q62" s="125">
        <f>Valores!$C$22</f>
        <v>18553.83</v>
      </c>
      <c r="R62" s="125">
        <f>IF($F$4="NO",Valores!$C$45,Valores!$C$45/2)</f>
        <v>15254.85</v>
      </c>
      <c r="S62" s="125">
        <f>Valores!$C$19</f>
        <v>19351.52</v>
      </c>
      <c r="T62" s="125">
        <f t="shared" si="7"/>
        <v>19351.52</v>
      </c>
      <c r="U62" s="125">
        <v>0</v>
      </c>
      <c r="V62" s="125">
        <v>0</v>
      </c>
      <c r="W62" s="191">
        <v>0</v>
      </c>
      <c r="X62" s="125">
        <f>ROUND(W62*Valores!$C$2,2)</f>
        <v>0</v>
      </c>
      <c r="Y62" s="125">
        <v>0</v>
      </c>
      <c r="Z62" s="125">
        <f>Valores!$C$95</f>
        <v>34173.77</v>
      </c>
      <c r="AA62" s="125">
        <f>Valores!$C$25</f>
        <v>850.59</v>
      </c>
      <c r="AB62" s="210">
        <v>0</v>
      </c>
      <c r="AC62" s="125">
        <f t="shared" si="2"/>
        <v>0</v>
      </c>
      <c r="AD62" s="125">
        <f>Valores!$C$26</f>
        <v>850.59</v>
      </c>
      <c r="AE62" s="191">
        <v>0</v>
      </c>
      <c r="AF62" s="125">
        <f>ROUND(AE62*Valores!$C$2,2)</f>
        <v>0</v>
      </c>
      <c r="AG62" s="125">
        <f>ROUND(IF($F$4="NO",Valores!$C$63,Valores!$C$63/2),2)</f>
        <v>9724.47</v>
      </c>
      <c r="AH62" s="125">
        <f t="shared" si="5"/>
        <v>289787.98000000004</v>
      </c>
      <c r="AI62" s="125">
        <f>Valores!$C$31</f>
        <v>0</v>
      </c>
      <c r="AJ62" s="125">
        <f>Valores!$C$88</f>
        <v>0</v>
      </c>
      <c r="AK62" s="125">
        <f>Valores!C$38*B62</f>
        <v>0</v>
      </c>
      <c r="AL62" s="125">
        <f>IF($F$3="NO",0,Valores!$C$56)</f>
        <v>0</v>
      </c>
      <c r="AM62" s="125">
        <f t="shared" si="3"/>
        <v>0</v>
      </c>
      <c r="AN62" s="125">
        <f>AH62*Valores!$C$71</f>
        <v>-31876.677800000005</v>
      </c>
      <c r="AO62" s="125">
        <f>AH62*-Valores!$C$72</f>
        <v>0</v>
      </c>
      <c r="AP62" s="125">
        <f>AH62*Valores!$C$73</f>
        <v>-13040.459100000002</v>
      </c>
      <c r="AQ62" s="125">
        <f>Valores!$C$100</f>
        <v>-554.86</v>
      </c>
      <c r="AR62" s="125">
        <f>IF($F$5=0,Valores!$C$101,(Valores!$C$101+$F$5*(Valores!$C$101)))</f>
        <v>-550</v>
      </c>
      <c r="AS62" s="125">
        <f t="shared" si="6"/>
        <v>243765.98310000004</v>
      </c>
      <c r="AT62" s="125">
        <f t="shared" si="0"/>
        <v>-31876.677800000005</v>
      </c>
      <c r="AU62" s="125">
        <f>AH62*Valores!$C$74</f>
        <v>-7824.275460000001</v>
      </c>
      <c r="AV62" s="125">
        <f>AH62*Valores!$C$75</f>
        <v>-869.3639400000002</v>
      </c>
      <c r="AW62" s="125">
        <f t="shared" si="4"/>
        <v>249217.66280000002</v>
      </c>
      <c r="AX62" s="126"/>
      <c r="AY62" s="126">
        <v>30</v>
      </c>
      <c r="AZ62" s="123" t="s">
        <v>4</v>
      </c>
    </row>
    <row r="63" spans="1:52" s="110" customFormat="1" ht="11.25" customHeight="1">
      <c r="A63" s="123" t="s">
        <v>219</v>
      </c>
      <c r="B63" s="123">
        <v>1</v>
      </c>
      <c r="C63" s="126">
        <v>56</v>
      </c>
      <c r="D63" s="124" t="s">
        <v>220</v>
      </c>
      <c r="E63" s="191">
        <v>81</v>
      </c>
      <c r="F63" s="125">
        <f>ROUND(E63*Valores!$C$2,2)</f>
        <v>3295.23</v>
      </c>
      <c r="G63" s="191">
        <v>2354</v>
      </c>
      <c r="H63" s="125">
        <f>ROUND(G63*Valores!$C$2,2)</f>
        <v>95764.96</v>
      </c>
      <c r="I63" s="191">
        <v>0</v>
      </c>
      <c r="J63" s="125">
        <f>ROUND(I63*Valores!$C$2,2)</f>
        <v>0</v>
      </c>
      <c r="K63" s="191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20049.98</v>
      </c>
      <c r="N63" s="125">
        <f t="shared" si="1"/>
        <v>0</v>
      </c>
      <c r="O63" s="125">
        <f>Valores!$C$9</f>
        <v>51121.66</v>
      </c>
      <c r="P63" s="125">
        <f>Valores!$D$5</f>
        <v>20796.54</v>
      </c>
      <c r="Q63" s="125">
        <f>Valores!$C$22</f>
        <v>18553.83</v>
      </c>
      <c r="R63" s="125">
        <f>IF($F$4="NO",Valores!$C$45,Valores!$C$45/2)</f>
        <v>15254.85</v>
      </c>
      <c r="S63" s="125">
        <f>Valores!$C$19</f>
        <v>19351.52</v>
      </c>
      <c r="T63" s="125">
        <f t="shared" si="7"/>
        <v>19351.52</v>
      </c>
      <c r="U63" s="125">
        <v>0</v>
      </c>
      <c r="V63" s="125">
        <v>0</v>
      </c>
      <c r="W63" s="191">
        <v>0</v>
      </c>
      <c r="X63" s="125">
        <f>ROUND(W63*Valores!$C$2,2)</f>
        <v>0</v>
      </c>
      <c r="Y63" s="125">
        <v>0</v>
      </c>
      <c r="Z63" s="125">
        <f>Valores!$C$95</f>
        <v>34173.77</v>
      </c>
      <c r="AA63" s="125">
        <f>Valores!$C$25</f>
        <v>850.59</v>
      </c>
      <c r="AB63" s="210">
        <v>0</v>
      </c>
      <c r="AC63" s="125">
        <f t="shared" si="2"/>
        <v>0</v>
      </c>
      <c r="AD63" s="125">
        <f>Valores!$C$26</f>
        <v>850.59</v>
      </c>
      <c r="AE63" s="191">
        <v>94</v>
      </c>
      <c r="AF63" s="125">
        <f>ROUND(AE63*Valores!$C$2,2)</f>
        <v>3824.09</v>
      </c>
      <c r="AG63" s="125">
        <f>ROUND(IF($F$4="NO",Valores!$C$63,Valores!$C$63/2),2)</f>
        <v>9724.47</v>
      </c>
      <c r="AH63" s="125">
        <f t="shared" si="5"/>
        <v>293612.0800000001</v>
      </c>
      <c r="AI63" s="125">
        <f>Valores!$C$31</f>
        <v>0</v>
      </c>
      <c r="AJ63" s="125">
        <f>Valores!$C$88</f>
        <v>0</v>
      </c>
      <c r="AK63" s="125">
        <f>Valores!C$38*B63</f>
        <v>0</v>
      </c>
      <c r="AL63" s="125">
        <f>IF($F$3="NO",0,Valores!$C$56)</f>
        <v>0</v>
      </c>
      <c r="AM63" s="125">
        <f t="shared" si="3"/>
        <v>0</v>
      </c>
      <c r="AN63" s="125">
        <f>AH63*Valores!$C$71</f>
        <v>-32297.328800000007</v>
      </c>
      <c r="AO63" s="125">
        <f>AH63*-Valores!$C$72</f>
        <v>0</v>
      </c>
      <c r="AP63" s="125">
        <f>AH63*Valores!$C$73</f>
        <v>-13212.543600000003</v>
      </c>
      <c r="AQ63" s="125">
        <f>Valores!$C$100</f>
        <v>-554.86</v>
      </c>
      <c r="AR63" s="125">
        <f>IF($F$5=0,Valores!$C$101,(Valores!$C$101+$F$5*(Valores!$C$101)))</f>
        <v>-550</v>
      </c>
      <c r="AS63" s="125">
        <f t="shared" si="6"/>
        <v>246997.34760000007</v>
      </c>
      <c r="AT63" s="125">
        <f t="shared" si="0"/>
        <v>-32297.328800000007</v>
      </c>
      <c r="AU63" s="125">
        <f>AH63*Valores!$C$74</f>
        <v>-7927.526160000002</v>
      </c>
      <c r="AV63" s="125">
        <f>AH63*Valores!$C$75</f>
        <v>-880.8362400000002</v>
      </c>
      <c r="AW63" s="125">
        <f t="shared" si="4"/>
        <v>252506.38880000007</v>
      </c>
      <c r="AX63" s="126"/>
      <c r="AY63" s="126">
        <v>25</v>
      </c>
      <c r="AZ63" s="123" t="s">
        <v>4</v>
      </c>
    </row>
    <row r="64" spans="1:52" s="110" customFormat="1" ht="11.25" customHeight="1">
      <c r="A64" s="123" t="s">
        <v>221</v>
      </c>
      <c r="B64" s="123">
        <v>1</v>
      </c>
      <c r="C64" s="126">
        <v>57</v>
      </c>
      <c r="D64" s="124" t="s">
        <v>222</v>
      </c>
      <c r="E64" s="191">
        <v>81</v>
      </c>
      <c r="F64" s="125">
        <f>ROUND(E64*Valores!$C$2,2)</f>
        <v>3295.23</v>
      </c>
      <c r="G64" s="191">
        <v>2094</v>
      </c>
      <c r="H64" s="125">
        <f>ROUND(G64*Valores!$C$2,2)</f>
        <v>85187.69</v>
      </c>
      <c r="I64" s="191">
        <v>0</v>
      </c>
      <c r="J64" s="125">
        <f>ROUND(I64*Valores!$C$2,2)</f>
        <v>0</v>
      </c>
      <c r="K64" s="191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18463.39</v>
      </c>
      <c r="N64" s="125">
        <f t="shared" si="1"/>
        <v>0</v>
      </c>
      <c r="O64" s="125">
        <f>Valores!$C$9</f>
        <v>51121.66</v>
      </c>
      <c r="P64" s="125">
        <f>Valores!$D$5</f>
        <v>20796.54</v>
      </c>
      <c r="Q64" s="125">
        <f>Valores!$C$22</f>
        <v>18553.83</v>
      </c>
      <c r="R64" s="125">
        <f>IF($F$4="NO",Valores!$C$45,Valores!$C$45/2)</f>
        <v>15254.85</v>
      </c>
      <c r="S64" s="125">
        <f>Valores!$C$19</f>
        <v>19351.52</v>
      </c>
      <c r="T64" s="125">
        <f t="shared" si="7"/>
        <v>19351.52</v>
      </c>
      <c r="U64" s="125">
        <v>0</v>
      </c>
      <c r="V64" s="125">
        <v>0</v>
      </c>
      <c r="W64" s="191">
        <v>0</v>
      </c>
      <c r="X64" s="125">
        <f>ROUND(W64*Valores!$C$2,2)</f>
        <v>0</v>
      </c>
      <c r="Y64" s="125">
        <v>0</v>
      </c>
      <c r="Z64" s="125">
        <f>Valores!$C$95</f>
        <v>34173.77</v>
      </c>
      <c r="AA64" s="125">
        <f>Valores!$C$25</f>
        <v>850.59</v>
      </c>
      <c r="AB64" s="210">
        <v>0</v>
      </c>
      <c r="AC64" s="125">
        <f t="shared" si="2"/>
        <v>0</v>
      </c>
      <c r="AD64" s="125">
        <f>Valores!$C$26</f>
        <v>850.59</v>
      </c>
      <c r="AE64" s="191">
        <v>0</v>
      </c>
      <c r="AF64" s="125">
        <f>ROUND(AE64*Valores!$C$2,2)</f>
        <v>0</v>
      </c>
      <c r="AG64" s="125">
        <f>ROUND(IF($F$4="NO",Valores!$C$63,Valores!$C$63/2),2)</f>
        <v>9724.47</v>
      </c>
      <c r="AH64" s="125">
        <f t="shared" si="5"/>
        <v>277624.13000000006</v>
      </c>
      <c r="AI64" s="125">
        <f>Valores!$C$31</f>
        <v>0</v>
      </c>
      <c r="AJ64" s="125">
        <f>Valores!$C$88</f>
        <v>0</v>
      </c>
      <c r="AK64" s="125">
        <f>Valores!C$38*B64</f>
        <v>0</v>
      </c>
      <c r="AL64" s="125">
        <f>IF($F$3="NO",0,Valores!$C$56)</f>
        <v>0</v>
      </c>
      <c r="AM64" s="125">
        <f t="shared" si="3"/>
        <v>0</v>
      </c>
      <c r="AN64" s="125">
        <f>AH64*Valores!$C$71</f>
        <v>-30538.654300000006</v>
      </c>
      <c r="AO64" s="125">
        <f>AH64*-Valores!$C$72</f>
        <v>0</v>
      </c>
      <c r="AP64" s="125">
        <f>AH64*Valores!$C$73</f>
        <v>-12493.085850000003</v>
      </c>
      <c r="AQ64" s="125">
        <f>Valores!$C$100</f>
        <v>-554.86</v>
      </c>
      <c r="AR64" s="125">
        <f>IF($F$5=0,Valores!$C$101,(Valores!$C$101+$F$5*(Valores!$C$101)))</f>
        <v>-550</v>
      </c>
      <c r="AS64" s="125">
        <f t="shared" si="6"/>
        <v>233487.52985000005</v>
      </c>
      <c r="AT64" s="125">
        <f t="shared" si="0"/>
        <v>-30538.654300000006</v>
      </c>
      <c r="AU64" s="125">
        <f>AH64*Valores!$C$74</f>
        <v>-7495.851510000001</v>
      </c>
      <c r="AV64" s="125">
        <f>AH64*Valores!$C$75</f>
        <v>-832.8723900000002</v>
      </c>
      <c r="AW64" s="125">
        <f t="shared" si="4"/>
        <v>238756.75180000006</v>
      </c>
      <c r="AX64" s="126"/>
      <c r="AY64" s="126">
        <v>30</v>
      </c>
      <c r="AZ64" s="123" t="s">
        <v>4</v>
      </c>
    </row>
    <row r="65" spans="1:52" s="110" customFormat="1" ht="11.25" customHeight="1">
      <c r="A65" s="123" t="s">
        <v>223</v>
      </c>
      <c r="B65" s="123">
        <v>1</v>
      </c>
      <c r="C65" s="126">
        <v>58</v>
      </c>
      <c r="D65" s="124" t="s">
        <v>224</v>
      </c>
      <c r="E65" s="191">
        <v>80</v>
      </c>
      <c r="F65" s="125">
        <f>ROUND(E65*Valores!$C$2,2)</f>
        <v>3254.54</v>
      </c>
      <c r="G65" s="191">
        <v>2095</v>
      </c>
      <c r="H65" s="125">
        <f>ROUND(G65*Valores!$C$2,2)</f>
        <v>85228.37</v>
      </c>
      <c r="I65" s="191">
        <v>0</v>
      </c>
      <c r="J65" s="125">
        <f>ROUND(I65*Valores!$C$2,2)</f>
        <v>0</v>
      </c>
      <c r="K65" s="191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18463.39</v>
      </c>
      <c r="N65" s="125">
        <f t="shared" si="1"/>
        <v>0</v>
      </c>
      <c r="O65" s="125">
        <f>Valores!$C$9</f>
        <v>51121.66</v>
      </c>
      <c r="P65" s="125">
        <f>Valores!$D$5</f>
        <v>20796.54</v>
      </c>
      <c r="Q65" s="125">
        <f>Valores!$C$22</f>
        <v>18553.83</v>
      </c>
      <c r="R65" s="125">
        <f>IF($F$4="NO",Valores!$C$45,Valores!$C$45/2)</f>
        <v>15254.85</v>
      </c>
      <c r="S65" s="125">
        <f>Valores!$C$19</f>
        <v>19351.52</v>
      </c>
      <c r="T65" s="125">
        <f t="shared" si="7"/>
        <v>19351.52</v>
      </c>
      <c r="U65" s="125">
        <v>0</v>
      </c>
      <c r="V65" s="125">
        <v>0</v>
      </c>
      <c r="W65" s="191">
        <v>0</v>
      </c>
      <c r="X65" s="125">
        <f>ROUND(W65*Valores!$C$2,2)</f>
        <v>0</v>
      </c>
      <c r="Y65" s="125">
        <v>0</v>
      </c>
      <c r="Z65" s="125">
        <f>Valores!$C$95</f>
        <v>34173.77</v>
      </c>
      <c r="AA65" s="125">
        <f>Valores!$C$25</f>
        <v>850.59</v>
      </c>
      <c r="AB65" s="210">
        <v>0</v>
      </c>
      <c r="AC65" s="125">
        <f t="shared" si="2"/>
        <v>0</v>
      </c>
      <c r="AD65" s="125">
        <f>Valores!$C$26</f>
        <v>850.59</v>
      </c>
      <c r="AE65" s="191">
        <v>94</v>
      </c>
      <c r="AF65" s="125">
        <f>ROUND(AE65*Valores!$C$2,2)</f>
        <v>3824.09</v>
      </c>
      <c r="AG65" s="125">
        <f>ROUND(IF($F$4="NO",Valores!$C$63,Valores!$C$63/2),2)</f>
        <v>9724.47</v>
      </c>
      <c r="AH65" s="125">
        <f t="shared" si="5"/>
        <v>281448.2100000001</v>
      </c>
      <c r="AI65" s="125">
        <f>Valores!$C$31</f>
        <v>0</v>
      </c>
      <c r="AJ65" s="125">
        <f>Valores!$C$88</f>
        <v>0</v>
      </c>
      <c r="AK65" s="125">
        <f>Valores!C$38*B65</f>
        <v>0</v>
      </c>
      <c r="AL65" s="125">
        <f>IF($F$3="NO",0,Valores!$C$56)</f>
        <v>0</v>
      </c>
      <c r="AM65" s="125">
        <f t="shared" si="3"/>
        <v>0</v>
      </c>
      <c r="AN65" s="125">
        <f>AH65*Valores!$C$71</f>
        <v>-30959.30310000001</v>
      </c>
      <c r="AO65" s="125">
        <f>AH65*-Valores!$C$72</f>
        <v>0</v>
      </c>
      <c r="AP65" s="125">
        <f>AH65*Valores!$C$73</f>
        <v>-12665.169450000003</v>
      </c>
      <c r="AQ65" s="125">
        <f>Valores!$C$100</f>
        <v>-554.86</v>
      </c>
      <c r="AR65" s="125">
        <f>IF($F$5=0,Valores!$C$101,(Valores!$C$101+$F$5*(Valores!$C$101)))</f>
        <v>-550</v>
      </c>
      <c r="AS65" s="125">
        <f t="shared" si="6"/>
        <v>236718.87745000006</v>
      </c>
      <c r="AT65" s="125">
        <f t="shared" si="0"/>
        <v>-30959.30310000001</v>
      </c>
      <c r="AU65" s="125">
        <f>AH65*Valores!$C$74</f>
        <v>-7599.101670000002</v>
      </c>
      <c r="AV65" s="125">
        <f>AH65*Valores!$C$75</f>
        <v>-844.3446300000003</v>
      </c>
      <c r="AW65" s="125">
        <f t="shared" si="4"/>
        <v>242045.46060000008</v>
      </c>
      <c r="AX65" s="126"/>
      <c r="AY65" s="126">
        <v>25</v>
      </c>
      <c r="AZ65" s="123" t="s">
        <v>4</v>
      </c>
    </row>
    <row r="66" spans="1:52" s="110" customFormat="1" ht="11.25" customHeight="1">
      <c r="A66" s="123" t="s">
        <v>225</v>
      </c>
      <c r="B66" s="123">
        <v>1</v>
      </c>
      <c r="C66" s="126">
        <v>59</v>
      </c>
      <c r="D66" s="124" t="s">
        <v>226</v>
      </c>
      <c r="E66" s="191">
        <v>79</v>
      </c>
      <c r="F66" s="125">
        <f>ROUND(E66*Valores!$C$2,2)</f>
        <v>3213.86</v>
      </c>
      <c r="G66" s="191">
        <v>1944</v>
      </c>
      <c r="H66" s="125">
        <f>ROUND(G66*Valores!$C$2,2)</f>
        <v>79085.42</v>
      </c>
      <c r="I66" s="191">
        <v>0</v>
      </c>
      <c r="J66" s="125">
        <f>ROUND(I66*Valores!$C$2,2)</f>
        <v>0</v>
      </c>
      <c r="K66" s="191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17535.85</v>
      </c>
      <c r="N66" s="125">
        <f t="shared" si="1"/>
        <v>0</v>
      </c>
      <c r="O66" s="125">
        <f>Valores!$C$9</f>
        <v>51121.66</v>
      </c>
      <c r="P66" s="125">
        <f>Valores!$D$5</f>
        <v>20796.54</v>
      </c>
      <c r="Q66" s="125">
        <f>Valores!$C$22</f>
        <v>18553.83</v>
      </c>
      <c r="R66" s="125">
        <f>IF($F$4="NO",Valores!$C$45,Valores!$C$45/2)</f>
        <v>15254.85</v>
      </c>
      <c r="S66" s="125">
        <f>Valores!$C$19</f>
        <v>19351.52</v>
      </c>
      <c r="T66" s="125">
        <f t="shared" si="7"/>
        <v>19351.52</v>
      </c>
      <c r="U66" s="125">
        <v>0</v>
      </c>
      <c r="V66" s="125">
        <v>0</v>
      </c>
      <c r="W66" s="191">
        <v>0</v>
      </c>
      <c r="X66" s="125">
        <f>ROUND(W66*Valores!$C$2,2)</f>
        <v>0</v>
      </c>
      <c r="Y66" s="125">
        <v>0</v>
      </c>
      <c r="Z66" s="125">
        <f>Valores!$C$95</f>
        <v>34173.77</v>
      </c>
      <c r="AA66" s="125">
        <f>Valores!$C$25</f>
        <v>850.59</v>
      </c>
      <c r="AB66" s="210">
        <v>0</v>
      </c>
      <c r="AC66" s="125">
        <f t="shared" si="2"/>
        <v>0</v>
      </c>
      <c r="AD66" s="125">
        <f>Valores!$C$26</f>
        <v>850.59</v>
      </c>
      <c r="AE66" s="191">
        <v>0</v>
      </c>
      <c r="AF66" s="125">
        <f>ROUND(AE66*Valores!$C$2,2)</f>
        <v>0</v>
      </c>
      <c r="AG66" s="125">
        <f>ROUND(IF($F$4="NO",Valores!$C$63,Valores!$C$63/2),2)</f>
        <v>9724.47</v>
      </c>
      <c r="AH66" s="125">
        <f t="shared" si="5"/>
        <v>270512.95</v>
      </c>
      <c r="AI66" s="125">
        <f>Valores!$C$31</f>
        <v>0</v>
      </c>
      <c r="AJ66" s="125">
        <f>Valores!$C$88</f>
        <v>0</v>
      </c>
      <c r="AK66" s="125">
        <f>Valores!C$38*B66</f>
        <v>0</v>
      </c>
      <c r="AL66" s="125">
        <f>IF($F$3="NO",0,Valores!$C$56)</f>
        <v>0</v>
      </c>
      <c r="AM66" s="125">
        <f t="shared" si="3"/>
        <v>0</v>
      </c>
      <c r="AN66" s="125">
        <f>AH66*Valores!$C$71</f>
        <v>-29756.4245</v>
      </c>
      <c r="AO66" s="125">
        <f>AH66*-Valores!$C$72</f>
        <v>0</v>
      </c>
      <c r="AP66" s="125">
        <f>AH66*Valores!$C$73</f>
        <v>-12173.08275</v>
      </c>
      <c r="AQ66" s="125">
        <f>Valores!$C$100</f>
        <v>-554.86</v>
      </c>
      <c r="AR66" s="125">
        <f>IF($F$5=0,Valores!$C$101,(Valores!$C$101+$F$5*(Valores!$C$101)))</f>
        <v>-550</v>
      </c>
      <c r="AS66" s="125">
        <f t="shared" si="6"/>
        <v>227478.58275</v>
      </c>
      <c r="AT66" s="125">
        <f t="shared" si="0"/>
        <v>-29756.4245</v>
      </c>
      <c r="AU66" s="125">
        <f>AH66*Valores!$C$74</f>
        <v>-7303.84965</v>
      </c>
      <c r="AV66" s="125">
        <f>AH66*Valores!$C$75</f>
        <v>-811.53885</v>
      </c>
      <c r="AW66" s="125">
        <f t="shared" si="4"/>
        <v>232641.13700000002</v>
      </c>
      <c r="AX66" s="126"/>
      <c r="AY66" s="126">
        <v>30</v>
      </c>
      <c r="AZ66" s="123" t="s">
        <v>4</v>
      </c>
    </row>
    <row r="67" spans="1:52" s="110" customFormat="1" ht="11.25" customHeight="1">
      <c r="A67" s="123" t="s">
        <v>227</v>
      </c>
      <c r="B67" s="123">
        <v>1</v>
      </c>
      <c r="C67" s="126">
        <v>60</v>
      </c>
      <c r="D67" s="124" t="s">
        <v>228</v>
      </c>
      <c r="E67" s="191">
        <v>79</v>
      </c>
      <c r="F67" s="125">
        <f>ROUND(E67*Valores!$C$2,2)</f>
        <v>3213.86</v>
      </c>
      <c r="G67" s="191">
        <v>1944</v>
      </c>
      <c r="H67" s="125">
        <f>ROUND(G67*Valores!$C$2,2)</f>
        <v>79085.42</v>
      </c>
      <c r="I67" s="191">
        <v>0</v>
      </c>
      <c r="J67" s="125">
        <f>ROUND(I67*Valores!$C$2,2)</f>
        <v>0</v>
      </c>
      <c r="K67" s="191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17535.85</v>
      </c>
      <c r="N67" s="125">
        <f t="shared" si="1"/>
        <v>0</v>
      </c>
      <c r="O67" s="125">
        <f>Valores!$C$9</f>
        <v>51121.66</v>
      </c>
      <c r="P67" s="125">
        <f>Valores!$D$5</f>
        <v>20796.54</v>
      </c>
      <c r="Q67" s="125">
        <f>Valores!$C$22</f>
        <v>18553.83</v>
      </c>
      <c r="R67" s="125">
        <f>IF($F$4="NO",Valores!$C$45,Valores!$C$45/2)</f>
        <v>15254.85</v>
      </c>
      <c r="S67" s="125">
        <f>Valores!$C$19</f>
        <v>19351.52</v>
      </c>
      <c r="T67" s="125">
        <f t="shared" si="7"/>
        <v>19351.52</v>
      </c>
      <c r="U67" s="125">
        <v>0</v>
      </c>
      <c r="V67" s="125">
        <v>0</v>
      </c>
      <c r="W67" s="191">
        <v>0</v>
      </c>
      <c r="X67" s="125">
        <f>ROUND(W67*Valores!$C$2,2)</f>
        <v>0</v>
      </c>
      <c r="Y67" s="125">
        <v>0</v>
      </c>
      <c r="Z67" s="125">
        <f>Valores!$C$95</f>
        <v>34173.77</v>
      </c>
      <c r="AA67" s="125">
        <f>Valores!$C$25</f>
        <v>850.59</v>
      </c>
      <c r="AB67" s="210">
        <v>0</v>
      </c>
      <c r="AC67" s="125">
        <f t="shared" si="2"/>
        <v>0</v>
      </c>
      <c r="AD67" s="125">
        <f>Valores!$C$26</f>
        <v>850.59</v>
      </c>
      <c r="AE67" s="191">
        <v>94</v>
      </c>
      <c r="AF67" s="125">
        <f>ROUND(AE67*Valores!$C$2,2)</f>
        <v>3824.09</v>
      </c>
      <c r="AG67" s="125">
        <f>ROUND(IF($F$4="NO",Valores!$C$63,Valores!$C$63/2),2)</f>
        <v>9724.47</v>
      </c>
      <c r="AH67" s="125">
        <f t="shared" si="5"/>
        <v>274337.04</v>
      </c>
      <c r="AI67" s="125">
        <f>Valores!$C$31</f>
        <v>0</v>
      </c>
      <c r="AJ67" s="125">
        <f>Valores!$C$88</f>
        <v>0</v>
      </c>
      <c r="AK67" s="125">
        <f>Valores!C$38*B67</f>
        <v>0</v>
      </c>
      <c r="AL67" s="125">
        <f>IF($F$3="NO",0,Valores!$C$56)</f>
        <v>0</v>
      </c>
      <c r="AM67" s="125">
        <f t="shared" si="3"/>
        <v>0</v>
      </c>
      <c r="AN67" s="125">
        <f>AH67*Valores!$C$71</f>
        <v>-30177.074399999998</v>
      </c>
      <c r="AO67" s="125">
        <f>AH67*-Valores!$C$72</f>
        <v>0</v>
      </c>
      <c r="AP67" s="125">
        <f>AH67*Valores!$C$73</f>
        <v>-12345.166799999999</v>
      </c>
      <c r="AQ67" s="125">
        <f>Valores!$C$100</f>
        <v>-554.86</v>
      </c>
      <c r="AR67" s="125">
        <f>IF($F$5=0,Valores!$C$101,(Valores!$C$101+$F$5*(Valores!$C$101)))</f>
        <v>-550</v>
      </c>
      <c r="AS67" s="125">
        <f t="shared" si="6"/>
        <v>230709.93879999997</v>
      </c>
      <c r="AT67" s="125">
        <f t="shared" si="0"/>
        <v>-30177.074399999998</v>
      </c>
      <c r="AU67" s="125">
        <f>AH67*Valores!$C$74</f>
        <v>-7407.100079999999</v>
      </c>
      <c r="AV67" s="125">
        <f>AH67*Valores!$C$75</f>
        <v>-823.01112</v>
      </c>
      <c r="AW67" s="125">
        <f t="shared" si="4"/>
        <v>235929.85439999998</v>
      </c>
      <c r="AX67" s="126"/>
      <c r="AY67" s="126">
        <v>25</v>
      </c>
      <c r="AZ67" s="123" t="s">
        <v>8</v>
      </c>
    </row>
    <row r="68" spans="1:52" s="110" customFormat="1" ht="11.25" customHeight="1">
      <c r="A68" s="123" t="s">
        <v>229</v>
      </c>
      <c r="B68" s="123">
        <v>1</v>
      </c>
      <c r="C68" s="126">
        <v>61</v>
      </c>
      <c r="D68" s="124" t="s">
        <v>230</v>
      </c>
      <c r="E68" s="191">
        <v>100</v>
      </c>
      <c r="F68" s="125">
        <f>ROUND(E68*Valores!$C$2,2)</f>
        <v>4068.18</v>
      </c>
      <c r="G68" s="191">
        <v>2864</v>
      </c>
      <c r="H68" s="125">
        <f>ROUND(G68*Valores!$C$2,2)</f>
        <v>116512.68</v>
      </c>
      <c r="I68" s="191">
        <v>0</v>
      </c>
      <c r="J68" s="125">
        <f>ROUND(I68*Valores!$C$2,2)</f>
        <v>0</v>
      </c>
      <c r="K68" s="191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23156.93</v>
      </c>
      <c r="N68" s="125">
        <f t="shared" si="1"/>
        <v>0</v>
      </c>
      <c r="O68" s="125">
        <f>Valores!$C$9</f>
        <v>51121.66</v>
      </c>
      <c r="P68" s="125">
        <f>Valores!$D$5</f>
        <v>20796.54</v>
      </c>
      <c r="Q68" s="125">
        <v>0</v>
      </c>
      <c r="R68" s="125">
        <f>IF($F$4="NO",Valores!$C$44,Valores!$C$44/2)</f>
        <v>14447.16</v>
      </c>
      <c r="S68" s="125">
        <f>Valores!$C$19</f>
        <v>19351.52</v>
      </c>
      <c r="T68" s="125">
        <f t="shared" si="7"/>
        <v>19351.52</v>
      </c>
      <c r="U68" s="125">
        <v>0</v>
      </c>
      <c r="V68" s="125">
        <v>0</v>
      </c>
      <c r="W68" s="191">
        <v>0</v>
      </c>
      <c r="X68" s="125">
        <f>ROUND(W68*Valores!$C$2,2)</f>
        <v>0</v>
      </c>
      <c r="Y68" s="125">
        <v>0</v>
      </c>
      <c r="Z68" s="125">
        <f>Valores!$C$94</f>
        <v>28478.14</v>
      </c>
      <c r="AA68" s="125">
        <f>Valores!$C$25</f>
        <v>850.59</v>
      </c>
      <c r="AB68" s="210">
        <v>0</v>
      </c>
      <c r="AC68" s="125">
        <f t="shared" si="2"/>
        <v>0</v>
      </c>
      <c r="AD68" s="125">
        <f>Valores!$C$26</f>
        <v>850.59</v>
      </c>
      <c r="AE68" s="191">
        <v>0</v>
      </c>
      <c r="AF68" s="125">
        <f>ROUND(AE68*Valores!$C$2,2)</f>
        <v>0</v>
      </c>
      <c r="AG68" s="125">
        <f>ROUND(IF($F$4="NO",Valores!$C$63,Valores!$C$63/2),2)</f>
        <v>9724.47</v>
      </c>
      <c r="AH68" s="125">
        <f t="shared" si="5"/>
        <v>289358.46</v>
      </c>
      <c r="AI68" s="125">
        <f>Valores!$C$31</f>
        <v>0</v>
      </c>
      <c r="AJ68" s="125">
        <f>Valores!$C$87</f>
        <v>0</v>
      </c>
      <c r="AK68" s="125">
        <f>Valores!C$38*B68</f>
        <v>0</v>
      </c>
      <c r="AL68" s="125">
        <f>IF($F$3="NO",0,Valores!$C$55)</f>
        <v>0</v>
      </c>
      <c r="AM68" s="125">
        <f t="shared" si="3"/>
        <v>0</v>
      </c>
      <c r="AN68" s="125">
        <f>AH68*Valores!$C$71</f>
        <v>-31829.430600000003</v>
      </c>
      <c r="AO68" s="125">
        <f>AH68*-Valores!$C$72</f>
        <v>0</v>
      </c>
      <c r="AP68" s="125">
        <f>AH68*Valores!$C$73</f>
        <v>-13021.1307</v>
      </c>
      <c r="AQ68" s="125">
        <f>Valores!$C$100</f>
        <v>-554.86</v>
      </c>
      <c r="AR68" s="125">
        <f>IF($F$5=0,Valores!$C$101,(Valores!$C$101+$F$5*(Valores!$C$101)))</f>
        <v>-550</v>
      </c>
      <c r="AS68" s="125">
        <f t="shared" si="6"/>
        <v>243403.03870000003</v>
      </c>
      <c r="AT68" s="125">
        <f t="shared" si="0"/>
        <v>-31829.430600000003</v>
      </c>
      <c r="AU68" s="125">
        <f>AH68*Valores!$C$74</f>
        <v>-7812.67842</v>
      </c>
      <c r="AV68" s="125">
        <f>AH68*Valores!$C$75</f>
        <v>-868.0753800000001</v>
      </c>
      <c r="AW68" s="125">
        <f t="shared" si="4"/>
        <v>248848.27560000002</v>
      </c>
      <c r="AX68" s="126"/>
      <c r="AY68" s="126"/>
      <c r="AZ68" s="123" t="s">
        <v>4</v>
      </c>
    </row>
    <row r="69" spans="1:52" s="110" customFormat="1" ht="11.25" customHeight="1">
      <c r="A69" s="123" t="s">
        <v>231</v>
      </c>
      <c r="B69" s="123">
        <v>1</v>
      </c>
      <c r="C69" s="126">
        <v>62</v>
      </c>
      <c r="D69" s="124" t="s">
        <v>232</v>
      </c>
      <c r="E69" s="191">
        <v>79</v>
      </c>
      <c r="F69" s="125">
        <f>ROUND(E69*Valores!$C$2,2)</f>
        <v>3213.86</v>
      </c>
      <c r="G69" s="191">
        <v>2161</v>
      </c>
      <c r="H69" s="125">
        <f>ROUND(G69*Valores!$C$2,2)</f>
        <v>87913.37</v>
      </c>
      <c r="I69" s="191">
        <v>0</v>
      </c>
      <c r="J69" s="125">
        <f>ROUND(I69*Valores!$C$2,2)</f>
        <v>0</v>
      </c>
      <c r="K69" s="191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18860.04</v>
      </c>
      <c r="N69" s="125">
        <f t="shared" si="1"/>
        <v>0</v>
      </c>
      <c r="O69" s="125">
        <f>Valores!$C$9</f>
        <v>51121.66</v>
      </c>
      <c r="P69" s="125">
        <f>Valores!$D$5</f>
        <v>20796.54</v>
      </c>
      <c r="Q69" s="125">
        <f>Valores!$C$22</f>
        <v>18553.83</v>
      </c>
      <c r="R69" s="125">
        <f>IF($F$4="NO",Valores!$C$45,Valores!$C$45/2)</f>
        <v>15254.85</v>
      </c>
      <c r="S69" s="125">
        <f>Valores!$C$19</f>
        <v>19351.52</v>
      </c>
      <c r="T69" s="125">
        <f t="shared" si="7"/>
        <v>19351.52</v>
      </c>
      <c r="U69" s="125">
        <v>0</v>
      </c>
      <c r="V69" s="125">
        <v>0</v>
      </c>
      <c r="W69" s="191">
        <v>0</v>
      </c>
      <c r="X69" s="125">
        <f>ROUND(W69*Valores!$C$2,2)</f>
        <v>0</v>
      </c>
      <c r="Y69" s="125">
        <v>0</v>
      </c>
      <c r="Z69" s="125">
        <f>Valores!$C$95</f>
        <v>34173.77</v>
      </c>
      <c r="AA69" s="125">
        <f>Valores!$C$25</f>
        <v>850.59</v>
      </c>
      <c r="AB69" s="210">
        <v>0</v>
      </c>
      <c r="AC69" s="125">
        <f t="shared" si="2"/>
        <v>0</v>
      </c>
      <c r="AD69" s="125">
        <f>Valores!$C$26</f>
        <v>850.59</v>
      </c>
      <c r="AE69" s="191">
        <v>0</v>
      </c>
      <c r="AF69" s="125">
        <f>ROUND(AE69*Valores!$C$2,2)</f>
        <v>0</v>
      </c>
      <c r="AG69" s="125">
        <f>ROUND(IF($F$4="NO",Valores!$C$63,Valores!$C$63/2),2)</f>
        <v>9724.47</v>
      </c>
      <c r="AH69" s="125">
        <f t="shared" si="5"/>
        <v>280665.09</v>
      </c>
      <c r="AI69" s="125">
        <f>Valores!$C$31</f>
        <v>0</v>
      </c>
      <c r="AJ69" s="125">
        <f>Valores!$C$88</f>
        <v>0</v>
      </c>
      <c r="AK69" s="125">
        <f>Valores!C$38*B69</f>
        <v>0</v>
      </c>
      <c r="AL69" s="125">
        <f>IF($F$3="NO",0,Valores!$C$56)</f>
        <v>0</v>
      </c>
      <c r="AM69" s="125">
        <f t="shared" si="3"/>
        <v>0</v>
      </c>
      <c r="AN69" s="125">
        <f>AH69*Valores!$C$71</f>
        <v>-30873.159900000002</v>
      </c>
      <c r="AO69" s="125">
        <f>AH69*-Valores!$C$72</f>
        <v>0</v>
      </c>
      <c r="AP69" s="125">
        <f>AH69*Valores!$C$73</f>
        <v>-12629.92905</v>
      </c>
      <c r="AQ69" s="125">
        <f>Valores!$C$100</f>
        <v>-554.86</v>
      </c>
      <c r="AR69" s="125">
        <f>IF($F$5=0,Valores!$C$101,(Valores!$C$101+$F$5*(Valores!$C$101)))</f>
        <v>-550</v>
      </c>
      <c r="AS69" s="125">
        <f t="shared" si="6"/>
        <v>236057.14105000003</v>
      </c>
      <c r="AT69" s="125">
        <f t="shared" si="0"/>
        <v>-30873.159900000002</v>
      </c>
      <c r="AU69" s="125">
        <f>AH69*Valores!$C$74</f>
        <v>-7577.95743</v>
      </c>
      <c r="AV69" s="125">
        <f>AH69*Valores!$C$75</f>
        <v>-841.9952700000001</v>
      </c>
      <c r="AW69" s="125">
        <f t="shared" si="4"/>
        <v>241371.97740000003</v>
      </c>
      <c r="AX69" s="126"/>
      <c r="AY69" s="126">
        <v>30</v>
      </c>
      <c r="AZ69" s="123" t="s">
        <v>4</v>
      </c>
    </row>
    <row r="70" spans="1:52" s="110" customFormat="1" ht="11.25" customHeight="1">
      <c r="A70" s="123" t="s">
        <v>233</v>
      </c>
      <c r="B70" s="123">
        <v>1</v>
      </c>
      <c r="C70" s="126">
        <v>63</v>
      </c>
      <c r="D70" s="124" t="s">
        <v>234</v>
      </c>
      <c r="E70" s="191">
        <v>90</v>
      </c>
      <c r="F70" s="125">
        <f>ROUND(E70*Valores!$C$2,2)</f>
        <v>3661.36</v>
      </c>
      <c r="G70" s="191">
        <v>3010</v>
      </c>
      <c r="H70" s="125">
        <f>ROUND(G70*Valores!$C$2,2)</f>
        <v>122452.22</v>
      </c>
      <c r="I70" s="191">
        <v>0</v>
      </c>
      <c r="J70" s="125">
        <f>ROUND(I70*Valores!$C$2,2)</f>
        <v>0</v>
      </c>
      <c r="K70" s="191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24596.27</v>
      </c>
      <c r="N70" s="125">
        <f t="shared" si="1"/>
        <v>0</v>
      </c>
      <c r="O70" s="125">
        <f>Valores!$C$9</f>
        <v>51121.66</v>
      </c>
      <c r="P70" s="125">
        <f>Valores!$D$5</f>
        <v>20796.54</v>
      </c>
      <c r="Q70" s="125">
        <f>Valores!$C$22</f>
        <v>18553.83</v>
      </c>
      <c r="R70" s="125">
        <f>IF($F$4="NO",Valores!$C$48,Valores!$C$48/2)</f>
        <v>18510.02</v>
      </c>
      <c r="S70" s="125">
        <f>Valores!$C$19</f>
        <v>19351.52</v>
      </c>
      <c r="T70" s="125">
        <f t="shared" si="7"/>
        <v>19351.52</v>
      </c>
      <c r="U70" s="125">
        <v>0</v>
      </c>
      <c r="V70" s="125">
        <v>0</v>
      </c>
      <c r="W70" s="191">
        <v>0</v>
      </c>
      <c r="X70" s="125">
        <f>ROUND(W70*Valores!$C$2,2)</f>
        <v>0</v>
      </c>
      <c r="Y70" s="125">
        <v>0</v>
      </c>
      <c r="Z70" s="125">
        <f>Valores!$C$95</f>
        <v>34173.77</v>
      </c>
      <c r="AA70" s="125">
        <f>Valores!$C$25</f>
        <v>850.59</v>
      </c>
      <c r="AB70" s="210">
        <v>0</v>
      </c>
      <c r="AC70" s="125">
        <f t="shared" si="2"/>
        <v>0</v>
      </c>
      <c r="AD70" s="125">
        <f>Valores!$C$26</f>
        <v>850.59</v>
      </c>
      <c r="AE70" s="191">
        <v>0</v>
      </c>
      <c r="AF70" s="125">
        <f>ROUND(AE70*Valores!$C$2,2)</f>
        <v>0</v>
      </c>
      <c r="AG70" s="125">
        <f>ROUND(IF($F$4="NO",Valores!$C$63,Valores!$C$63/2),2)</f>
        <v>9724.47</v>
      </c>
      <c r="AH70" s="125">
        <f t="shared" si="5"/>
        <v>324642.84</v>
      </c>
      <c r="AI70" s="125">
        <f>Valores!$C$31</f>
        <v>0</v>
      </c>
      <c r="AJ70" s="125">
        <f>Valores!$C$88</f>
        <v>0</v>
      </c>
      <c r="AK70" s="125">
        <f>Valores!C$38*B70</f>
        <v>0</v>
      </c>
      <c r="AL70" s="125">
        <f>IF($F$3="NO",0,Valores!$C$56)</f>
        <v>0</v>
      </c>
      <c r="AM70" s="125">
        <f t="shared" si="3"/>
        <v>0</v>
      </c>
      <c r="AN70" s="125">
        <f>AH70*Valores!$C$71</f>
        <v>-35710.712400000004</v>
      </c>
      <c r="AO70" s="125">
        <f>AH70*-Valores!$C$72</f>
        <v>0</v>
      </c>
      <c r="AP70" s="125">
        <f>AH70*Valores!$C$73</f>
        <v>-14608.927800000001</v>
      </c>
      <c r="AQ70" s="125">
        <f>Valores!$C$100</f>
        <v>-554.86</v>
      </c>
      <c r="AR70" s="125">
        <f>IF($F$5=0,Valores!$C$101,(Valores!$C$101+$F$5*(Valores!$C$101)))</f>
        <v>-550</v>
      </c>
      <c r="AS70" s="125">
        <f t="shared" si="6"/>
        <v>273218.3398</v>
      </c>
      <c r="AT70" s="125">
        <f t="shared" si="0"/>
        <v>-35710.712400000004</v>
      </c>
      <c r="AU70" s="125">
        <f>AH70*Valores!$C$74</f>
        <v>-8765.35668</v>
      </c>
      <c r="AV70" s="125">
        <f>AH70*Valores!$C$75</f>
        <v>-973.92852</v>
      </c>
      <c r="AW70" s="125">
        <f t="shared" si="4"/>
        <v>279192.8424</v>
      </c>
      <c r="AX70" s="126"/>
      <c r="AY70" s="126"/>
      <c r="AZ70" s="123" t="s">
        <v>4</v>
      </c>
    </row>
    <row r="71" spans="1:52" s="110" customFormat="1" ht="11.25" customHeight="1">
      <c r="A71" s="123" t="s">
        <v>235</v>
      </c>
      <c r="B71" s="123">
        <v>1</v>
      </c>
      <c r="C71" s="126">
        <v>64</v>
      </c>
      <c r="D71" s="124" t="s">
        <v>236</v>
      </c>
      <c r="E71" s="191">
        <v>78</v>
      </c>
      <c r="F71" s="125">
        <f>ROUND(E71*Valores!$C$2,2)</f>
        <v>3173.18</v>
      </c>
      <c r="G71" s="191">
        <v>2162</v>
      </c>
      <c r="H71" s="125">
        <f>ROUND(G71*Valores!$C$2,2)</f>
        <v>87954.05</v>
      </c>
      <c r="I71" s="191">
        <v>0</v>
      </c>
      <c r="J71" s="125">
        <f>ROUND(I71*Valores!$C$2,2)</f>
        <v>0</v>
      </c>
      <c r="K71" s="191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18860.04</v>
      </c>
      <c r="N71" s="125">
        <f t="shared" si="1"/>
        <v>0</v>
      </c>
      <c r="O71" s="125">
        <f>Valores!$C$9</f>
        <v>51121.66</v>
      </c>
      <c r="P71" s="125">
        <f>Valores!$D$5</f>
        <v>20796.54</v>
      </c>
      <c r="Q71" s="125">
        <f>Valores!$C$22</f>
        <v>18553.83</v>
      </c>
      <c r="R71" s="125">
        <f>IF($F$4="NO",Valores!$C$45,Valores!$C$45/2)</f>
        <v>15254.85</v>
      </c>
      <c r="S71" s="125">
        <f>Valores!$C$19</f>
        <v>19351.52</v>
      </c>
      <c r="T71" s="125">
        <f t="shared" si="7"/>
        <v>19351.52</v>
      </c>
      <c r="U71" s="125">
        <v>0</v>
      </c>
      <c r="V71" s="125">
        <v>0</v>
      </c>
      <c r="W71" s="191">
        <v>0</v>
      </c>
      <c r="X71" s="125">
        <f>ROUND(W71*Valores!$C$2,2)</f>
        <v>0</v>
      </c>
      <c r="Y71" s="125">
        <v>0</v>
      </c>
      <c r="Z71" s="125">
        <f>Valores!$C$95</f>
        <v>34173.77</v>
      </c>
      <c r="AA71" s="125">
        <f>Valores!$C$25</f>
        <v>850.59</v>
      </c>
      <c r="AB71" s="210">
        <v>0</v>
      </c>
      <c r="AC71" s="125">
        <f t="shared" si="2"/>
        <v>0</v>
      </c>
      <c r="AD71" s="125">
        <f>Valores!$C$26</f>
        <v>850.59</v>
      </c>
      <c r="AE71" s="191">
        <v>0</v>
      </c>
      <c r="AF71" s="125">
        <f>ROUND(AE71*Valores!$C$2,2)</f>
        <v>0</v>
      </c>
      <c r="AG71" s="125">
        <f>ROUND(IF($F$4="NO",Valores!$C$63,Valores!$C$63/2),2)</f>
        <v>9724.47</v>
      </c>
      <c r="AH71" s="125">
        <f t="shared" si="5"/>
        <v>280665.09</v>
      </c>
      <c r="AI71" s="125">
        <f>Valores!$C$31</f>
        <v>0</v>
      </c>
      <c r="AJ71" s="125">
        <f>Valores!$C$88</f>
        <v>0</v>
      </c>
      <c r="AK71" s="125">
        <f>Valores!C$38*B71</f>
        <v>0</v>
      </c>
      <c r="AL71" s="125">
        <f>IF($F$3="NO",0,Valores!$C$56)</f>
        <v>0</v>
      </c>
      <c r="AM71" s="125">
        <f t="shared" si="3"/>
        <v>0</v>
      </c>
      <c r="AN71" s="125">
        <f>AH71*Valores!$C$71</f>
        <v>-30873.159900000002</v>
      </c>
      <c r="AO71" s="125">
        <f>AH71*-Valores!$C$72</f>
        <v>0</v>
      </c>
      <c r="AP71" s="125">
        <f>AH71*Valores!$C$73</f>
        <v>-12629.92905</v>
      </c>
      <c r="AQ71" s="125">
        <f>Valores!$C$100</f>
        <v>-554.86</v>
      </c>
      <c r="AR71" s="125">
        <f>IF($F$5=0,Valores!$C$101,(Valores!$C$101+$F$5*(Valores!$C$101)))</f>
        <v>-550</v>
      </c>
      <c r="AS71" s="125">
        <f t="shared" si="6"/>
        <v>236057.14105000003</v>
      </c>
      <c r="AT71" s="125">
        <f aca="true" t="shared" si="10" ref="AT71:AT133">AN71</f>
        <v>-30873.159900000002</v>
      </c>
      <c r="AU71" s="125">
        <f>AH71*Valores!$C$74</f>
        <v>-7577.95743</v>
      </c>
      <c r="AV71" s="125">
        <f>AH71*Valores!$C$75</f>
        <v>-841.9952700000001</v>
      </c>
      <c r="AW71" s="125">
        <f t="shared" si="4"/>
        <v>241371.97740000003</v>
      </c>
      <c r="AX71" s="126"/>
      <c r="AY71" s="126">
        <v>25</v>
      </c>
      <c r="AZ71" s="123" t="s">
        <v>4</v>
      </c>
    </row>
    <row r="72" spans="1:52" s="110" customFormat="1" ht="11.25" customHeight="1">
      <c r="A72" s="123" t="s">
        <v>237</v>
      </c>
      <c r="B72" s="123">
        <v>1</v>
      </c>
      <c r="C72" s="126">
        <v>65</v>
      </c>
      <c r="D72" s="124" t="s">
        <v>238</v>
      </c>
      <c r="E72" s="191">
        <v>90</v>
      </c>
      <c r="F72" s="125">
        <f>ROUND(E72*Valores!$C$2,2)</f>
        <v>3661.36</v>
      </c>
      <c r="G72" s="191">
        <v>2800</v>
      </c>
      <c r="H72" s="125">
        <f>ROUND(G72*Valores!$C$2,2)</f>
        <v>113909.04</v>
      </c>
      <c r="I72" s="191">
        <v>0</v>
      </c>
      <c r="J72" s="125">
        <f>ROUND(I72*Valores!$C$2,2)</f>
        <v>0</v>
      </c>
      <c r="K72" s="191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23314.79</v>
      </c>
      <c r="N72" s="125">
        <f aca="true" t="shared" si="11" ref="N72:N135">ROUND(SUM(F72,H72,J72,L72,X72,R72)*$H$2,2)</f>
        <v>0</v>
      </c>
      <c r="O72" s="125">
        <f>Valores!$C$9</f>
        <v>51121.66</v>
      </c>
      <c r="P72" s="125">
        <f>Valores!$D$5</f>
        <v>20796.54</v>
      </c>
      <c r="Q72" s="125">
        <v>0</v>
      </c>
      <c r="R72" s="125">
        <f>IF($F$4="NO",Valores!$C$48,Valores!$C$48/2)</f>
        <v>18510.02</v>
      </c>
      <c r="S72" s="125">
        <f>Valores!$C$19</f>
        <v>19351.52</v>
      </c>
      <c r="T72" s="125">
        <f t="shared" si="7"/>
        <v>19351.52</v>
      </c>
      <c r="U72" s="125">
        <v>0</v>
      </c>
      <c r="V72" s="125">
        <v>0</v>
      </c>
      <c r="W72" s="191">
        <v>0</v>
      </c>
      <c r="X72" s="125">
        <f>ROUND(W72*Valores!$C$2,2)</f>
        <v>0</v>
      </c>
      <c r="Y72" s="125">
        <v>0</v>
      </c>
      <c r="Z72" s="125">
        <f>Valores!$C$95</f>
        <v>34173.77</v>
      </c>
      <c r="AA72" s="125">
        <f>Valores!$C$25</f>
        <v>850.59</v>
      </c>
      <c r="AB72" s="210">
        <v>0</v>
      </c>
      <c r="AC72" s="125">
        <f aca="true" t="shared" si="12" ref="AC72:AC135">ROUND(SUM(F72,H72,J72,X72,R72)*AB72,2)</f>
        <v>0</v>
      </c>
      <c r="AD72" s="125">
        <f>Valores!$C$26</f>
        <v>850.59</v>
      </c>
      <c r="AE72" s="191">
        <v>0</v>
      </c>
      <c r="AF72" s="125">
        <f>ROUND(AE72*Valores!$C$2,2)</f>
        <v>0</v>
      </c>
      <c r="AG72" s="125">
        <f>ROUND(IF($F$4="NO",Valores!$C$63,Valores!$C$63/2),2)</f>
        <v>9724.47</v>
      </c>
      <c r="AH72" s="125">
        <f t="shared" si="5"/>
        <v>296264.35000000003</v>
      </c>
      <c r="AI72" s="125">
        <f>Valores!$C$31</f>
        <v>0</v>
      </c>
      <c r="AJ72" s="125">
        <f>Valores!$C$88</f>
        <v>0</v>
      </c>
      <c r="AK72" s="125">
        <f>Valores!C$38*B72</f>
        <v>0</v>
      </c>
      <c r="AL72" s="125">
        <f>IF($F$3="NO",0,Valores!$C$56)</f>
        <v>0</v>
      </c>
      <c r="AM72" s="125">
        <f aca="true" t="shared" si="13" ref="AM72:AM135">SUM(AI72:AL72)</f>
        <v>0</v>
      </c>
      <c r="AN72" s="125">
        <f>AH72*Valores!$C$71</f>
        <v>-32589.078500000003</v>
      </c>
      <c r="AO72" s="125">
        <f>AH72*-Valores!$C$72</f>
        <v>0</v>
      </c>
      <c r="AP72" s="125">
        <f>AH72*Valores!$C$73</f>
        <v>-13331.895750000001</v>
      </c>
      <c r="AQ72" s="125">
        <f>Valores!$C$100</f>
        <v>-554.86</v>
      </c>
      <c r="AR72" s="125">
        <f>IF($F$5=0,Valores!$C$101,(Valores!$C$101+$F$5*(Valores!$C$101)))</f>
        <v>-550</v>
      </c>
      <c r="AS72" s="125">
        <f t="shared" si="6"/>
        <v>249238.51575000002</v>
      </c>
      <c r="AT72" s="125">
        <f t="shared" si="10"/>
        <v>-32589.078500000003</v>
      </c>
      <c r="AU72" s="125">
        <f>AH72*Valores!$C$74</f>
        <v>-7999.137450000001</v>
      </c>
      <c r="AV72" s="125">
        <f>AH72*Valores!$C$75</f>
        <v>-888.7930500000001</v>
      </c>
      <c r="AW72" s="125">
        <f aca="true" t="shared" si="14" ref="AW72:AW135">AH72+AM72+SUM(AT72:AV72)</f>
        <v>254787.34100000001</v>
      </c>
      <c r="AX72" s="126"/>
      <c r="AY72" s="126"/>
      <c r="AZ72" s="123" t="s">
        <v>8</v>
      </c>
    </row>
    <row r="73" spans="1:52" s="110" customFormat="1" ht="11.25" customHeight="1">
      <c r="A73" s="123" t="s">
        <v>239</v>
      </c>
      <c r="B73" s="123">
        <v>1</v>
      </c>
      <c r="C73" s="126">
        <v>66</v>
      </c>
      <c r="D73" s="124" t="s">
        <v>240</v>
      </c>
      <c r="E73" s="191">
        <v>79</v>
      </c>
      <c r="F73" s="125">
        <f>ROUND(E73*Valores!$C$2,2)</f>
        <v>3213.86</v>
      </c>
      <c r="G73" s="191">
        <v>2161</v>
      </c>
      <c r="H73" s="125">
        <f>ROUND(G73*Valores!$C$2,2)</f>
        <v>87913.37</v>
      </c>
      <c r="I73" s="191">
        <v>0</v>
      </c>
      <c r="J73" s="125">
        <f>ROUND(I73*Valores!$C$2,2)</f>
        <v>0</v>
      </c>
      <c r="K73" s="191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18860.04</v>
      </c>
      <c r="N73" s="125">
        <f t="shared" si="11"/>
        <v>0</v>
      </c>
      <c r="O73" s="125">
        <f>Valores!$C$9</f>
        <v>51121.66</v>
      </c>
      <c r="P73" s="125">
        <f>Valores!$D$5</f>
        <v>20796.54</v>
      </c>
      <c r="Q73" s="125">
        <f>Valores!$C$22</f>
        <v>18553.83</v>
      </c>
      <c r="R73" s="125">
        <f>IF($F$4="NO",Valores!$C$45,Valores!$C$45/2)</f>
        <v>15254.85</v>
      </c>
      <c r="S73" s="125">
        <f>Valores!$C$19</f>
        <v>19351.52</v>
      </c>
      <c r="T73" s="125">
        <f t="shared" si="7"/>
        <v>19351.52</v>
      </c>
      <c r="U73" s="125">
        <v>0</v>
      </c>
      <c r="V73" s="125">
        <v>0</v>
      </c>
      <c r="W73" s="191">
        <v>0</v>
      </c>
      <c r="X73" s="125">
        <f>ROUND(W73*Valores!$C$2,2)</f>
        <v>0</v>
      </c>
      <c r="Y73" s="125">
        <v>0</v>
      </c>
      <c r="Z73" s="125">
        <f>Valores!$C$95</f>
        <v>34173.77</v>
      </c>
      <c r="AA73" s="125">
        <f>Valores!$C$25</f>
        <v>850.59</v>
      </c>
      <c r="AB73" s="210">
        <v>0</v>
      </c>
      <c r="AC73" s="125">
        <f t="shared" si="12"/>
        <v>0</v>
      </c>
      <c r="AD73" s="125">
        <f>Valores!$C$26</f>
        <v>850.59</v>
      </c>
      <c r="AE73" s="191">
        <v>0</v>
      </c>
      <c r="AF73" s="125">
        <f>ROUND(AE73*Valores!$C$2,2)</f>
        <v>0</v>
      </c>
      <c r="AG73" s="125">
        <f>ROUND(IF($F$4="NO",Valores!$C$63,Valores!$C$63/2),2)</f>
        <v>9724.47</v>
      </c>
      <c r="AH73" s="125">
        <f aca="true" t="shared" si="15" ref="AH73:AH136">SUM(F73,H73,J73,L73,M73,N73,O73,P73,Q73,R73,T73,U73,V73,X73,Y73,Z73,AA73,AC73,AD73,AF73,AG73)</f>
        <v>280665.09</v>
      </c>
      <c r="AI73" s="125">
        <f>Valores!$C$31</f>
        <v>0</v>
      </c>
      <c r="AJ73" s="125">
        <f>Valores!$C$88</f>
        <v>0</v>
      </c>
      <c r="AK73" s="125">
        <f>Valores!C$38*B73</f>
        <v>0</v>
      </c>
      <c r="AL73" s="125">
        <f>IF($F$3="NO",0,Valores!$C$56)</f>
        <v>0</v>
      </c>
      <c r="AM73" s="125">
        <f t="shared" si="13"/>
        <v>0</v>
      </c>
      <c r="AN73" s="125">
        <f>AH73*Valores!$C$71</f>
        <v>-30873.159900000002</v>
      </c>
      <c r="AO73" s="125">
        <f>AH73*-Valores!$C$72</f>
        <v>0</v>
      </c>
      <c r="AP73" s="125">
        <f>AH73*Valores!$C$73</f>
        <v>-12629.92905</v>
      </c>
      <c r="AQ73" s="125">
        <f>Valores!$C$100</f>
        <v>-554.86</v>
      </c>
      <c r="AR73" s="125">
        <f>IF($F$5=0,Valores!$C$101,(Valores!$C$101+$F$5*(Valores!$C$101)))</f>
        <v>-550</v>
      </c>
      <c r="AS73" s="125">
        <f aca="true" t="shared" si="16" ref="AS73:AS136">AH73+SUM(AM73:AR73)</f>
        <v>236057.14105000003</v>
      </c>
      <c r="AT73" s="125">
        <f t="shared" si="10"/>
        <v>-30873.159900000002</v>
      </c>
      <c r="AU73" s="125">
        <f>AH73*Valores!$C$74</f>
        <v>-7577.95743</v>
      </c>
      <c r="AV73" s="125">
        <f>AH73*Valores!$C$75</f>
        <v>-841.9952700000001</v>
      </c>
      <c r="AW73" s="125">
        <f t="shared" si="14"/>
        <v>241371.97740000003</v>
      </c>
      <c r="AX73" s="126"/>
      <c r="AY73" s="126">
        <v>30</v>
      </c>
      <c r="AZ73" s="123" t="s">
        <v>4</v>
      </c>
    </row>
    <row r="74" spans="1:52" s="110" customFormat="1" ht="11.25" customHeight="1">
      <c r="A74" s="123" t="s">
        <v>241</v>
      </c>
      <c r="B74" s="123">
        <v>1</v>
      </c>
      <c r="C74" s="126">
        <v>67</v>
      </c>
      <c r="D74" s="124" t="s">
        <v>242</v>
      </c>
      <c r="E74" s="191">
        <v>90</v>
      </c>
      <c r="F74" s="125">
        <f>ROUND(E74*Valores!$C$2,2)</f>
        <v>3661.36</v>
      </c>
      <c r="G74" s="191">
        <v>2720</v>
      </c>
      <c r="H74" s="125">
        <f>ROUND(G74*Valores!$C$2,2)</f>
        <v>110654.5</v>
      </c>
      <c r="I74" s="191">
        <v>0</v>
      </c>
      <c r="J74" s="125">
        <f>ROUND(I74*Valores!$C$2,2)</f>
        <v>0</v>
      </c>
      <c r="K74" s="191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22826.61</v>
      </c>
      <c r="N74" s="125">
        <f t="shared" si="11"/>
        <v>0</v>
      </c>
      <c r="O74" s="125">
        <f>Valores!$C$9</f>
        <v>51121.66</v>
      </c>
      <c r="P74" s="125">
        <f>Valores!$D$5</f>
        <v>20796.54</v>
      </c>
      <c r="Q74" s="125">
        <v>0</v>
      </c>
      <c r="R74" s="125">
        <f>IF($F$4="NO",Valores!$C$48,Valores!$C$476/2)</f>
        <v>18510.02</v>
      </c>
      <c r="S74" s="125">
        <f>Valores!$C$19</f>
        <v>19351.52</v>
      </c>
      <c r="T74" s="125">
        <f t="shared" si="7"/>
        <v>19351.52</v>
      </c>
      <c r="U74" s="125">
        <v>0</v>
      </c>
      <c r="V74" s="125">
        <v>0</v>
      </c>
      <c r="W74" s="191">
        <v>0</v>
      </c>
      <c r="X74" s="125">
        <f>ROUND(W74*Valores!$C$2,2)</f>
        <v>0</v>
      </c>
      <c r="Y74" s="125">
        <v>0</v>
      </c>
      <c r="Z74" s="125">
        <f>Valores!$C$95</f>
        <v>34173.77</v>
      </c>
      <c r="AA74" s="125">
        <f>Valores!$C$25</f>
        <v>850.59</v>
      </c>
      <c r="AB74" s="210">
        <v>0</v>
      </c>
      <c r="AC74" s="125">
        <f t="shared" si="12"/>
        <v>0</v>
      </c>
      <c r="AD74" s="125">
        <f>Valores!$C$26</f>
        <v>850.59</v>
      </c>
      <c r="AE74" s="191">
        <v>0</v>
      </c>
      <c r="AF74" s="125">
        <f>ROUND(AE74*Valores!$C$2,2)</f>
        <v>0</v>
      </c>
      <c r="AG74" s="125">
        <f>ROUND(IF($F$4="NO",Valores!$C$63,Valores!$C$63/2),2)</f>
        <v>9724.47</v>
      </c>
      <c r="AH74" s="125">
        <f t="shared" si="15"/>
        <v>292521.63</v>
      </c>
      <c r="AI74" s="125">
        <f>Valores!$C$31</f>
        <v>0</v>
      </c>
      <c r="AJ74" s="125">
        <f>Valores!$C$88</f>
        <v>0</v>
      </c>
      <c r="AK74" s="125">
        <f>Valores!C$38*B74</f>
        <v>0</v>
      </c>
      <c r="AL74" s="125">
        <f>IF($F$3="NO",0,Valores!$C$56)</f>
        <v>0</v>
      </c>
      <c r="AM74" s="125">
        <f t="shared" si="13"/>
        <v>0</v>
      </c>
      <c r="AN74" s="125">
        <f>AH74*Valores!$C$71</f>
        <v>-32177.3793</v>
      </c>
      <c r="AO74" s="125">
        <f>AH74*-Valores!$C$72</f>
        <v>0</v>
      </c>
      <c r="AP74" s="125">
        <f>AH74*Valores!$C$73</f>
        <v>-13163.47335</v>
      </c>
      <c r="AQ74" s="125">
        <f>Valores!$C$100</f>
        <v>-554.86</v>
      </c>
      <c r="AR74" s="125">
        <f>IF($F$5=0,Valores!$C$101,(Valores!$C$101+$F$5*(Valores!$C$101)))</f>
        <v>-550</v>
      </c>
      <c r="AS74" s="125">
        <f t="shared" si="16"/>
        <v>246075.91735</v>
      </c>
      <c r="AT74" s="125">
        <f t="shared" si="10"/>
        <v>-32177.3793</v>
      </c>
      <c r="AU74" s="125">
        <f>AH74*Valores!$C$74</f>
        <v>-7898.0840100000005</v>
      </c>
      <c r="AV74" s="125">
        <f>AH74*Valores!$C$75</f>
        <v>-877.56489</v>
      </c>
      <c r="AW74" s="125">
        <f t="shared" si="14"/>
        <v>251568.6018</v>
      </c>
      <c r="AX74" s="126"/>
      <c r="AY74" s="126"/>
      <c r="AZ74" s="123" t="s">
        <v>8</v>
      </c>
    </row>
    <row r="75" spans="1:52" s="110" customFormat="1" ht="11.25" customHeight="1">
      <c r="A75" s="123" t="s">
        <v>243</v>
      </c>
      <c r="B75" s="123">
        <v>1</v>
      </c>
      <c r="C75" s="126">
        <v>68</v>
      </c>
      <c r="D75" s="124" t="s">
        <v>244</v>
      </c>
      <c r="E75" s="191">
        <v>78</v>
      </c>
      <c r="F75" s="125">
        <f>ROUND(E75*Valores!$C$2,2)</f>
        <v>3173.18</v>
      </c>
      <c r="G75" s="191">
        <v>1284</v>
      </c>
      <c r="H75" s="125">
        <f>ROUND(G75*Valores!$C$2,2)</f>
        <v>52235.43</v>
      </c>
      <c r="I75" s="191">
        <v>0</v>
      </c>
      <c r="J75" s="125">
        <f>ROUND(I75*Valores!$C$2,2)</f>
        <v>0</v>
      </c>
      <c r="K75" s="191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13351.42</v>
      </c>
      <c r="N75" s="125">
        <f t="shared" si="11"/>
        <v>0</v>
      </c>
      <c r="O75" s="125">
        <f>Valores!$C$8</f>
        <v>50989.899999999994</v>
      </c>
      <c r="P75" s="125">
        <f>Valores!$D$5</f>
        <v>20796.54</v>
      </c>
      <c r="Q75" s="125">
        <f>Valores!$C$22</f>
        <v>18553.83</v>
      </c>
      <c r="R75" s="125">
        <f>IF($F$4="NO",Valores!$C$44,Valores!$C$44/2)</f>
        <v>14447.16</v>
      </c>
      <c r="S75" s="125">
        <f>Valores!$C$20</f>
        <v>19153.67</v>
      </c>
      <c r="T75" s="125">
        <f aca="true" t="shared" si="17" ref="T75:T138">ROUND(S75*(1+$H$2),2)</f>
        <v>19153.67</v>
      </c>
      <c r="U75" s="125">
        <v>0</v>
      </c>
      <c r="V75" s="125">
        <v>0</v>
      </c>
      <c r="W75" s="191">
        <v>0</v>
      </c>
      <c r="X75" s="125">
        <f>ROUND(W75*Valores!$C$2,2)</f>
        <v>0</v>
      </c>
      <c r="Y75" s="125">
        <v>0</v>
      </c>
      <c r="Z75" s="125">
        <f>Valores!$C$94</f>
        <v>28478.14</v>
      </c>
      <c r="AA75" s="125">
        <f>Valores!$C$25</f>
        <v>850.59</v>
      </c>
      <c r="AB75" s="210">
        <v>0</v>
      </c>
      <c r="AC75" s="125">
        <f t="shared" si="12"/>
        <v>0</v>
      </c>
      <c r="AD75" s="125">
        <f>Valores!$C$26</f>
        <v>850.59</v>
      </c>
      <c r="AE75" s="191">
        <v>0</v>
      </c>
      <c r="AF75" s="125">
        <f>ROUND(AE75*Valores!$C$2,2)</f>
        <v>0</v>
      </c>
      <c r="AG75" s="125">
        <f>ROUND(IF($F$4="NO",Valores!$C$63,Valores!$C$63/2),2)</f>
        <v>9724.47</v>
      </c>
      <c r="AH75" s="125">
        <f t="shared" si="15"/>
        <v>232604.92</v>
      </c>
      <c r="AI75" s="125">
        <f>Valores!$C$31</f>
        <v>0</v>
      </c>
      <c r="AJ75" s="125">
        <f>Valores!$C$87</f>
        <v>0</v>
      </c>
      <c r="AK75" s="125">
        <f>Valores!C$38*B75</f>
        <v>0</v>
      </c>
      <c r="AL75" s="125">
        <f>IF($F$3="NO",0,Valores!$C$56)</f>
        <v>0</v>
      </c>
      <c r="AM75" s="125">
        <f t="shared" si="13"/>
        <v>0</v>
      </c>
      <c r="AN75" s="125">
        <f>AH75*Valores!$C$71</f>
        <v>-25586.541200000003</v>
      </c>
      <c r="AO75" s="125">
        <f>AH75*-Valores!$C$72</f>
        <v>0</v>
      </c>
      <c r="AP75" s="125">
        <f>AH75*Valores!$C$73</f>
        <v>-10467.2214</v>
      </c>
      <c r="AQ75" s="125">
        <f>Valores!$C$100</f>
        <v>-554.86</v>
      </c>
      <c r="AR75" s="125">
        <f>IF($F$5=0,Valores!$C$101,(Valores!$C$101+$F$5*(Valores!$C$101)))</f>
        <v>-550</v>
      </c>
      <c r="AS75" s="125">
        <f t="shared" si="16"/>
        <v>195446.2974</v>
      </c>
      <c r="AT75" s="125">
        <f t="shared" si="10"/>
        <v>-25586.541200000003</v>
      </c>
      <c r="AU75" s="125">
        <f>AH75*Valores!$C$74</f>
        <v>-6280.33284</v>
      </c>
      <c r="AV75" s="125">
        <f>AH75*Valores!$C$75</f>
        <v>-697.8147600000001</v>
      </c>
      <c r="AW75" s="125">
        <f t="shared" si="14"/>
        <v>200040.2312</v>
      </c>
      <c r="AX75" s="126"/>
      <c r="AY75" s="126">
        <v>30</v>
      </c>
      <c r="AZ75" s="123" t="s">
        <v>4</v>
      </c>
    </row>
    <row r="76" spans="1:52" s="110" customFormat="1" ht="11.25" customHeight="1">
      <c r="A76" s="123" t="s">
        <v>245</v>
      </c>
      <c r="B76" s="123">
        <v>1</v>
      </c>
      <c r="C76" s="126">
        <v>69</v>
      </c>
      <c r="D76" s="124" t="s">
        <v>246</v>
      </c>
      <c r="E76" s="191">
        <v>78</v>
      </c>
      <c r="F76" s="125">
        <f>ROUND(E76*Valores!$C$2,2)</f>
        <v>3173.18</v>
      </c>
      <c r="G76" s="191">
        <v>1284</v>
      </c>
      <c r="H76" s="125">
        <f>ROUND(G76*Valores!$C$2,2)</f>
        <v>52235.43</v>
      </c>
      <c r="I76" s="191">
        <v>0</v>
      </c>
      <c r="J76" s="125">
        <f>ROUND(I76*Valores!$C$2,2)</f>
        <v>0</v>
      </c>
      <c r="K76" s="191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13351.42</v>
      </c>
      <c r="N76" s="125">
        <f t="shared" si="11"/>
        <v>0</v>
      </c>
      <c r="O76" s="125">
        <f>Valores!$C$8</f>
        <v>50989.899999999994</v>
      </c>
      <c r="P76" s="125">
        <f>Valores!$D$5</f>
        <v>20796.54</v>
      </c>
      <c r="Q76" s="125">
        <f>Valores!$C$22</f>
        <v>18553.83</v>
      </c>
      <c r="R76" s="125">
        <f>IF($F$4="NO",Valores!$C$44,Valores!$C$44/2)</f>
        <v>14447.16</v>
      </c>
      <c r="S76" s="125">
        <f>Valores!$C$20</f>
        <v>19153.67</v>
      </c>
      <c r="T76" s="125">
        <f t="shared" si="17"/>
        <v>19153.67</v>
      </c>
      <c r="U76" s="125">
        <v>0</v>
      </c>
      <c r="V76" s="125">
        <v>0</v>
      </c>
      <c r="W76" s="191">
        <v>0</v>
      </c>
      <c r="X76" s="125">
        <f>ROUND(W76*Valores!$C$2,2)</f>
        <v>0</v>
      </c>
      <c r="Y76" s="125">
        <v>0</v>
      </c>
      <c r="Z76" s="125">
        <f>Valores!$C$94</f>
        <v>28478.14</v>
      </c>
      <c r="AA76" s="125">
        <f>Valores!$C$25</f>
        <v>850.59</v>
      </c>
      <c r="AB76" s="210">
        <v>0</v>
      </c>
      <c r="AC76" s="125">
        <f t="shared" si="12"/>
        <v>0</v>
      </c>
      <c r="AD76" s="125">
        <f>Valores!$C$26</f>
        <v>850.59</v>
      </c>
      <c r="AE76" s="191">
        <v>0</v>
      </c>
      <c r="AF76" s="125">
        <f>ROUND(AE76*Valores!$C$2,2)</f>
        <v>0</v>
      </c>
      <c r="AG76" s="125">
        <f>ROUND(IF($F$4="NO",Valores!$C$63,Valores!$C$63/2),2)</f>
        <v>9724.47</v>
      </c>
      <c r="AH76" s="125">
        <f t="shared" si="15"/>
        <v>232604.92</v>
      </c>
      <c r="AI76" s="125">
        <f>Valores!$C$31</f>
        <v>0</v>
      </c>
      <c r="AJ76" s="125">
        <f>Valores!$C$87</f>
        <v>0</v>
      </c>
      <c r="AK76" s="125">
        <f>Valores!C$38*B76</f>
        <v>0</v>
      </c>
      <c r="AL76" s="125">
        <v>0</v>
      </c>
      <c r="AM76" s="125">
        <f t="shared" si="13"/>
        <v>0</v>
      </c>
      <c r="AN76" s="125">
        <f>AH76*Valores!$C$71</f>
        <v>-25586.541200000003</v>
      </c>
      <c r="AO76" s="125">
        <f>AH76*-Valores!$C$72</f>
        <v>0</v>
      </c>
      <c r="AP76" s="125">
        <f>AH76*Valores!$C$73</f>
        <v>-10467.2214</v>
      </c>
      <c r="AQ76" s="125">
        <f>Valores!$C$100</f>
        <v>-554.86</v>
      </c>
      <c r="AR76" s="125">
        <f>IF($F$5=0,Valores!$C$101,(Valores!$C$101+$F$5*(Valores!$C$101)))</f>
        <v>-550</v>
      </c>
      <c r="AS76" s="125">
        <f t="shared" si="16"/>
        <v>195446.2974</v>
      </c>
      <c r="AT76" s="125">
        <f t="shared" si="10"/>
        <v>-25586.541200000003</v>
      </c>
      <c r="AU76" s="125">
        <f>AH76*Valores!$C$74</f>
        <v>-6280.33284</v>
      </c>
      <c r="AV76" s="125">
        <f>AH76*Valores!$C$75</f>
        <v>-697.8147600000001</v>
      </c>
      <c r="AW76" s="125">
        <f t="shared" si="14"/>
        <v>200040.2312</v>
      </c>
      <c r="AX76" s="126"/>
      <c r="AY76" s="126"/>
      <c r="AZ76" s="123" t="s">
        <v>8</v>
      </c>
    </row>
    <row r="77" spans="1:52" s="110" customFormat="1" ht="11.25" customHeight="1">
      <c r="A77" s="123" t="s">
        <v>247</v>
      </c>
      <c r="B77" s="123">
        <v>1</v>
      </c>
      <c r="C77" s="126">
        <v>70</v>
      </c>
      <c r="D77" s="124" t="s">
        <v>248</v>
      </c>
      <c r="E77" s="191">
        <v>78</v>
      </c>
      <c r="F77" s="125">
        <f>ROUND(E77*Valores!$C$2,2)</f>
        <v>3173.18</v>
      </c>
      <c r="G77" s="191">
        <v>1284</v>
      </c>
      <c r="H77" s="125">
        <f>ROUND(G77*Valores!$C$2,2)</f>
        <v>52235.43</v>
      </c>
      <c r="I77" s="191">
        <v>0</v>
      </c>
      <c r="J77" s="125">
        <f>ROUND(I77*Valores!$C$2,2)</f>
        <v>0</v>
      </c>
      <c r="K77" s="191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10478.37</v>
      </c>
      <c r="N77" s="125">
        <f t="shared" si="11"/>
        <v>0</v>
      </c>
      <c r="O77" s="125">
        <f>Valores!$C$14</f>
        <v>40510.89</v>
      </c>
      <c r="P77" s="125">
        <f>Valores!$D$5</f>
        <v>20796.54</v>
      </c>
      <c r="Q77" s="125">
        <f>Valores!$C$22</f>
        <v>18553.83</v>
      </c>
      <c r="R77" s="125">
        <f>IF($F$4="NO",Valores!$C$44,Valores!$C$44/2)</f>
        <v>14447.16</v>
      </c>
      <c r="S77" s="125">
        <v>0</v>
      </c>
      <c r="T77" s="125">
        <f t="shared" si="17"/>
        <v>0</v>
      </c>
      <c r="U77" s="125">
        <v>0</v>
      </c>
      <c r="V77" s="125">
        <v>0</v>
      </c>
      <c r="W77" s="191">
        <v>0</v>
      </c>
      <c r="X77" s="125">
        <f>ROUND(W77*Valores!$C$2,2)</f>
        <v>0</v>
      </c>
      <c r="Y77" s="125">
        <v>0</v>
      </c>
      <c r="Z77" s="125">
        <f>Valores!$C$94</f>
        <v>28478.14</v>
      </c>
      <c r="AA77" s="125">
        <f>Valores!$C$25</f>
        <v>850.59</v>
      </c>
      <c r="AB77" s="210">
        <v>0</v>
      </c>
      <c r="AC77" s="125">
        <f t="shared" si="12"/>
        <v>0</v>
      </c>
      <c r="AD77" s="125">
        <f>Valores!$C$26</f>
        <v>850.59</v>
      </c>
      <c r="AE77" s="191">
        <v>0</v>
      </c>
      <c r="AF77" s="125">
        <f>ROUND(AE77*Valores!$C$2,2)</f>
        <v>0</v>
      </c>
      <c r="AG77" s="125">
        <f>ROUND(IF($F$4="NO",Valores!$C$63,Valores!$C$63/2),2)</f>
        <v>9724.47</v>
      </c>
      <c r="AH77" s="125">
        <f t="shared" si="15"/>
        <v>200099.18999999997</v>
      </c>
      <c r="AI77" s="125">
        <f>Valores!$C$31</f>
        <v>0</v>
      </c>
      <c r="AJ77" s="125">
        <f>Valores!$C$87</f>
        <v>0</v>
      </c>
      <c r="AK77" s="125">
        <f>Valores!C$38*B77</f>
        <v>0</v>
      </c>
      <c r="AL77" s="125">
        <v>0</v>
      </c>
      <c r="AM77" s="125">
        <f t="shared" si="13"/>
        <v>0</v>
      </c>
      <c r="AN77" s="125">
        <f>AH77*Valores!$C$71</f>
        <v>-22010.9109</v>
      </c>
      <c r="AO77" s="125">
        <f>AH77*-Valores!$C$72</f>
        <v>0</v>
      </c>
      <c r="AP77" s="125">
        <f>AH77*Valores!$C$73</f>
        <v>-9004.463549999999</v>
      </c>
      <c r="AQ77" s="125">
        <f>Valores!$C$100</f>
        <v>-554.86</v>
      </c>
      <c r="AR77" s="125">
        <f>IF($F$5=0,Valores!$C$101,(Valores!$C$101+$F$5*(Valores!$C$101)))</f>
        <v>-550</v>
      </c>
      <c r="AS77" s="125">
        <f t="shared" si="16"/>
        <v>167978.95554999998</v>
      </c>
      <c r="AT77" s="125">
        <f t="shared" si="10"/>
        <v>-22010.9109</v>
      </c>
      <c r="AU77" s="125">
        <f>AH77*Valores!$C$74</f>
        <v>-5402.678129999999</v>
      </c>
      <c r="AV77" s="125">
        <f>AH77*Valores!$C$75</f>
        <v>-600.29757</v>
      </c>
      <c r="AW77" s="125">
        <f t="shared" si="14"/>
        <v>172085.30339999998</v>
      </c>
      <c r="AX77" s="126"/>
      <c r="AY77" s="126"/>
      <c r="AZ77" s="123" t="s">
        <v>8</v>
      </c>
    </row>
    <row r="78" spans="1:52" s="110" customFormat="1" ht="11.25" customHeight="1">
      <c r="A78" s="123" t="s">
        <v>249</v>
      </c>
      <c r="B78" s="123">
        <v>1</v>
      </c>
      <c r="C78" s="126">
        <v>71</v>
      </c>
      <c r="D78" s="124" t="s">
        <v>250</v>
      </c>
      <c r="E78" s="191">
        <v>82</v>
      </c>
      <c r="F78" s="125">
        <f>ROUND(E78*Valores!$C$2,2)</f>
        <v>3335.91</v>
      </c>
      <c r="G78" s="191">
        <v>2038</v>
      </c>
      <c r="H78" s="125">
        <f>ROUND(G78*Valores!$C$2,2)</f>
        <v>82909.51</v>
      </c>
      <c r="I78" s="191">
        <v>0</v>
      </c>
      <c r="J78" s="125">
        <f>ROUND(I78*Valores!$C$2,2)</f>
        <v>0</v>
      </c>
      <c r="K78" s="191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18006.62</v>
      </c>
      <c r="N78" s="125">
        <f t="shared" si="11"/>
        <v>0</v>
      </c>
      <c r="O78" s="125">
        <f>Valores!$C$9</f>
        <v>51121.66</v>
      </c>
      <c r="P78" s="125">
        <f>Valores!$D$5</f>
        <v>20796.54</v>
      </c>
      <c r="Q78" s="125">
        <f>Valores!$C$22</f>
        <v>18553.83</v>
      </c>
      <c r="R78" s="125">
        <f>IF($F$4="NO",Valores!$C$44,Valores!$C$44/2)</f>
        <v>14447.16</v>
      </c>
      <c r="S78" s="125">
        <f>Valores!$C$19</f>
        <v>19351.52</v>
      </c>
      <c r="T78" s="125">
        <f t="shared" si="17"/>
        <v>19351.52</v>
      </c>
      <c r="U78" s="125">
        <v>0</v>
      </c>
      <c r="V78" s="125">
        <v>0</v>
      </c>
      <c r="W78" s="191">
        <v>0</v>
      </c>
      <c r="X78" s="125">
        <f>ROUND(W78*Valores!$C$2,2)</f>
        <v>0</v>
      </c>
      <c r="Y78" s="125">
        <v>0</v>
      </c>
      <c r="Z78" s="125">
        <f>Valores!$C$94</f>
        <v>28478.14</v>
      </c>
      <c r="AA78" s="125">
        <f>Valores!$C$25</f>
        <v>850.59</v>
      </c>
      <c r="AB78" s="210">
        <v>0</v>
      </c>
      <c r="AC78" s="125">
        <f t="shared" si="12"/>
        <v>0</v>
      </c>
      <c r="AD78" s="125">
        <f>Valores!$C$26</f>
        <v>850.59</v>
      </c>
      <c r="AE78" s="191">
        <v>0</v>
      </c>
      <c r="AF78" s="125">
        <f>ROUND(AE78*Valores!$C$2,2)</f>
        <v>0</v>
      </c>
      <c r="AG78" s="125">
        <f>ROUND(IF($F$4="NO",Valores!$C$63,Valores!$C$63/2),2)</f>
        <v>9724.47</v>
      </c>
      <c r="AH78" s="125">
        <f t="shared" si="15"/>
        <v>268426.54</v>
      </c>
      <c r="AI78" s="125">
        <f>Valores!$C$31</f>
        <v>0</v>
      </c>
      <c r="AJ78" s="125">
        <f>Valores!$C$87</f>
        <v>0</v>
      </c>
      <c r="AK78" s="125">
        <f>Valores!C$38*B78</f>
        <v>0</v>
      </c>
      <c r="AL78" s="125">
        <f>IF($F$3="NO",0,Valores!$C$56)</f>
        <v>0</v>
      </c>
      <c r="AM78" s="125">
        <f t="shared" si="13"/>
        <v>0</v>
      </c>
      <c r="AN78" s="125">
        <f>AH78*Valores!$C$71</f>
        <v>-29526.9194</v>
      </c>
      <c r="AO78" s="125">
        <f>AH78*-Valores!$C$72</f>
        <v>0</v>
      </c>
      <c r="AP78" s="125">
        <f>AH78*Valores!$C$73</f>
        <v>-12079.1943</v>
      </c>
      <c r="AQ78" s="125">
        <f>Valores!$C$100</f>
        <v>-554.86</v>
      </c>
      <c r="AR78" s="125">
        <f>IF($F$5=0,Valores!$C$101,(Valores!$C$101+$F$5*(Valores!$C$101)))</f>
        <v>-550</v>
      </c>
      <c r="AS78" s="125">
        <f t="shared" si="16"/>
        <v>225715.56629999998</v>
      </c>
      <c r="AT78" s="125">
        <f t="shared" si="10"/>
        <v>-29526.9194</v>
      </c>
      <c r="AU78" s="125">
        <f>AH78*Valores!$C$74</f>
        <v>-7247.5165799999995</v>
      </c>
      <c r="AV78" s="125">
        <f>AH78*Valores!$C$75</f>
        <v>-805.2796199999999</v>
      </c>
      <c r="AW78" s="125">
        <f t="shared" si="14"/>
        <v>230846.82439999998</v>
      </c>
      <c r="AX78" s="126"/>
      <c r="AY78" s="126">
        <v>25</v>
      </c>
      <c r="AZ78" s="123" t="s">
        <v>4</v>
      </c>
    </row>
    <row r="79" spans="1:52" s="110" customFormat="1" ht="11.25" customHeight="1">
      <c r="A79" s="123" t="s">
        <v>251</v>
      </c>
      <c r="B79" s="123">
        <v>1</v>
      </c>
      <c r="C79" s="126">
        <v>72</v>
      </c>
      <c r="D79" s="124" t="s">
        <v>252</v>
      </c>
      <c r="E79" s="191">
        <v>78</v>
      </c>
      <c r="F79" s="125">
        <f>ROUND(E79*Valores!$C$2,2)</f>
        <v>3173.18</v>
      </c>
      <c r="G79" s="191">
        <v>2072</v>
      </c>
      <c r="H79" s="125">
        <f>ROUND(G79*Valores!$C$2,2)</f>
        <v>84292.69</v>
      </c>
      <c r="I79" s="191">
        <v>0</v>
      </c>
      <c r="J79" s="125">
        <f>ROUND(I79*Valores!$C$2,2)</f>
        <v>0</v>
      </c>
      <c r="K79" s="191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18310.84</v>
      </c>
      <c r="N79" s="125">
        <f t="shared" si="11"/>
        <v>0</v>
      </c>
      <c r="O79" s="125">
        <f>Valores!$C$9</f>
        <v>51121.66</v>
      </c>
      <c r="P79" s="125">
        <f>Valores!$D$5</f>
        <v>20796.54</v>
      </c>
      <c r="Q79" s="125">
        <f>Valores!$C$22</f>
        <v>18553.83</v>
      </c>
      <c r="R79" s="125">
        <f>IF($F$4="NO",Valores!$C$45,Valores!$C$45/2)</f>
        <v>15254.85</v>
      </c>
      <c r="S79" s="125">
        <f>Valores!$C$19</f>
        <v>19351.52</v>
      </c>
      <c r="T79" s="125">
        <f t="shared" si="17"/>
        <v>19351.52</v>
      </c>
      <c r="U79" s="125">
        <v>0</v>
      </c>
      <c r="V79" s="125">
        <v>0</v>
      </c>
      <c r="W79" s="191">
        <v>0</v>
      </c>
      <c r="X79" s="125">
        <f>ROUND(W79*Valores!$C$2,2)</f>
        <v>0</v>
      </c>
      <c r="Y79" s="125">
        <v>0</v>
      </c>
      <c r="Z79" s="125">
        <f>Valores!$C$95</f>
        <v>34173.77</v>
      </c>
      <c r="AA79" s="125">
        <f>Valores!$C$25</f>
        <v>850.59</v>
      </c>
      <c r="AB79" s="210">
        <v>0</v>
      </c>
      <c r="AC79" s="125">
        <f t="shared" si="12"/>
        <v>0</v>
      </c>
      <c r="AD79" s="125">
        <f>Valores!$C$26</f>
        <v>850.59</v>
      </c>
      <c r="AE79" s="191">
        <v>0</v>
      </c>
      <c r="AF79" s="125">
        <f>ROUND(AE79*Valores!$C$2,2)</f>
        <v>0</v>
      </c>
      <c r="AG79" s="125">
        <f>ROUND(IF($F$4="NO",Valores!$C$63,Valores!$C$63/2),2)</f>
        <v>9724.47</v>
      </c>
      <c r="AH79" s="125">
        <f t="shared" si="15"/>
        <v>276454.53</v>
      </c>
      <c r="AI79" s="125">
        <f>Valores!$C$31</f>
        <v>0</v>
      </c>
      <c r="AJ79" s="125">
        <f>Valores!$C$88</f>
        <v>0</v>
      </c>
      <c r="AK79" s="125">
        <f>Valores!C$38*B79</f>
        <v>0</v>
      </c>
      <c r="AL79" s="125">
        <f>IF($F$3="NO",0,Valores!$C$56)</f>
        <v>0</v>
      </c>
      <c r="AM79" s="125">
        <f t="shared" si="13"/>
        <v>0</v>
      </c>
      <c r="AN79" s="125">
        <f>AH79*Valores!$C$71</f>
        <v>-30409.998300000003</v>
      </c>
      <c r="AO79" s="125">
        <f>AH79*-Valores!$C$72</f>
        <v>0</v>
      </c>
      <c r="AP79" s="125">
        <f>AH79*Valores!$C$73</f>
        <v>-12440.453850000002</v>
      </c>
      <c r="AQ79" s="125">
        <f>Valores!$C$100</f>
        <v>-554.86</v>
      </c>
      <c r="AR79" s="125">
        <f>IF($F$5=0,Valores!$C$101,(Valores!$C$101+$F$5*(Valores!$C$101)))</f>
        <v>-550</v>
      </c>
      <c r="AS79" s="125">
        <f t="shared" si="16"/>
        <v>232499.21785000002</v>
      </c>
      <c r="AT79" s="125">
        <f t="shared" si="10"/>
        <v>-30409.998300000003</v>
      </c>
      <c r="AU79" s="125">
        <f>AH79*Valores!$C$74</f>
        <v>-7464.27231</v>
      </c>
      <c r="AV79" s="125">
        <f>AH79*Valores!$C$75</f>
        <v>-829.36359</v>
      </c>
      <c r="AW79" s="125">
        <f t="shared" si="14"/>
        <v>237750.89580000003</v>
      </c>
      <c r="AX79" s="126"/>
      <c r="AY79" s="126">
        <v>30</v>
      </c>
      <c r="AZ79" s="123" t="s">
        <v>4</v>
      </c>
    </row>
    <row r="80" spans="1:52" s="110" customFormat="1" ht="11.25" customHeight="1">
      <c r="A80" s="123" t="s">
        <v>253</v>
      </c>
      <c r="B80" s="123">
        <v>1</v>
      </c>
      <c r="C80" s="126">
        <v>73</v>
      </c>
      <c r="D80" s="124" t="s">
        <v>254</v>
      </c>
      <c r="E80" s="191">
        <v>78</v>
      </c>
      <c r="F80" s="125">
        <f>ROUND(E80*Valores!$C$2,2)</f>
        <v>3173.18</v>
      </c>
      <c r="G80" s="191">
        <v>1770</v>
      </c>
      <c r="H80" s="125">
        <f>ROUND(G80*Valores!$C$2,2)</f>
        <v>72006.79</v>
      </c>
      <c r="I80" s="191">
        <v>0</v>
      </c>
      <c r="J80" s="125">
        <f>ROUND(I80*Valores!$C$2,2)</f>
        <v>0</v>
      </c>
      <c r="K80" s="191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16467.95</v>
      </c>
      <c r="N80" s="125">
        <f t="shared" si="11"/>
        <v>0</v>
      </c>
      <c r="O80" s="125">
        <f>Valores!$C$9</f>
        <v>51121.66</v>
      </c>
      <c r="P80" s="125">
        <f>Valores!$D$5</f>
        <v>20796.54</v>
      </c>
      <c r="Q80" s="125">
        <f>Valores!$C$22</f>
        <v>18553.83</v>
      </c>
      <c r="R80" s="125">
        <f>IF($F$4="NO",Valores!$C$45,Valores!$C$45/2)</f>
        <v>15254.85</v>
      </c>
      <c r="S80" s="125">
        <f>Valores!$C$19</f>
        <v>19351.52</v>
      </c>
      <c r="T80" s="125">
        <f t="shared" si="17"/>
        <v>19351.52</v>
      </c>
      <c r="U80" s="125">
        <v>0</v>
      </c>
      <c r="V80" s="125">
        <v>0</v>
      </c>
      <c r="W80" s="191">
        <v>0</v>
      </c>
      <c r="X80" s="125">
        <f>ROUND(W80*Valores!$C$2,2)</f>
        <v>0</v>
      </c>
      <c r="Y80" s="125">
        <v>0</v>
      </c>
      <c r="Z80" s="125">
        <f>Valores!$C$95</f>
        <v>34173.77</v>
      </c>
      <c r="AA80" s="125">
        <f>Valores!$C$25</f>
        <v>850.59</v>
      </c>
      <c r="AB80" s="210">
        <v>0</v>
      </c>
      <c r="AC80" s="125">
        <f t="shared" si="12"/>
        <v>0</v>
      </c>
      <c r="AD80" s="125">
        <f>Valores!$C$26</f>
        <v>850.59</v>
      </c>
      <c r="AE80" s="191">
        <v>0</v>
      </c>
      <c r="AF80" s="125">
        <f>ROUND(AE80*Valores!$C$2,2)</f>
        <v>0</v>
      </c>
      <c r="AG80" s="125">
        <f>ROUND(IF($F$4="NO",Valores!$C$63,Valores!$C$63/2),2)</f>
        <v>9724.47</v>
      </c>
      <c r="AH80" s="125">
        <f t="shared" si="15"/>
        <v>262325.74</v>
      </c>
      <c r="AI80" s="125">
        <f>Valores!$C$31</f>
        <v>0</v>
      </c>
      <c r="AJ80" s="125">
        <f>Valores!$C$88</f>
        <v>0</v>
      </c>
      <c r="AK80" s="125">
        <f>Valores!C$38*B80</f>
        <v>0</v>
      </c>
      <c r="AL80" s="125">
        <f>IF($F$3="NO",0,Valores!$C$56)</f>
        <v>0</v>
      </c>
      <c r="AM80" s="125">
        <f t="shared" si="13"/>
        <v>0</v>
      </c>
      <c r="AN80" s="125">
        <f>AH80*Valores!$C$71</f>
        <v>-28855.8314</v>
      </c>
      <c r="AO80" s="125">
        <f>AH80*-Valores!$C$72</f>
        <v>0</v>
      </c>
      <c r="AP80" s="125">
        <f>AH80*Valores!$C$73</f>
        <v>-11804.6583</v>
      </c>
      <c r="AQ80" s="125">
        <f>Valores!$C$100</f>
        <v>-554.86</v>
      </c>
      <c r="AR80" s="125">
        <f>IF($F$5=0,Valores!$C$101,(Valores!$C$101+$F$5*(Valores!$C$101)))</f>
        <v>-550</v>
      </c>
      <c r="AS80" s="125">
        <f t="shared" si="16"/>
        <v>220560.3903</v>
      </c>
      <c r="AT80" s="125">
        <f t="shared" si="10"/>
        <v>-28855.8314</v>
      </c>
      <c r="AU80" s="125">
        <f>AH80*Valores!$C$74</f>
        <v>-7082.79498</v>
      </c>
      <c r="AV80" s="125">
        <f>AH80*Valores!$C$75</f>
        <v>-786.97722</v>
      </c>
      <c r="AW80" s="125">
        <f t="shared" si="14"/>
        <v>225600.1364</v>
      </c>
      <c r="AX80" s="126"/>
      <c r="AY80" s="126"/>
      <c r="AZ80" s="123" t="s">
        <v>4</v>
      </c>
    </row>
    <row r="81" spans="1:52" s="110" customFormat="1" ht="11.25" customHeight="1">
      <c r="A81" s="123" t="s">
        <v>255</v>
      </c>
      <c r="B81" s="123">
        <v>1</v>
      </c>
      <c r="C81" s="126">
        <v>74</v>
      </c>
      <c r="D81" s="124" t="s">
        <v>256</v>
      </c>
      <c r="E81" s="191">
        <v>77</v>
      </c>
      <c r="F81" s="125">
        <f>ROUND(E81*Valores!$C$2,2)</f>
        <v>3132.5</v>
      </c>
      <c r="G81" s="191">
        <v>2073</v>
      </c>
      <c r="H81" s="125">
        <f>ROUND(G81*Valores!$C$2,2)</f>
        <v>84333.37</v>
      </c>
      <c r="I81" s="191">
        <v>0</v>
      </c>
      <c r="J81" s="125">
        <f>ROUND(I81*Valores!$C$2,2)</f>
        <v>0</v>
      </c>
      <c r="K81" s="191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18310.84</v>
      </c>
      <c r="N81" s="125">
        <f t="shared" si="11"/>
        <v>0</v>
      </c>
      <c r="O81" s="125">
        <f>Valores!$C$9</f>
        <v>51121.66</v>
      </c>
      <c r="P81" s="125">
        <f>Valores!$D$5</f>
        <v>20796.54</v>
      </c>
      <c r="Q81" s="125">
        <f>Valores!$C$22</f>
        <v>18553.83</v>
      </c>
      <c r="R81" s="125">
        <f>IF($F$4="NO",Valores!$C$45,Valores!$C$45/2)</f>
        <v>15254.85</v>
      </c>
      <c r="S81" s="125">
        <f>Valores!$C$19</f>
        <v>19351.52</v>
      </c>
      <c r="T81" s="125">
        <f t="shared" si="17"/>
        <v>19351.52</v>
      </c>
      <c r="U81" s="125">
        <v>0</v>
      </c>
      <c r="V81" s="125">
        <v>0</v>
      </c>
      <c r="W81" s="191">
        <v>0</v>
      </c>
      <c r="X81" s="125">
        <f>ROUND(W81*Valores!$C$2,2)</f>
        <v>0</v>
      </c>
      <c r="Y81" s="125">
        <v>0</v>
      </c>
      <c r="Z81" s="125">
        <f>Valores!$C$95</f>
        <v>34173.77</v>
      </c>
      <c r="AA81" s="125">
        <f>Valores!$C$25</f>
        <v>850.59</v>
      </c>
      <c r="AB81" s="210">
        <v>0</v>
      </c>
      <c r="AC81" s="125">
        <f t="shared" si="12"/>
        <v>0</v>
      </c>
      <c r="AD81" s="125">
        <f>Valores!$C$26</f>
        <v>850.59</v>
      </c>
      <c r="AE81" s="191">
        <v>0</v>
      </c>
      <c r="AF81" s="125">
        <f>ROUND(AE81*Valores!$C$2,2)</f>
        <v>0</v>
      </c>
      <c r="AG81" s="125">
        <f>ROUND(IF($F$4="NO",Valores!$C$63,Valores!$C$63/2),2)</f>
        <v>9724.47</v>
      </c>
      <c r="AH81" s="125">
        <f t="shared" si="15"/>
        <v>276454.53</v>
      </c>
      <c r="AI81" s="125">
        <f>Valores!$C$31</f>
        <v>0</v>
      </c>
      <c r="AJ81" s="125">
        <f>Valores!$C$88</f>
        <v>0</v>
      </c>
      <c r="AK81" s="125">
        <f>Valores!C$38*B81</f>
        <v>0</v>
      </c>
      <c r="AL81" s="125">
        <f>IF($F$3="NO",0,Valores!$C$56)</f>
        <v>0</v>
      </c>
      <c r="AM81" s="125">
        <f t="shared" si="13"/>
        <v>0</v>
      </c>
      <c r="AN81" s="125">
        <f>AH81*Valores!$C$71</f>
        <v>-30409.998300000003</v>
      </c>
      <c r="AO81" s="125">
        <f>AH81*-Valores!$C$72</f>
        <v>0</v>
      </c>
      <c r="AP81" s="125">
        <f>AH81*Valores!$C$73</f>
        <v>-12440.453850000002</v>
      </c>
      <c r="AQ81" s="125">
        <f>Valores!$C$100</f>
        <v>-554.86</v>
      </c>
      <c r="AR81" s="125">
        <f>IF($F$5=0,Valores!$C$101,(Valores!$C$101+$F$5*(Valores!$C$101)))</f>
        <v>-550</v>
      </c>
      <c r="AS81" s="125">
        <f t="shared" si="16"/>
        <v>232499.21785000002</v>
      </c>
      <c r="AT81" s="125">
        <f t="shared" si="10"/>
        <v>-30409.998300000003</v>
      </c>
      <c r="AU81" s="125">
        <f>AH81*Valores!$C$74</f>
        <v>-7464.27231</v>
      </c>
      <c r="AV81" s="125">
        <f>AH81*Valores!$C$75</f>
        <v>-829.36359</v>
      </c>
      <c r="AW81" s="125">
        <f t="shared" si="14"/>
        <v>237750.89580000003</v>
      </c>
      <c r="AX81" s="126"/>
      <c r="AY81" s="126">
        <v>25</v>
      </c>
      <c r="AZ81" s="123" t="s">
        <v>8</v>
      </c>
    </row>
    <row r="82" spans="1:52" s="110" customFormat="1" ht="11.25" customHeight="1">
      <c r="A82" s="123" t="s">
        <v>257</v>
      </c>
      <c r="B82" s="123">
        <v>1</v>
      </c>
      <c r="C82" s="126">
        <v>75</v>
      </c>
      <c r="D82" s="124" t="s">
        <v>258</v>
      </c>
      <c r="E82" s="191">
        <v>76</v>
      </c>
      <c r="F82" s="125">
        <f>ROUND(E82*Valores!$C$2,2)</f>
        <v>3091.82</v>
      </c>
      <c r="G82" s="191">
        <v>1872</v>
      </c>
      <c r="H82" s="125">
        <f>ROUND(G82*Valores!$C$2,2)</f>
        <v>76156.33</v>
      </c>
      <c r="I82" s="191">
        <v>0</v>
      </c>
      <c r="J82" s="125">
        <f>ROUND(I82*Valores!$C$2,2)</f>
        <v>0</v>
      </c>
      <c r="K82" s="191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17078.18</v>
      </c>
      <c r="N82" s="125">
        <f t="shared" si="11"/>
        <v>0</v>
      </c>
      <c r="O82" s="125">
        <f>Valores!$C$9</f>
        <v>51121.66</v>
      </c>
      <c r="P82" s="125">
        <f>Valores!$D$5</f>
        <v>20796.54</v>
      </c>
      <c r="Q82" s="125">
        <v>0</v>
      </c>
      <c r="R82" s="125">
        <f>IF($F$4="NO",Valores!$C$45,Valores!$C$45/2)</f>
        <v>15254.85</v>
      </c>
      <c r="S82" s="125">
        <f>Valores!$C$19</f>
        <v>19351.52</v>
      </c>
      <c r="T82" s="125">
        <f t="shared" si="17"/>
        <v>19351.52</v>
      </c>
      <c r="U82" s="125">
        <v>0</v>
      </c>
      <c r="V82" s="125">
        <v>0</v>
      </c>
      <c r="W82" s="191">
        <v>0</v>
      </c>
      <c r="X82" s="125">
        <f>ROUND(W82*Valores!$C$2,2)</f>
        <v>0</v>
      </c>
      <c r="Y82" s="125">
        <v>0</v>
      </c>
      <c r="Z82" s="125">
        <f>Valores!$C$95</f>
        <v>34173.77</v>
      </c>
      <c r="AA82" s="125">
        <f>Valores!$C$25</f>
        <v>850.59</v>
      </c>
      <c r="AB82" s="210">
        <v>0</v>
      </c>
      <c r="AC82" s="125">
        <f t="shared" si="12"/>
        <v>0</v>
      </c>
      <c r="AD82" s="125">
        <f>Valores!$C$26</f>
        <v>850.59</v>
      </c>
      <c r="AE82" s="191">
        <v>0</v>
      </c>
      <c r="AF82" s="125">
        <f>ROUND(AE82*Valores!$C$2,2)</f>
        <v>0</v>
      </c>
      <c r="AG82" s="125">
        <f>ROUND(IF($F$4="NO",Valores!$C$63,Valores!$C$63/2),2)</f>
        <v>9724.47</v>
      </c>
      <c r="AH82" s="125">
        <f t="shared" si="15"/>
        <v>248450.32</v>
      </c>
      <c r="AI82" s="125">
        <f>Valores!$C$31</f>
        <v>0</v>
      </c>
      <c r="AJ82" s="125">
        <f>Valores!$C$88</f>
        <v>0</v>
      </c>
      <c r="AK82" s="125">
        <f>Valores!C$38*B82</f>
        <v>0</v>
      </c>
      <c r="AL82" s="125">
        <f>IF($F$3="NO",0,Valores!$C$56)</f>
        <v>0</v>
      </c>
      <c r="AM82" s="125">
        <f t="shared" si="13"/>
        <v>0</v>
      </c>
      <c r="AN82" s="125">
        <f>AH82*Valores!$C$71</f>
        <v>-27329.535200000002</v>
      </c>
      <c r="AO82" s="125">
        <f>AH82*-Valores!$C$72</f>
        <v>0</v>
      </c>
      <c r="AP82" s="125">
        <f>AH82*Valores!$C$73</f>
        <v>-11180.2644</v>
      </c>
      <c r="AQ82" s="125">
        <f>Valores!$C$100</f>
        <v>-554.86</v>
      </c>
      <c r="AR82" s="125">
        <f>IF($F$5=0,Valores!$C$101,(Valores!$C$101+$F$5*(Valores!$C$101)))</f>
        <v>-550</v>
      </c>
      <c r="AS82" s="125">
        <f t="shared" si="16"/>
        <v>208835.6604</v>
      </c>
      <c r="AT82" s="125">
        <f t="shared" si="10"/>
        <v>-27329.535200000002</v>
      </c>
      <c r="AU82" s="125">
        <f>AH82*Valores!$C$74</f>
        <v>-6708.158640000001</v>
      </c>
      <c r="AV82" s="125">
        <f>AH82*Valores!$C$75</f>
        <v>-745.35096</v>
      </c>
      <c r="AW82" s="125">
        <f t="shared" si="14"/>
        <v>213667.2752</v>
      </c>
      <c r="AX82" s="126"/>
      <c r="AY82" s="126">
        <v>30</v>
      </c>
      <c r="AZ82" s="123" t="s">
        <v>8</v>
      </c>
    </row>
    <row r="83" spans="1:52" s="110" customFormat="1" ht="11.25" customHeight="1">
      <c r="A83" s="123" t="s">
        <v>259</v>
      </c>
      <c r="B83" s="123">
        <v>1</v>
      </c>
      <c r="C83" s="126">
        <v>76</v>
      </c>
      <c r="D83" s="124" t="s">
        <v>260</v>
      </c>
      <c r="E83" s="191">
        <v>75</v>
      </c>
      <c r="F83" s="125">
        <f>ROUND(E83*Valores!$C$2,2)</f>
        <v>3051.14</v>
      </c>
      <c r="G83" s="191">
        <v>1873</v>
      </c>
      <c r="H83" s="125">
        <f>ROUND(G83*Valores!$C$2,2)</f>
        <v>76197.01</v>
      </c>
      <c r="I83" s="191">
        <v>0</v>
      </c>
      <c r="J83" s="125">
        <f>ROUND(I83*Valores!$C$2,2)</f>
        <v>0</v>
      </c>
      <c r="K83" s="191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17078.18</v>
      </c>
      <c r="N83" s="125">
        <f t="shared" si="11"/>
        <v>0</v>
      </c>
      <c r="O83" s="125">
        <f>Valores!$C$9</f>
        <v>51121.66</v>
      </c>
      <c r="P83" s="125">
        <f>Valores!$D$5</f>
        <v>20796.54</v>
      </c>
      <c r="Q83" s="125">
        <f>Valores!$C$22</f>
        <v>18553.83</v>
      </c>
      <c r="R83" s="125">
        <f>IF($F$4="NO",Valores!$C$45,Valores!$C$45/2)</f>
        <v>15254.85</v>
      </c>
      <c r="S83" s="125">
        <f>Valores!$C$19</f>
        <v>19351.52</v>
      </c>
      <c r="T83" s="125">
        <f t="shared" si="17"/>
        <v>19351.52</v>
      </c>
      <c r="U83" s="125">
        <v>0</v>
      </c>
      <c r="V83" s="125">
        <v>0</v>
      </c>
      <c r="W83" s="191">
        <v>0</v>
      </c>
      <c r="X83" s="125">
        <f>ROUND(W83*Valores!$C$2,2)</f>
        <v>0</v>
      </c>
      <c r="Y83" s="125">
        <v>0</v>
      </c>
      <c r="Z83" s="125">
        <f>Valores!$C$95</f>
        <v>34173.77</v>
      </c>
      <c r="AA83" s="125">
        <f>Valores!$C$25</f>
        <v>850.59</v>
      </c>
      <c r="AB83" s="210">
        <v>0</v>
      </c>
      <c r="AC83" s="125">
        <f t="shared" si="12"/>
        <v>0</v>
      </c>
      <c r="AD83" s="125">
        <f>Valores!$C$26</f>
        <v>850.59</v>
      </c>
      <c r="AE83" s="191">
        <v>0</v>
      </c>
      <c r="AF83" s="125">
        <f>ROUND(AE83*Valores!$C$2,2)</f>
        <v>0</v>
      </c>
      <c r="AG83" s="125">
        <f>ROUND(IF($F$4="NO",Valores!$C$63,Valores!$C$63/2),2)</f>
        <v>9724.47</v>
      </c>
      <c r="AH83" s="125">
        <f t="shared" si="15"/>
        <v>267004.14999999997</v>
      </c>
      <c r="AI83" s="125">
        <f>Valores!$C$31</f>
        <v>0</v>
      </c>
      <c r="AJ83" s="125">
        <f>Valores!$C$88</f>
        <v>0</v>
      </c>
      <c r="AK83" s="125">
        <f>Valores!C$38*B83</f>
        <v>0</v>
      </c>
      <c r="AL83" s="125">
        <f>IF($F$3="NO",0,Valores!$C$56)</f>
        <v>0</v>
      </c>
      <c r="AM83" s="125">
        <f t="shared" si="13"/>
        <v>0</v>
      </c>
      <c r="AN83" s="125">
        <f>AH83*Valores!$C$71</f>
        <v>-29370.456499999997</v>
      </c>
      <c r="AO83" s="125">
        <f>AH83*-Valores!$C$72</f>
        <v>0</v>
      </c>
      <c r="AP83" s="125">
        <f>AH83*Valores!$C$73</f>
        <v>-12015.186749999997</v>
      </c>
      <c r="AQ83" s="125">
        <f>Valores!$C$100</f>
        <v>-554.86</v>
      </c>
      <c r="AR83" s="125">
        <f>IF($F$5=0,Valores!$C$101,(Valores!$C$101+$F$5*(Valores!$C$101)))</f>
        <v>-550</v>
      </c>
      <c r="AS83" s="125">
        <f t="shared" si="16"/>
        <v>224513.64674999996</v>
      </c>
      <c r="AT83" s="125">
        <f t="shared" si="10"/>
        <v>-29370.456499999997</v>
      </c>
      <c r="AU83" s="125">
        <f>AH83*Valores!$C$74</f>
        <v>-7209.112049999999</v>
      </c>
      <c r="AV83" s="125">
        <f>AH83*Valores!$C$75</f>
        <v>-801.01245</v>
      </c>
      <c r="AW83" s="125">
        <f t="shared" si="14"/>
        <v>229623.56899999996</v>
      </c>
      <c r="AX83" s="126"/>
      <c r="AY83" s="126">
        <v>25</v>
      </c>
      <c r="AZ83" s="123" t="s">
        <v>4</v>
      </c>
    </row>
    <row r="84" spans="1:52" s="110" customFormat="1" ht="11.25" customHeight="1">
      <c r="A84" s="123" t="s">
        <v>261</v>
      </c>
      <c r="B84" s="123">
        <v>1</v>
      </c>
      <c r="C84" s="126">
        <v>77</v>
      </c>
      <c r="D84" s="124" t="s">
        <v>262</v>
      </c>
      <c r="E84" s="191">
        <v>76</v>
      </c>
      <c r="F84" s="125">
        <f>ROUND(E84*Valores!$C$2,2)</f>
        <v>3091.82</v>
      </c>
      <c r="G84" s="191">
        <v>1752</v>
      </c>
      <c r="H84" s="125">
        <f>ROUND(G84*Valores!$C$2,2)</f>
        <v>71274.51</v>
      </c>
      <c r="I84" s="191">
        <v>0</v>
      </c>
      <c r="J84" s="125">
        <f>ROUND(I84*Valores!$C$2,2)</f>
        <v>0</v>
      </c>
      <c r="K84" s="191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16224.75</v>
      </c>
      <c r="N84" s="125">
        <f t="shared" si="11"/>
        <v>0</v>
      </c>
      <c r="O84" s="125">
        <f>Valores!$C$8</f>
        <v>50989.899999999994</v>
      </c>
      <c r="P84" s="125">
        <f>Valores!$D$5</f>
        <v>20796.54</v>
      </c>
      <c r="Q84" s="125">
        <f>Valores!$C$22</f>
        <v>18553.83</v>
      </c>
      <c r="R84" s="125">
        <f>IF($F$4="NO",Valores!$C$44,Valores!$C$44/2)</f>
        <v>14447.16</v>
      </c>
      <c r="S84" s="125">
        <f>Valores!$C$19</f>
        <v>19351.52</v>
      </c>
      <c r="T84" s="125">
        <f t="shared" si="17"/>
        <v>19351.52</v>
      </c>
      <c r="U84" s="125">
        <v>0</v>
      </c>
      <c r="V84" s="125">
        <v>0</v>
      </c>
      <c r="W84" s="191">
        <v>0</v>
      </c>
      <c r="X84" s="125">
        <f>ROUND(W84*Valores!$C$2,2)</f>
        <v>0</v>
      </c>
      <c r="Y84" s="125">
        <v>0</v>
      </c>
      <c r="Z84" s="125">
        <f>Valores!$C$94</f>
        <v>28478.14</v>
      </c>
      <c r="AA84" s="125">
        <f>Valores!$C$25</f>
        <v>850.59</v>
      </c>
      <c r="AB84" s="210">
        <v>0</v>
      </c>
      <c r="AC84" s="125">
        <f t="shared" si="12"/>
        <v>0</v>
      </c>
      <c r="AD84" s="125">
        <f>Valores!$C$26</f>
        <v>850.59</v>
      </c>
      <c r="AE84" s="191">
        <v>0</v>
      </c>
      <c r="AF84" s="125">
        <f>ROUND(AE84*Valores!$C$2,2)</f>
        <v>0</v>
      </c>
      <c r="AG84" s="125">
        <f>ROUND(IF($F$4="NO",Valores!$C$63,Valores!$C$63/2),2)</f>
        <v>9724.47</v>
      </c>
      <c r="AH84" s="125">
        <f t="shared" si="15"/>
        <v>254633.81999999998</v>
      </c>
      <c r="AI84" s="125">
        <f>Valores!$C$31</f>
        <v>0</v>
      </c>
      <c r="AJ84" s="125">
        <f>Valores!$C$87</f>
        <v>0</v>
      </c>
      <c r="AK84" s="125">
        <f>Valores!C$38*B84</f>
        <v>0</v>
      </c>
      <c r="AL84" s="125">
        <f>IF($F$3="NO",0,Valores!$C$56)</f>
        <v>0</v>
      </c>
      <c r="AM84" s="125">
        <f t="shared" si="13"/>
        <v>0</v>
      </c>
      <c r="AN84" s="125">
        <f>AH84*Valores!$C$71</f>
        <v>-28009.720199999996</v>
      </c>
      <c r="AO84" s="125">
        <f>AH84*-Valores!$C$72</f>
        <v>0</v>
      </c>
      <c r="AP84" s="125">
        <f>AH84*Valores!$C$73</f>
        <v>-11458.521899999998</v>
      </c>
      <c r="AQ84" s="125">
        <f>Valores!$C$100</f>
        <v>-554.86</v>
      </c>
      <c r="AR84" s="125">
        <f>IF($F$5=0,Valores!$C$101,(Valores!$C$101+$F$5*(Valores!$C$101)))</f>
        <v>-550</v>
      </c>
      <c r="AS84" s="125">
        <f t="shared" si="16"/>
        <v>214060.7179</v>
      </c>
      <c r="AT84" s="125">
        <f t="shared" si="10"/>
        <v>-28009.720199999996</v>
      </c>
      <c r="AU84" s="125">
        <f>AH84*Valores!$C$74</f>
        <v>-6875.1131399999995</v>
      </c>
      <c r="AV84" s="125">
        <f>AH84*Valores!$C$75</f>
        <v>-763.9014599999999</v>
      </c>
      <c r="AW84" s="125">
        <f t="shared" si="14"/>
        <v>218985.08519999997</v>
      </c>
      <c r="AX84" s="126"/>
      <c r="AY84" s="126">
        <v>25</v>
      </c>
      <c r="AZ84" s="123" t="s">
        <v>8</v>
      </c>
    </row>
    <row r="85" spans="1:52" s="110" customFormat="1" ht="11.25" customHeight="1">
      <c r="A85" s="123" t="s">
        <v>263</v>
      </c>
      <c r="B85" s="123">
        <v>1</v>
      </c>
      <c r="C85" s="126">
        <v>78</v>
      </c>
      <c r="D85" s="124" t="s">
        <v>264</v>
      </c>
      <c r="E85" s="191">
        <v>78</v>
      </c>
      <c r="F85" s="125">
        <f>ROUND(E85*Valores!$C$2,2)</f>
        <v>3173.18</v>
      </c>
      <c r="G85" s="191">
        <v>1770</v>
      </c>
      <c r="H85" s="125">
        <f>ROUND(G85*Valores!$C$2,2)</f>
        <v>72006.79</v>
      </c>
      <c r="I85" s="191">
        <v>0</v>
      </c>
      <c r="J85" s="125">
        <f>ROUND(I85*Valores!$C$2,2)</f>
        <v>0</v>
      </c>
      <c r="K85" s="191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16224.7</v>
      </c>
      <c r="N85" s="125">
        <f t="shared" si="11"/>
        <v>0</v>
      </c>
      <c r="O85" s="125">
        <f>Valores!$C$10</f>
        <v>41631.340000000004</v>
      </c>
      <c r="P85" s="125">
        <f>Valores!$D$5</f>
        <v>20796.54</v>
      </c>
      <c r="Q85" s="125">
        <f>Valores!$C$22</f>
        <v>18553.83</v>
      </c>
      <c r="R85" s="125">
        <f>IF($F$4="NO",Valores!$C$43,Valores!$C$43/2)</f>
        <v>13633.16</v>
      </c>
      <c r="S85" s="125">
        <f>Valores!$C$19</f>
        <v>19351.52</v>
      </c>
      <c r="T85" s="125">
        <f t="shared" si="17"/>
        <v>19351.52</v>
      </c>
      <c r="U85" s="125">
        <v>0</v>
      </c>
      <c r="V85" s="125">
        <v>0</v>
      </c>
      <c r="W85" s="191">
        <v>0</v>
      </c>
      <c r="X85" s="125">
        <f>ROUND(W85*Valores!$C$2,2)</f>
        <v>0</v>
      </c>
      <c r="Y85" s="125">
        <v>0</v>
      </c>
      <c r="Z85" s="125">
        <f>Valores!$C$94</f>
        <v>28478.14</v>
      </c>
      <c r="AA85" s="125">
        <f>Valores!$C$25</f>
        <v>850.59</v>
      </c>
      <c r="AB85" s="210">
        <v>0</v>
      </c>
      <c r="AC85" s="125">
        <f t="shared" si="12"/>
        <v>0</v>
      </c>
      <c r="AD85" s="125">
        <f>Valores!$C$26</f>
        <v>850.59</v>
      </c>
      <c r="AE85" s="191">
        <v>0</v>
      </c>
      <c r="AF85" s="125">
        <f>ROUND(AE85*Valores!$C$2,2)</f>
        <v>0</v>
      </c>
      <c r="AG85" s="125">
        <f>ROUND(IF($F$4="NO",Valores!$C$63,Valores!$C$63/2),2)</f>
        <v>9724.47</v>
      </c>
      <c r="AH85" s="125">
        <f t="shared" si="15"/>
        <v>245274.85</v>
      </c>
      <c r="AI85" s="125">
        <f>Valores!$C$31</f>
        <v>0</v>
      </c>
      <c r="AJ85" s="125">
        <f>Valores!$C$87</f>
        <v>0</v>
      </c>
      <c r="AK85" s="125">
        <f>Valores!C$38*B85</f>
        <v>0</v>
      </c>
      <c r="AL85" s="125">
        <f>IF($F$3="NO",0,Valores!$C$56)</f>
        <v>0</v>
      </c>
      <c r="AM85" s="125">
        <f t="shared" si="13"/>
        <v>0</v>
      </c>
      <c r="AN85" s="125">
        <f>AH85*Valores!$C$71</f>
        <v>-26980.233500000002</v>
      </c>
      <c r="AO85" s="125">
        <f>AH85*-Valores!$C$72</f>
        <v>0</v>
      </c>
      <c r="AP85" s="125">
        <f>AH85*Valores!$C$73</f>
        <v>-11037.36825</v>
      </c>
      <c r="AQ85" s="125">
        <f>Valores!$C$100</f>
        <v>-554.86</v>
      </c>
      <c r="AR85" s="125">
        <f>IF($F$5=0,Valores!$C$101,(Valores!$C$101+$F$5*(Valores!$C$101)))</f>
        <v>-550</v>
      </c>
      <c r="AS85" s="125">
        <f t="shared" si="16"/>
        <v>206152.38825000002</v>
      </c>
      <c r="AT85" s="125">
        <f t="shared" si="10"/>
        <v>-26980.233500000002</v>
      </c>
      <c r="AU85" s="125">
        <f>AH85*Valores!$C$74</f>
        <v>-6622.42095</v>
      </c>
      <c r="AV85" s="125">
        <f>AH85*Valores!$C$75</f>
        <v>-735.82455</v>
      </c>
      <c r="AW85" s="125">
        <f t="shared" si="14"/>
        <v>210936.371</v>
      </c>
      <c r="AX85" s="126"/>
      <c r="AY85" s="126">
        <v>27</v>
      </c>
      <c r="AZ85" s="123" t="s">
        <v>4</v>
      </c>
    </row>
    <row r="86" spans="1:52" s="110" customFormat="1" ht="11.25" customHeight="1">
      <c r="A86" s="123" t="s">
        <v>265</v>
      </c>
      <c r="B86" s="123">
        <v>1</v>
      </c>
      <c r="C86" s="126">
        <v>79</v>
      </c>
      <c r="D86" s="124" t="s">
        <v>266</v>
      </c>
      <c r="E86" s="191">
        <v>76</v>
      </c>
      <c r="F86" s="125">
        <f>ROUND(E86*Valores!$C$2,2)</f>
        <v>3091.82</v>
      </c>
      <c r="G86" s="191">
        <v>1872</v>
      </c>
      <c r="H86" s="125">
        <f>ROUND(G86*Valores!$C$2,2)</f>
        <v>76156.33</v>
      </c>
      <c r="I86" s="191">
        <v>0</v>
      </c>
      <c r="J86" s="125">
        <f>ROUND(I86*Valores!$C$2,2)</f>
        <v>0</v>
      </c>
      <c r="K86" s="191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16834.92</v>
      </c>
      <c r="N86" s="125">
        <f t="shared" si="11"/>
        <v>0</v>
      </c>
      <c r="O86" s="125">
        <f>Valores!$C$10</f>
        <v>41631.340000000004</v>
      </c>
      <c r="P86" s="125">
        <f>Valores!$D$5</f>
        <v>20796.54</v>
      </c>
      <c r="Q86" s="125">
        <v>0</v>
      </c>
      <c r="R86" s="125">
        <f>IF($F$4="NO",Valores!$C$43,Valores!$C$43/2)</f>
        <v>13633.16</v>
      </c>
      <c r="S86" s="125">
        <f>Valores!$C$19</f>
        <v>19351.52</v>
      </c>
      <c r="T86" s="125">
        <f t="shared" si="17"/>
        <v>19351.52</v>
      </c>
      <c r="U86" s="125">
        <v>0</v>
      </c>
      <c r="V86" s="125">
        <v>0</v>
      </c>
      <c r="W86" s="191">
        <v>0</v>
      </c>
      <c r="X86" s="125">
        <f>ROUND(W86*Valores!$C$2,2)</f>
        <v>0</v>
      </c>
      <c r="Y86" s="125">
        <v>0</v>
      </c>
      <c r="Z86" s="125">
        <f>Valores!$C$94</f>
        <v>28478.14</v>
      </c>
      <c r="AA86" s="125">
        <f>Valores!$C$25</f>
        <v>850.59</v>
      </c>
      <c r="AB86" s="210">
        <v>0</v>
      </c>
      <c r="AC86" s="125">
        <f t="shared" si="12"/>
        <v>0</v>
      </c>
      <c r="AD86" s="125">
        <f>Valores!$C$26</f>
        <v>850.59</v>
      </c>
      <c r="AE86" s="191">
        <v>0</v>
      </c>
      <c r="AF86" s="125">
        <f>ROUND(AE86*Valores!$C$2,2)</f>
        <v>0</v>
      </c>
      <c r="AG86" s="125">
        <f>ROUND(IF($F$4="NO",Valores!$C$63,Valores!$C$63/2),2)</f>
        <v>9724.47</v>
      </c>
      <c r="AH86" s="125">
        <f t="shared" si="15"/>
        <v>231399.42</v>
      </c>
      <c r="AI86" s="125">
        <f>Valores!$C$31</f>
        <v>0</v>
      </c>
      <c r="AJ86" s="125">
        <f>Valores!$C$87</f>
        <v>0</v>
      </c>
      <c r="AK86" s="125">
        <f>Valores!C$38*B86</f>
        <v>0</v>
      </c>
      <c r="AL86" s="125">
        <f>IF($F$3="NO",0,Valores!$C$56)</f>
        <v>0</v>
      </c>
      <c r="AM86" s="125">
        <f t="shared" si="13"/>
        <v>0</v>
      </c>
      <c r="AN86" s="125">
        <f>AH86*Valores!$C$71</f>
        <v>-25453.9362</v>
      </c>
      <c r="AO86" s="125">
        <f>AH86*-Valores!$C$72</f>
        <v>0</v>
      </c>
      <c r="AP86" s="125">
        <f>AH86*Valores!$C$73</f>
        <v>-10412.9739</v>
      </c>
      <c r="AQ86" s="125">
        <f>Valores!$C$100</f>
        <v>-554.86</v>
      </c>
      <c r="AR86" s="125">
        <f>IF($F$5=0,Valores!$C$101,(Valores!$C$101+$F$5*(Valores!$C$101)))</f>
        <v>-550</v>
      </c>
      <c r="AS86" s="125">
        <f t="shared" si="16"/>
        <v>194427.64990000002</v>
      </c>
      <c r="AT86" s="125">
        <f t="shared" si="10"/>
        <v>-25453.9362</v>
      </c>
      <c r="AU86" s="125">
        <f>AH86*Valores!$C$74</f>
        <v>-6247.78434</v>
      </c>
      <c r="AV86" s="125">
        <f>AH86*Valores!$C$75</f>
        <v>-694.19826</v>
      </c>
      <c r="AW86" s="125">
        <f t="shared" si="14"/>
        <v>199003.5012</v>
      </c>
      <c r="AX86" s="126"/>
      <c r="AY86" s="126">
        <v>27</v>
      </c>
      <c r="AZ86" s="123" t="s">
        <v>4</v>
      </c>
    </row>
    <row r="87" spans="1:52" s="110" customFormat="1" ht="11.25" customHeight="1">
      <c r="A87" s="123" t="s">
        <v>267</v>
      </c>
      <c r="B87" s="123">
        <v>1</v>
      </c>
      <c r="C87" s="126">
        <v>80</v>
      </c>
      <c r="D87" s="124" t="s">
        <v>268</v>
      </c>
      <c r="E87" s="191">
        <v>169</v>
      </c>
      <c r="F87" s="125">
        <f>ROUND(E87*Valores!$C$2,2)</f>
        <v>6875.22</v>
      </c>
      <c r="G87" s="191">
        <f>1997</f>
        <v>1997</v>
      </c>
      <c r="H87" s="125">
        <f>ROUND(G87*Valores!$C$2,2)</f>
        <v>81241.55</v>
      </c>
      <c r="I87" s="191">
        <v>0</v>
      </c>
      <c r="J87" s="125">
        <f>ROUND(I87*Valores!$C$2,2)</f>
        <v>0</v>
      </c>
      <c r="K87" s="191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18287.32</v>
      </c>
      <c r="N87" s="125">
        <f t="shared" si="11"/>
        <v>0</v>
      </c>
      <c r="O87" s="125">
        <f>Valores!$C$9</f>
        <v>51121.66</v>
      </c>
      <c r="P87" s="125">
        <f>Valores!$D$5</f>
        <v>20796.54</v>
      </c>
      <c r="Q87" s="125">
        <f>Valores!$C$22</f>
        <v>18553.83</v>
      </c>
      <c r="R87" s="125">
        <f>IF($F$4="NO",Valores!$C$44,Valores!$C$44/2)</f>
        <v>14447.16</v>
      </c>
      <c r="S87" s="125">
        <f>Valores!$C$19</f>
        <v>19351.52</v>
      </c>
      <c r="T87" s="125">
        <f t="shared" si="17"/>
        <v>19351.52</v>
      </c>
      <c r="U87" s="125">
        <v>0</v>
      </c>
      <c r="V87" s="125">
        <v>0</v>
      </c>
      <c r="W87" s="191">
        <v>0</v>
      </c>
      <c r="X87" s="125">
        <f>ROUND(W87*Valores!$C$2,2)</f>
        <v>0</v>
      </c>
      <c r="Y87" s="125">
        <v>0</v>
      </c>
      <c r="Z87" s="125">
        <f>Valores!$C$94</f>
        <v>28478.14</v>
      </c>
      <c r="AA87" s="125">
        <f>Valores!$C$25</f>
        <v>850.59</v>
      </c>
      <c r="AB87" s="210">
        <v>0</v>
      </c>
      <c r="AC87" s="125">
        <f t="shared" si="12"/>
        <v>0</v>
      </c>
      <c r="AD87" s="125">
        <f>Valores!$C$26</f>
        <v>850.59</v>
      </c>
      <c r="AE87" s="191">
        <v>0</v>
      </c>
      <c r="AF87" s="125">
        <f>ROUND(AE87*Valores!$C$2,2)</f>
        <v>0</v>
      </c>
      <c r="AG87" s="125">
        <f>ROUND(IF($F$4="NO",Valores!$C$63,Valores!$C$63/2),2)</f>
        <v>9724.47</v>
      </c>
      <c r="AH87" s="125">
        <f t="shared" si="15"/>
        <v>270578.58999999997</v>
      </c>
      <c r="AI87" s="125">
        <f>Valores!$C$31</f>
        <v>0</v>
      </c>
      <c r="AJ87" s="125">
        <f>Valores!$C$87</f>
        <v>0</v>
      </c>
      <c r="AK87" s="125">
        <f>Valores!C$38*B87</f>
        <v>0</v>
      </c>
      <c r="AL87" s="125">
        <f>IF($F$3="NO",0,Valores!$C$56)</f>
        <v>0</v>
      </c>
      <c r="AM87" s="125">
        <f t="shared" si="13"/>
        <v>0</v>
      </c>
      <c r="AN87" s="125">
        <f>AH87*Valores!$C$71</f>
        <v>-29763.644899999996</v>
      </c>
      <c r="AO87" s="125">
        <f>AH87*-Valores!$C$72</f>
        <v>0</v>
      </c>
      <c r="AP87" s="125">
        <f>AH87*Valores!$C$73</f>
        <v>-12176.036549999999</v>
      </c>
      <c r="AQ87" s="125">
        <f>Valores!$C$100</f>
        <v>-554.86</v>
      </c>
      <c r="AR87" s="125">
        <f>IF($F$5=0,Valores!$C$101,(Valores!$C$101+$F$5*(Valores!$C$101)))</f>
        <v>-550</v>
      </c>
      <c r="AS87" s="125">
        <f t="shared" si="16"/>
        <v>227534.04854999998</v>
      </c>
      <c r="AT87" s="125">
        <f t="shared" si="10"/>
        <v>-29763.644899999996</v>
      </c>
      <c r="AU87" s="125">
        <f>AH87*Valores!$C$74</f>
        <v>-7305.621929999999</v>
      </c>
      <c r="AV87" s="125">
        <f>AH87*Valores!$C$75</f>
        <v>-811.7357699999999</v>
      </c>
      <c r="AW87" s="125">
        <f t="shared" si="14"/>
        <v>232697.58739999996</v>
      </c>
      <c r="AX87" s="126"/>
      <c r="AY87" s="126">
        <v>25</v>
      </c>
      <c r="AZ87" s="123" t="s">
        <v>8</v>
      </c>
    </row>
    <row r="88" spans="1:52" s="110" customFormat="1" ht="11.25" customHeight="1">
      <c r="A88" s="123" t="s">
        <v>269</v>
      </c>
      <c r="B88" s="123">
        <v>1</v>
      </c>
      <c r="C88" s="126">
        <v>81</v>
      </c>
      <c r="D88" s="124" t="s">
        <v>270</v>
      </c>
      <c r="E88" s="191">
        <v>218</v>
      </c>
      <c r="F88" s="125">
        <f>ROUND(E88*Valores!$C$2,2)</f>
        <v>8868.63</v>
      </c>
      <c r="G88" s="191">
        <f>1997</f>
        <v>1997</v>
      </c>
      <c r="H88" s="125">
        <f>ROUND(G88*Valores!$C$2,2)</f>
        <v>81241.55</v>
      </c>
      <c r="I88" s="191">
        <v>0</v>
      </c>
      <c r="J88" s="125">
        <f>ROUND(I88*Valores!$C$2,2)</f>
        <v>0</v>
      </c>
      <c r="K88" s="191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18586.33</v>
      </c>
      <c r="N88" s="125">
        <f t="shared" si="11"/>
        <v>0</v>
      </c>
      <c r="O88" s="125">
        <f>Valores!$C$15</f>
        <v>58782.229999999996</v>
      </c>
      <c r="P88" s="125">
        <f>Valores!$D$5</f>
        <v>20796.54</v>
      </c>
      <c r="Q88" s="125">
        <f>Valores!$C$22</f>
        <v>18553.83</v>
      </c>
      <c r="R88" s="125">
        <f>IF($F$4="NO",Valores!$C$44,Valores!$C$44/2)</f>
        <v>14447.16</v>
      </c>
      <c r="S88" s="125">
        <f>Valores!$C$19</f>
        <v>19351.52</v>
      </c>
      <c r="T88" s="125">
        <f t="shared" si="17"/>
        <v>19351.52</v>
      </c>
      <c r="U88" s="125">
        <v>0</v>
      </c>
      <c r="V88" s="125">
        <v>0</v>
      </c>
      <c r="W88" s="191">
        <v>0</v>
      </c>
      <c r="X88" s="125">
        <f>ROUND(W88*Valores!$C$2,2)</f>
        <v>0</v>
      </c>
      <c r="Y88" s="125">
        <v>0</v>
      </c>
      <c r="Z88" s="125">
        <f>Valores!$C$94</f>
        <v>28478.14</v>
      </c>
      <c r="AA88" s="125">
        <f>Valores!$C$25</f>
        <v>850.59</v>
      </c>
      <c r="AB88" s="210">
        <v>0</v>
      </c>
      <c r="AC88" s="125">
        <f t="shared" si="12"/>
        <v>0</v>
      </c>
      <c r="AD88" s="125">
        <f>Valores!$C$26</f>
        <v>850.59</v>
      </c>
      <c r="AE88" s="191">
        <v>0</v>
      </c>
      <c r="AF88" s="125">
        <f>ROUND(AE88*Valores!$C$2,2)</f>
        <v>0</v>
      </c>
      <c r="AG88" s="125">
        <f>ROUND(IF($F$4="NO",Valores!$C$63,Valores!$C$63/2),2)</f>
        <v>9724.47</v>
      </c>
      <c r="AH88" s="125">
        <f t="shared" si="15"/>
        <v>280531.58</v>
      </c>
      <c r="AI88" s="125">
        <f>Valores!$C$31</f>
        <v>0</v>
      </c>
      <c r="AJ88" s="125">
        <f>Valores!$C$87</f>
        <v>0</v>
      </c>
      <c r="AK88" s="125">
        <f>Valores!C$38*B88</f>
        <v>0</v>
      </c>
      <c r="AL88" s="125">
        <f>IF($F$3="NO",0,Valores!$C$56)</f>
        <v>0</v>
      </c>
      <c r="AM88" s="125">
        <f t="shared" si="13"/>
        <v>0</v>
      </c>
      <c r="AN88" s="125">
        <f>AH88*Valores!$C$71</f>
        <v>-30858.473800000003</v>
      </c>
      <c r="AO88" s="125">
        <f>AH88*-Valores!$C$72</f>
        <v>0</v>
      </c>
      <c r="AP88" s="125">
        <f>AH88*Valores!$C$73</f>
        <v>-12623.9211</v>
      </c>
      <c r="AQ88" s="125">
        <f>Valores!$C$100</f>
        <v>-554.86</v>
      </c>
      <c r="AR88" s="125">
        <f>IF($F$5=0,Valores!$C$101,(Valores!$C$101+$F$5*(Valores!$C$101)))</f>
        <v>-550</v>
      </c>
      <c r="AS88" s="125">
        <f t="shared" si="16"/>
        <v>235944.32510000002</v>
      </c>
      <c r="AT88" s="125">
        <f t="shared" si="10"/>
        <v>-30858.473800000003</v>
      </c>
      <c r="AU88" s="125">
        <f>AH88*Valores!$C$74</f>
        <v>-7574.3526600000005</v>
      </c>
      <c r="AV88" s="125">
        <f>AH88*Valores!$C$75</f>
        <v>-841.5947400000001</v>
      </c>
      <c r="AW88" s="125">
        <f t="shared" si="14"/>
        <v>241257.1588</v>
      </c>
      <c r="AX88" s="126"/>
      <c r="AY88" s="126">
        <v>25</v>
      </c>
      <c r="AZ88" s="123" t="s">
        <v>4</v>
      </c>
    </row>
    <row r="89" spans="1:52" s="110" customFormat="1" ht="11.25" customHeight="1">
      <c r="A89" s="123" t="s">
        <v>269</v>
      </c>
      <c r="B89" s="123">
        <v>1</v>
      </c>
      <c r="C89" s="126">
        <v>82</v>
      </c>
      <c r="D89" s="124" t="s">
        <v>271</v>
      </c>
      <c r="E89" s="191">
        <v>218</v>
      </c>
      <c r="F89" s="125">
        <f>ROUND(E89*Valores!$C$2,2)</f>
        <v>8868.63</v>
      </c>
      <c r="G89" s="191">
        <f>1997</f>
        <v>1997</v>
      </c>
      <c r="H89" s="125">
        <f>ROUND(G89*Valores!$C$2,2)</f>
        <v>81241.55</v>
      </c>
      <c r="I89" s="191">
        <v>0</v>
      </c>
      <c r="J89" s="125">
        <f>ROUND(I89*Valores!$C$2,2)</f>
        <v>0</v>
      </c>
      <c r="K89" s="191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18586.33</v>
      </c>
      <c r="N89" s="125">
        <f t="shared" si="11"/>
        <v>0</v>
      </c>
      <c r="O89" s="125">
        <f>Valores!$C$15</f>
        <v>58782.229999999996</v>
      </c>
      <c r="P89" s="125">
        <f>Valores!$D$5</f>
        <v>20796.54</v>
      </c>
      <c r="Q89" s="125">
        <f>Valores!$C$22</f>
        <v>18553.83</v>
      </c>
      <c r="R89" s="125">
        <f>IF($F$4="NO",Valores!$C$44,Valores!$C$44/2)</f>
        <v>14447.16</v>
      </c>
      <c r="S89" s="125">
        <f>Valores!$C$19</f>
        <v>19351.52</v>
      </c>
      <c r="T89" s="125">
        <f t="shared" si="17"/>
        <v>19351.52</v>
      </c>
      <c r="U89" s="125">
        <v>0</v>
      </c>
      <c r="V89" s="125">
        <v>0</v>
      </c>
      <c r="W89" s="191">
        <v>0</v>
      </c>
      <c r="X89" s="125">
        <f>ROUND(W89*Valores!$C$2,2)</f>
        <v>0</v>
      </c>
      <c r="Y89" s="125">
        <v>0</v>
      </c>
      <c r="Z89" s="125">
        <f>Valores!$C$94</f>
        <v>28478.14</v>
      </c>
      <c r="AA89" s="125">
        <f>Valores!$C$25</f>
        <v>850.59</v>
      </c>
      <c r="AB89" s="210">
        <v>0</v>
      </c>
      <c r="AC89" s="125">
        <f t="shared" si="12"/>
        <v>0</v>
      </c>
      <c r="AD89" s="125">
        <f>Valores!$C$26</f>
        <v>850.59</v>
      </c>
      <c r="AE89" s="191">
        <v>19</v>
      </c>
      <c r="AF89" s="125">
        <f>ROUND(AE89*Valores!$C$2,2)</f>
        <v>772.95</v>
      </c>
      <c r="AG89" s="125">
        <f>ROUND(IF($F$4="NO",Valores!$C$63,Valores!$C$63/2),2)</f>
        <v>9724.47</v>
      </c>
      <c r="AH89" s="125">
        <f t="shared" si="15"/>
        <v>281304.53</v>
      </c>
      <c r="AI89" s="125">
        <f>Valores!$C$31</f>
        <v>0</v>
      </c>
      <c r="AJ89" s="125">
        <f>Valores!$C$87</f>
        <v>0</v>
      </c>
      <c r="AK89" s="125">
        <f>Valores!C$38*B89</f>
        <v>0</v>
      </c>
      <c r="AL89" s="125">
        <f>IF($F$3="NO",0,Valores!$C$56)</f>
        <v>0</v>
      </c>
      <c r="AM89" s="125">
        <f t="shared" si="13"/>
        <v>0</v>
      </c>
      <c r="AN89" s="125">
        <f>AH89*Valores!$C$71</f>
        <v>-30943.498300000003</v>
      </c>
      <c r="AO89" s="125">
        <f>AH89*-Valores!$C$72</f>
        <v>0</v>
      </c>
      <c r="AP89" s="125">
        <f>AH89*Valores!$C$73</f>
        <v>-12658.703850000002</v>
      </c>
      <c r="AQ89" s="125">
        <f>Valores!$C$100</f>
        <v>-554.86</v>
      </c>
      <c r="AR89" s="125">
        <f>IF($F$5=0,Valores!$C$101,(Valores!$C$101+$F$5*(Valores!$C$101)))</f>
        <v>-550</v>
      </c>
      <c r="AS89" s="125">
        <f t="shared" si="16"/>
        <v>236597.46785000002</v>
      </c>
      <c r="AT89" s="125">
        <f t="shared" si="10"/>
        <v>-30943.498300000003</v>
      </c>
      <c r="AU89" s="125">
        <f>AH89*Valores!$C$74</f>
        <v>-7595.222310000001</v>
      </c>
      <c r="AV89" s="125">
        <f>AH89*Valores!$C$75</f>
        <v>-843.9135900000001</v>
      </c>
      <c r="AW89" s="125">
        <f t="shared" si="14"/>
        <v>241921.89580000003</v>
      </c>
      <c r="AX89" s="126"/>
      <c r="AY89" s="126">
        <v>25</v>
      </c>
      <c r="AZ89" s="123" t="s">
        <v>4</v>
      </c>
    </row>
    <row r="90" spans="1:52" s="110" customFormat="1" ht="11.25" customHeight="1">
      <c r="A90" s="123" t="s">
        <v>272</v>
      </c>
      <c r="B90" s="123">
        <v>1</v>
      </c>
      <c r="C90" s="126">
        <v>83</v>
      </c>
      <c r="D90" s="124" t="s">
        <v>273</v>
      </c>
      <c r="E90" s="191">
        <v>187</v>
      </c>
      <c r="F90" s="125">
        <f>ROUND(E90*Valores!$C$2,2)</f>
        <v>7607.5</v>
      </c>
      <c r="G90" s="191">
        <v>1704</v>
      </c>
      <c r="H90" s="125">
        <f>ROUND(G90*Valores!$C$2,2)</f>
        <v>69321.79</v>
      </c>
      <c r="I90" s="191">
        <v>0</v>
      </c>
      <c r="J90" s="125">
        <f>ROUND(I90*Valores!$C$2,2)</f>
        <v>0</v>
      </c>
      <c r="K90" s="191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16609.2</v>
      </c>
      <c r="N90" s="125">
        <f t="shared" si="11"/>
        <v>0</v>
      </c>
      <c r="O90" s="125">
        <f>Valores!$C$9</f>
        <v>51121.66</v>
      </c>
      <c r="P90" s="125">
        <f>Valores!$D$5</f>
        <v>20796.54</v>
      </c>
      <c r="Q90" s="125">
        <f>Valores!$C$22</f>
        <v>18553.83</v>
      </c>
      <c r="R90" s="125">
        <f>IF($F$4="NO",Valores!$C$44,Valores!$C$44/2)</f>
        <v>14447.16</v>
      </c>
      <c r="S90" s="125">
        <f>Valores!$C$19</f>
        <v>19351.52</v>
      </c>
      <c r="T90" s="125">
        <f t="shared" si="17"/>
        <v>19351.52</v>
      </c>
      <c r="U90" s="125">
        <v>0</v>
      </c>
      <c r="V90" s="125">
        <v>0</v>
      </c>
      <c r="W90" s="191">
        <v>0</v>
      </c>
      <c r="X90" s="125">
        <f>ROUND(W90*Valores!$C$2,2)</f>
        <v>0</v>
      </c>
      <c r="Y90" s="125">
        <v>0</v>
      </c>
      <c r="Z90" s="125">
        <f>Valores!$C$94</f>
        <v>28478.14</v>
      </c>
      <c r="AA90" s="125">
        <f>Valores!$C$25</f>
        <v>850.59</v>
      </c>
      <c r="AB90" s="210">
        <v>0</v>
      </c>
      <c r="AC90" s="125">
        <f t="shared" si="12"/>
        <v>0</v>
      </c>
      <c r="AD90" s="125">
        <f>Valores!$C$26</f>
        <v>850.59</v>
      </c>
      <c r="AE90" s="191">
        <v>0</v>
      </c>
      <c r="AF90" s="125">
        <f>ROUND(AE90*Valores!$C$2,2)</f>
        <v>0</v>
      </c>
      <c r="AG90" s="125">
        <f>ROUND(IF($F$4="NO",Valores!$C$63,Valores!$C$63/2),2)</f>
        <v>9724.47</v>
      </c>
      <c r="AH90" s="125">
        <f t="shared" si="15"/>
        <v>257712.99000000002</v>
      </c>
      <c r="AI90" s="125">
        <f>Valores!$C$31</f>
        <v>0</v>
      </c>
      <c r="AJ90" s="125">
        <f>Valores!$C$87</f>
        <v>0</v>
      </c>
      <c r="AK90" s="125">
        <f>Valores!C$38*B90</f>
        <v>0</v>
      </c>
      <c r="AL90" s="125">
        <f>IF($F$3="NO",0,Valores!$C$56)</f>
        <v>0</v>
      </c>
      <c r="AM90" s="125">
        <f t="shared" si="13"/>
        <v>0</v>
      </c>
      <c r="AN90" s="125">
        <f>AH90*Valores!$C$71</f>
        <v>-28348.428900000003</v>
      </c>
      <c r="AO90" s="125">
        <f>AH90*-Valores!$C$72</f>
        <v>0</v>
      </c>
      <c r="AP90" s="125">
        <f>AH90*Valores!$C$73</f>
        <v>-11597.08455</v>
      </c>
      <c r="AQ90" s="125">
        <f>Valores!$C$100</f>
        <v>-554.86</v>
      </c>
      <c r="AR90" s="125">
        <f>IF($F$5=0,Valores!$C$101,(Valores!$C$101+$F$5*(Valores!$C$101)))</f>
        <v>-550</v>
      </c>
      <c r="AS90" s="125">
        <f t="shared" si="16"/>
        <v>216662.61655000004</v>
      </c>
      <c r="AT90" s="125">
        <f t="shared" si="10"/>
        <v>-28348.428900000003</v>
      </c>
      <c r="AU90" s="125">
        <f>AH90*Valores!$C$74</f>
        <v>-6958.250730000001</v>
      </c>
      <c r="AV90" s="125">
        <f>AH90*Valores!$C$75</f>
        <v>-773.1389700000001</v>
      </c>
      <c r="AW90" s="125">
        <f t="shared" si="14"/>
        <v>221633.17140000002</v>
      </c>
      <c r="AX90" s="126"/>
      <c r="AY90" s="126">
        <v>25</v>
      </c>
      <c r="AZ90" s="123" t="s">
        <v>4</v>
      </c>
    </row>
    <row r="91" spans="1:52" s="110" customFormat="1" ht="11.25" customHeight="1">
      <c r="A91" s="123" t="s">
        <v>272</v>
      </c>
      <c r="B91" s="123">
        <v>1</v>
      </c>
      <c r="C91" s="126">
        <v>84</v>
      </c>
      <c r="D91" s="124" t="s">
        <v>274</v>
      </c>
      <c r="E91" s="191">
        <v>187</v>
      </c>
      <c r="F91" s="125">
        <f>ROUND(E91*Valores!$C$2,2)</f>
        <v>7607.5</v>
      </c>
      <c r="G91" s="191">
        <v>1704</v>
      </c>
      <c r="H91" s="125">
        <f>ROUND(G91*Valores!$C$2,2)</f>
        <v>69321.79</v>
      </c>
      <c r="I91" s="191">
        <v>0</v>
      </c>
      <c r="J91" s="125">
        <f>ROUND(I91*Valores!$C$2,2)</f>
        <v>0</v>
      </c>
      <c r="K91" s="191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16609.2</v>
      </c>
      <c r="N91" s="125">
        <f t="shared" si="11"/>
        <v>0</v>
      </c>
      <c r="O91" s="125">
        <f>Valores!$C$9</f>
        <v>51121.66</v>
      </c>
      <c r="P91" s="125">
        <f>Valores!$D$5</f>
        <v>20796.54</v>
      </c>
      <c r="Q91" s="125">
        <f>Valores!$C$22</f>
        <v>18553.83</v>
      </c>
      <c r="R91" s="125">
        <f>IF($F$4="NO",Valores!$C$44,Valores!$C$44/2)</f>
        <v>14447.16</v>
      </c>
      <c r="S91" s="125">
        <f>Valores!$C$19</f>
        <v>19351.52</v>
      </c>
      <c r="T91" s="125">
        <f t="shared" si="17"/>
        <v>19351.52</v>
      </c>
      <c r="U91" s="125">
        <v>0</v>
      </c>
      <c r="V91" s="125">
        <v>0</v>
      </c>
      <c r="W91" s="191">
        <v>0</v>
      </c>
      <c r="X91" s="125">
        <f>ROUND(W91*Valores!$C$2,2)</f>
        <v>0</v>
      </c>
      <c r="Y91" s="125">
        <v>0</v>
      </c>
      <c r="Z91" s="125">
        <f>Valores!$C$94</f>
        <v>28478.14</v>
      </c>
      <c r="AA91" s="125">
        <f>Valores!$C$25</f>
        <v>850.59</v>
      </c>
      <c r="AB91" s="210">
        <v>0</v>
      </c>
      <c r="AC91" s="125">
        <f t="shared" si="12"/>
        <v>0</v>
      </c>
      <c r="AD91" s="125">
        <f>Valores!$C$26</f>
        <v>850.59</v>
      </c>
      <c r="AE91" s="191">
        <v>19</v>
      </c>
      <c r="AF91" s="125">
        <f>ROUND(AE91*Valores!$C$2,2)</f>
        <v>772.95</v>
      </c>
      <c r="AG91" s="125">
        <f>ROUND(IF($F$4="NO",Valores!$C$63,Valores!$C$63/2),2)</f>
        <v>9724.47</v>
      </c>
      <c r="AH91" s="125">
        <f t="shared" si="15"/>
        <v>258485.94000000003</v>
      </c>
      <c r="AI91" s="125">
        <f>Valores!$C$31</f>
        <v>0</v>
      </c>
      <c r="AJ91" s="125">
        <f>Valores!$C$87</f>
        <v>0</v>
      </c>
      <c r="AK91" s="125">
        <f>Valores!C$38*B91</f>
        <v>0</v>
      </c>
      <c r="AL91" s="125">
        <f>IF($F$3="NO",0,Valores!$C$56)</f>
        <v>0</v>
      </c>
      <c r="AM91" s="125">
        <f t="shared" si="13"/>
        <v>0</v>
      </c>
      <c r="AN91" s="125">
        <f>AH91*Valores!$C$71</f>
        <v>-28433.453400000002</v>
      </c>
      <c r="AO91" s="125">
        <f>AH91*-Valores!$C$72</f>
        <v>0</v>
      </c>
      <c r="AP91" s="125">
        <f>AH91*Valores!$C$73</f>
        <v>-11631.867300000002</v>
      </c>
      <c r="AQ91" s="125">
        <f>Valores!$C$100</f>
        <v>-554.86</v>
      </c>
      <c r="AR91" s="125">
        <f>IF($F$5=0,Valores!$C$101,(Valores!$C$101+$F$5*(Valores!$C$101)))</f>
        <v>-550</v>
      </c>
      <c r="AS91" s="125">
        <f t="shared" si="16"/>
        <v>217315.75930000003</v>
      </c>
      <c r="AT91" s="125">
        <f t="shared" si="10"/>
        <v>-28433.453400000002</v>
      </c>
      <c r="AU91" s="125">
        <f>AH91*Valores!$C$74</f>
        <v>-6979.120380000001</v>
      </c>
      <c r="AV91" s="125">
        <f>AH91*Valores!$C$75</f>
        <v>-775.4578200000001</v>
      </c>
      <c r="AW91" s="125">
        <f t="shared" si="14"/>
        <v>222297.90840000001</v>
      </c>
      <c r="AX91" s="126"/>
      <c r="AY91" s="126">
        <v>25</v>
      </c>
      <c r="AZ91" s="123" t="s">
        <v>4</v>
      </c>
    </row>
    <row r="92" spans="1:52" s="110" customFormat="1" ht="11.25" customHeight="1">
      <c r="A92" s="123" t="s">
        <v>275</v>
      </c>
      <c r="B92" s="123">
        <v>1</v>
      </c>
      <c r="C92" s="126">
        <v>85</v>
      </c>
      <c r="D92" s="124" t="s">
        <v>276</v>
      </c>
      <c r="E92" s="191">
        <v>161</v>
      </c>
      <c r="F92" s="125">
        <f>ROUND(E92*Valores!$C$2,2)</f>
        <v>6549.77</v>
      </c>
      <c r="G92" s="191">
        <f>1480</f>
        <v>1480</v>
      </c>
      <c r="H92" s="125">
        <f>ROUND(G92*Valores!$C$2,2)</f>
        <v>60209.06</v>
      </c>
      <c r="I92" s="191">
        <v>0</v>
      </c>
      <c r="J92" s="125">
        <f>ROUND(I92*Valores!$C$2,2)</f>
        <v>0</v>
      </c>
      <c r="K92" s="191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15083.63</v>
      </c>
      <c r="N92" s="125">
        <f t="shared" si="11"/>
        <v>0</v>
      </c>
      <c r="O92" s="125">
        <f>Valores!$C$9</f>
        <v>51121.66</v>
      </c>
      <c r="P92" s="125">
        <f>Valores!$D$5</f>
        <v>20796.54</v>
      </c>
      <c r="Q92" s="125">
        <f>Valores!$C$22</f>
        <v>18553.83</v>
      </c>
      <c r="R92" s="125">
        <f>IF($F$4="NO",Valores!$C$44,Valores!$C$44/2)</f>
        <v>14447.16</v>
      </c>
      <c r="S92" s="125">
        <f>Valores!$C$19</f>
        <v>19351.52</v>
      </c>
      <c r="T92" s="125">
        <f t="shared" si="17"/>
        <v>19351.52</v>
      </c>
      <c r="U92" s="125">
        <v>0</v>
      </c>
      <c r="V92" s="125">
        <v>0</v>
      </c>
      <c r="W92" s="191">
        <v>0</v>
      </c>
      <c r="X92" s="125">
        <f>ROUND(W92*Valores!$C$2,2)</f>
        <v>0</v>
      </c>
      <c r="Y92" s="125">
        <v>0</v>
      </c>
      <c r="Z92" s="125">
        <f>Valores!$C$94</f>
        <v>28478.14</v>
      </c>
      <c r="AA92" s="125">
        <f>Valores!$C$25</f>
        <v>850.59</v>
      </c>
      <c r="AB92" s="210">
        <v>0</v>
      </c>
      <c r="AC92" s="125">
        <f t="shared" si="12"/>
        <v>0</v>
      </c>
      <c r="AD92" s="125">
        <f>Valores!$C$26</f>
        <v>850.59</v>
      </c>
      <c r="AE92" s="191">
        <v>0</v>
      </c>
      <c r="AF92" s="125">
        <f>ROUND(AE92*Valores!$C$2,2)</f>
        <v>0</v>
      </c>
      <c r="AG92" s="125">
        <f>ROUND(IF($F$4="NO",Valores!$C$63,Valores!$C$63/2),2)</f>
        <v>9724.47</v>
      </c>
      <c r="AH92" s="125">
        <f t="shared" si="15"/>
        <v>246016.96</v>
      </c>
      <c r="AI92" s="125">
        <f>Valores!$C$31</f>
        <v>0</v>
      </c>
      <c r="AJ92" s="125">
        <f>Valores!$C$87</f>
        <v>0</v>
      </c>
      <c r="AK92" s="125">
        <f>Valores!C$38*B92</f>
        <v>0</v>
      </c>
      <c r="AL92" s="125">
        <f>IF($F$3="NO",0,Valores!$C$56)</f>
        <v>0</v>
      </c>
      <c r="AM92" s="125">
        <f t="shared" si="13"/>
        <v>0</v>
      </c>
      <c r="AN92" s="125">
        <f>AH92*Valores!$C$71</f>
        <v>-27061.8656</v>
      </c>
      <c r="AO92" s="125">
        <f>AH92*-Valores!$C$72</f>
        <v>0</v>
      </c>
      <c r="AP92" s="125">
        <f>AH92*Valores!$C$73</f>
        <v>-11070.7632</v>
      </c>
      <c r="AQ92" s="125">
        <f>Valores!$C$100</f>
        <v>-554.86</v>
      </c>
      <c r="AR92" s="125">
        <f>IF($F$5=0,Valores!$C$101,(Valores!$C$101+$F$5*(Valores!$C$101)))</f>
        <v>-550</v>
      </c>
      <c r="AS92" s="125">
        <f t="shared" si="16"/>
        <v>206779.4712</v>
      </c>
      <c r="AT92" s="125">
        <f t="shared" si="10"/>
        <v>-27061.8656</v>
      </c>
      <c r="AU92" s="125">
        <f>AH92*Valores!$C$74</f>
        <v>-6642.45792</v>
      </c>
      <c r="AV92" s="125">
        <f>AH92*Valores!$C$75</f>
        <v>-738.05088</v>
      </c>
      <c r="AW92" s="125">
        <f t="shared" si="14"/>
        <v>211574.5856</v>
      </c>
      <c r="AX92" s="126"/>
      <c r="AY92" s="126">
        <v>25</v>
      </c>
      <c r="AZ92" s="123" t="s">
        <v>4</v>
      </c>
    </row>
    <row r="93" spans="1:52" s="110" customFormat="1" ht="11.25" customHeight="1">
      <c r="A93" s="123" t="s">
        <v>275</v>
      </c>
      <c r="B93" s="123">
        <v>1</v>
      </c>
      <c r="C93" s="126">
        <v>86</v>
      </c>
      <c r="D93" s="124" t="s">
        <v>277</v>
      </c>
      <c r="E93" s="191">
        <v>161</v>
      </c>
      <c r="F93" s="125">
        <f>ROUND(E93*Valores!$C$2,2)</f>
        <v>6549.77</v>
      </c>
      <c r="G93" s="191">
        <f>1480</f>
        <v>1480</v>
      </c>
      <c r="H93" s="125">
        <f>ROUND(G93*Valores!$C$2,2)</f>
        <v>60209.06</v>
      </c>
      <c r="I93" s="191">
        <v>0</v>
      </c>
      <c r="J93" s="125">
        <f>ROUND(I93*Valores!$C$2,2)</f>
        <v>0</v>
      </c>
      <c r="K93" s="191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15083.63</v>
      </c>
      <c r="N93" s="125">
        <f t="shared" si="11"/>
        <v>0</v>
      </c>
      <c r="O93" s="125">
        <f>Valores!$C$9</f>
        <v>51121.66</v>
      </c>
      <c r="P93" s="125">
        <f>Valores!$D$5</f>
        <v>20796.54</v>
      </c>
      <c r="Q93" s="125">
        <f>Valores!$C$22</f>
        <v>18553.83</v>
      </c>
      <c r="R93" s="125">
        <f>IF($F$4="NO",Valores!$C$44,Valores!$C$44/2)</f>
        <v>14447.16</v>
      </c>
      <c r="S93" s="125">
        <f>Valores!$C$19</f>
        <v>19351.52</v>
      </c>
      <c r="T93" s="125">
        <f t="shared" si="17"/>
        <v>19351.52</v>
      </c>
      <c r="U93" s="125">
        <v>0</v>
      </c>
      <c r="V93" s="125">
        <v>0</v>
      </c>
      <c r="W93" s="191">
        <v>0</v>
      </c>
      <c r="X93" s="125">
        <f>ROUND(W93*Valores!$C$2,2)</f>
        <v>0</v>
      </c>
      <c r="Y93" s="125">
        <v>0</v>
      </c>
      <c r="Z93" s="125">
        <f>Valores!$C$94</f>
        <v>28478.14</v>
      </c>
      <c r="AA93" s="125">
        <f>Valores!$C$25</f>
        <v>850.59</v>
      </c>
      <c r="AB93" s="210">
        <v>0</v>
      </c>
      <c r="AC93" s="125">
        <f t="shared" si="12"/>
        <v>0</v>
      </c>
      <c r="AD93" s="125">
        <f>Valores!$C$26</f>
        <v>850.59</v>
      </c>
      <c r="AE93" s="191">
        <v>19</v>
      </c>
      <c r="AF93" s="125">
        <f>ROUND(AE93*Valores!$C$2,2)</f>
        <v>772.95</v>
      </c>
      <c r="AG93" s="125">
        <f>ROUND(IF($F$4="NO",Valores!$C$63,Valores!$C$63/2),2)</f>
        <v>9724.47</v>
      </c>
      <c r="AH93" s="125">
        <f t="shared" si="15"/>
        <v>246789.91</v>
      </c>
      <c r="AI93" s="125">
        <f>Valores!$C$31</f>
        <v>0</v>
      </c>
      <c r="AJ93" s="125">
        <f>Valores!$C$87</f>
        <v>0</v>
      </c>
      <c r="AK93" s="125">
        <f>Valores!C$38*B93</f>
        <v>0</v>
      </c>
      <c r="AL93" s="125">
        <f>IF($F$3="NO",0,Valores!$C$56)</f>
        <v>0</v>
      </c>
      <c r="AM93" s="125">
        <f t="shared" si="13"/>
        <v>0</v>
      </c>
      <c r="AN93" s="125">
        <f>AH93*Valores!$C$71</f>
        <v>-27146.8901</v>
      </c>
      <c r="AO93" s="125">
        <f>AH93*-Valores!$C$72</f>
        <v>0</v>
      </c>
      <c r="AP93" s="125">
        <f>AH93*Valores!$C$73</f>
        <v>-11105.54595</v>
      </c>
      <c r="AQ93" s="125">
        <f>Valores!$C$100</f>
        <v>-554.86</v>
      </c>
      <c r="AR93" s="125">
        <f>IF($F$5=0,Valores!$C$101,(Valores!$C$101+$F$5*(Valores!$C$101)))</f>
        <v>-550</v>
      </c>
      <c r="AS93" s="125">
        <f t="shared" si="16"/>
        <v>207432.61395</v>
      </c>
      <c r="AT93" s="125">
        <f t="shared" si="10"/>
        <v>-27146.8901</v>
      </c>
      <c r="AU93" s="125">
        <f>AH93*Valores!$C$74</f>
        <v>-6663.32757</v>
      </c>
      <c r="AV93" s="125">
        <f>AH93*Valores!$C$75</f>
        <v>-740.36973</v>
      </c>
      <c r="AW93" s="125">
        <f t="shared" si="14"/>
        <v>212239.3226</v>
      </c>
      <c r="AX93" s="126"/>
      <c r="AY93" s="126">
        <v>25</v>
      </c>
      <c r="AZ93" s="123" t="s">
        <v>4</v>
      </c>
    </row>
    <row r="94" spans="1:52" s="110" customFormat="1" ht="11.25" customHeight="1">
      <c r="A94" s="123" t="s">
        <v>278</v>
      </c>
      <c r="B94" s="123">
        <v>1</v>
      </c>
      <c r="C94" s="126">
        <v>87</v>
      </c>
      <c r="D94" s="124" t="s">
        <v>279</v>
      </c>
      <c r="E94" s="191">
        <v>179</v>
      </c>
      <c r="F94" s="125">
        <f>ROUND(E94*Valores!$C$2,2)</f>
        <v>7282.04</v>
      </c>
      <c r="G94" s="191">
        <v>1712</v>
      </c>
      <c r="H94" s="125">
        <f>ROUND(G94*Valores!$C$2,2)</f>
        <v>69647.24</v>
      </c>
      <c r="I94" s="191">
        <v>0</v>
      </c>
      <c r="J94" s="125">
        <f>ROUND(I94*Valores!$C$2,2)</f>
        <v>0</v>
      </c>
      <c r="K94" s="191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16609.19</v>
      </c>
      <c r="N94" s="125">
        <f t="shared" si="11"/>
        <v>0</v>
      </c>
      <c r="O94" s="125">
        <f>Valores!$C$9</f>
        <v>51121.66</v>
      </c>
      <c r="P94" s="125">
        <f>Valores!$D$5</f>
        <v>20796.54</v>
      </c>
      <c r="Q94" s="125">
        <f>Valores!$C$22</f>
        <v>18553.83</v>
      </c>
      <c r="R94" s="125">
        <f>IF($F$4="NO",Valores!$C$44,Valores!$C$44/2)</f>
        <v>14447.16</v>
      </c>
      <c r="S94" s="125">
        <f>Valores!$C$19</f>
        <v>19351.52</v>
      </c>
      <c r="T94" s="125">
        <f t="shared" si="17"/>
        <v>19351.52</v>
      </c>
      <c r="U94" s="125">
        <v>0</v>
      </c>
      <c r="V94" s="125">
        <v>0</v>
      </c>
      <c r="W94" s="191">
        <v>0</v>
      </c>
      <c r="X94" s="125">
        <f>ROUND(W94*Valores!$C$2,2)</f>
        <v>0</v>
      </c>
      <c r="Y94" s="125">
        <v>0</v>
      </c>
      <c r="Z94" s="125">
        <f>Valores!$C$94</f>
        <v>28478.14</v>
      </c>
      <c r="AA94" s="125">
        <f>Valores!$C$25</f>
        <v>850.59</v>
      </c>
      <c r="AB94" s="210">
        <v>0</v>
      </c>
      <c r="AC94" s="125">
        <f t="shared" si="12"/>
        <v>0</v>
      </c>
      <c r="AD94" s="125">
        <f>Valores!$C$26</f>
        <v>850.59</v>
      </c>
      <c r="AE94" s="191">
        <v>0</v>
      </c>
      <c r="AF94" s="125">
        <f>ROUND(AE94*Valores!$C$2,2)</f>
        <v>0</v>
      </c>
      <c r="AG94" s="125">
        <f>ROUND(IF($F$4="NO",Valores!$C$63,Valores!$C$63/2),2)</f>
        <v>9724.47</v>
      </c>
      <c r="AH94" s="125">
        <f t="shared" si="15"/>
        <v>257712.97</v>
      </c>
      <c r="AI94" s="125">
        <f>Valores!$C$31</f>
        <v>0</v>
      </c>
      <c r="AJ94" s="125">
        <f>Valores!$C$87</f>
        <v>0</v>
      </c>
      <c r="AK94" s="125">
        <f>Valores!C$38*B94</f>
        <v>0</v>
      </c>
      <c r="AL94" s="125">
        <f>IF($F$3="NO",0,Valores!$C$56)</f>
        <v>0</v>
      </c>
      <c r="AM94" s="125">
        <f t="shared" si="13"/>
        <v>0</v>
      </c>
      <c r="AN94" s="125">
        <f>AH94*Valores!$C$71</f>
        <v>-28348.4267</v>
      </c>
      <c r="AO94" s="125">
        <f>AH94*-Valores!$C$72</f>
        <v>0</v>
      </c>
      <c r="AP94" s="125">
        <f>AH94*Valores!$C$73</f>
        <v>-11597.08365</v>
      </c>
      <c r="AQ94" s="125">
        <f>Valores!$C$100</f>
        <v>-554.86</v>
      </c>
      <c r="AR94" s="125">
        <f>IF($F$5=0,Valores!$C$101,(Valores!$C$101+$F$5*(Valores!$C$101)))</f>
        <v>-550</v>
      </c>
      <c r="AS94" s="125">
        <f t="shared" si="16"/>
        <v>216662.59965</v>
      </c>
      <c r="AT94" s="125">
        <f t="shared" si="10"/>
        <v>-28348.4267</v>
      </c>
      <c r="AU94" s="125">
        <f>AH94*Valores!$C$74</f>
        <v>-6958.25019</v>
      </c>
      <c r="AV94" s="125">
        <f>AH94*Valores!$C$75</f>
        <v>-773.13891</v>
      </c>
      <c r="AW94" s="125">
        <f t="shared" si="14"/>
        <v>221633.1542</v>
      </c>
      <c r="AX94" s="126"/>
      <c r="AY94" s="126">
        <v>25</v>
      </c>
      <c r="AZ94" s="123" t="s">
        <v>4</v>
      </c>
    </row>
    <row r="95" spans="1:52" s="110" customFormat="1" ht="11.25" customHeight="1">
      <c r="A95" s="123" t="s">
        <v>280</v>
      </c>
      <c r="B95" s="123">
        <v>1</v>
      </c>
      <c r="C95" s="126">
        <v>88</v>
      </c>
      <c r="D95" s="124" t="s">
        <v>281</v>
      </c>
      <c r="E95" s="191">
        <v>64</v>
      </c>
      <c r="F95" s="125">
        <f>ROUND(E95*Valores!$C$2,2)</f>
        <v>2603.64</v>
      </c>
      <c r="G95" s="191">
        <v>2086</v>
      </c>
      <c r="H95" s="125">
        <f>ROUND(G95*Valores!$C$2,2)</f>
        <v>84862.23</v>
      </c>
      <c r="I95" s="191">
        <v>0</v>
      </c>
      <c r="J95" s="125">
        <f>ROUND(I95*Valores!$C$2,2)</f>
        <v>0</v>
      </c>
      <c r="K95" s="191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18310.84</v>
      </c>
      <c r="N95" s="125">
        <f t="shared" si="11"/>
        <v>0</v>
      </c>
      <c r="O95" s="125">
        <f>Valores!$C$9</f>
        <v>51121.66</v>
      </c>
      <c r="P95" s="125">
        <f>Valores!$D$5</f>
        <v>20796.54</v>
      </c>
      <c r="Q95" s="125">
        <f>Valores!$C$22</f>
        <v>18553.83</v>
      </c>
      <c r="R95" s="125">
        <f>IF($F$4="NO",Valores!$C$45,Valores!$C$45/2)</f>
        <v>15254.85</v>
      </c>
      <c r="S95" s="125">
        <f>Valores!$C$19</f>
        <v>19351.52</v>
      </c>
      <c r="T95" s="125">
        <f t="shared" si="17"/>
        <v>19351.52</v>
      </c>
      <c r="U95" s="125">
        <v>0</v>
      </c>
      <c r="V95" s="125">
        <v>0</v>
      </c>
      <c r="W95" s="191">
        <v>0</v>
      </c>
      <c r="X95" s="125">
        <f>ROUND(W95*Valores!$C$2,2)</f>
        <v>0</v>
      </c>
      <c r="Y95" s="125">
        <v>0</v>
      </c>
      <c r="Z95" s="125">
        <f>Valores!$C$95</f>
        <v>34173.77</v>
      </c>
      <c r="AA95" s="125">
        <f>Valores!$C$25</f>
        <v>850.59</v>
      </c>
      <c r="AB95" s="210">
        <v>0</v>
      </c>
      <c r="AC95" s="125">
        <f t="shared" si="12"/>
        <v>0</v>
      </c>
      <c r="AD95" s="125">
        <f>Valores!$C$26</f>
        <v>850.59</v>
      </c>
      <c r="AE95" s="191">
        <v>0</v>
      </c>
      <c r="AF95" s="125">
        <f>ROUND(AE95*Valores!$C$2,2)</f>
        <v>0</v>
      </c>
      <c r="AG95" s="125">
        <f>ROUND(IF($F$4="NO",Valores!$C$63,Valores!$C$63/2),2)</f>
        <v>9724.47</v>
      </c>
      <c r="AH95" s="125">
        <f t="shared" si="15"/>
        <v>276454.53</v>
      </c>
      <c r="AI95" s="125">
        <f>Valores!$C$31</f>
        <v>0</v>
      </c>
      <c r="AJ95" s="125">
        <f>Valores!$C$88</f>
        <v>0</v>
      </c>
      <c r="AK95" s="125">
        <f>Valores!C$38*B95</f>
        <v>0</v>
      </c>
      <c r="AL95" s="125">
        <f>IF($F$3="NO",0,Valores!$C$56)</f>
        <v>0</v>
      </c>
      <c r="AM95" s="125">
        <f t="shared" si="13"/>
        <v>0</v>
      </c>
      <c r="AN95" s="125">
        <f>AH95*Valores!$C$71</f>
        <v>-30409.998300000003</v>
      </c>
      <c r="AO95" s="125">
        <f>AH95*-Valores!$C$72</f>
        <v>0</v>
      </c>
      <c r="AP95" s="125">
        <f>AH95*Valores!$C$73</f>
        <v>-12440.453850000002</v>
      </c>
      <c r="AQ95" s="125">
        <f>Valores!$C$100</f>
        <v>-554.86</v>
      </c>
      <c r="AR95" s="125">
        <f>IF($F$5=0,Valores!$C$101,(Valores!$C$101+$F$5*(Valores!$C$101)))</f>
        <v>-550</v>
      </c>
      <c r="AS95" s="125">
        <f t="shared" si="16"/>
        <v>232499.21785000002</v>
      </c>
      <c r="AT95" s="125">
        <f t="shared" si="10"/>
        <v>-30409.998300000003</v>
      </c>
      <c r="AU95" s="125">
        <f>AH95*Valores!$C$74</f>
        <v>-7464.27231</v>
      </c>
      <c r="AV95" s="125">
        <f>AH95*Valores!$C$75</f>
        <v>-829.36359</v>
      </c>
      <c r="AW95" s="125">
        <f t="shared" si="14"/>
        <v>237750.89580000003</v>
      </c>
      <c r="AX95" s="126"/>
      <c r="AY95" s="126">
        <v>25</v>
      </c>
      <c r="AZ95" s="123" t="s">
        <v>4</v>
      </c>
    </row>
    <row r="96" spans="1:52" s="110" customFormat="1" ht="11.25" customHeight="1">
      <c r="A96" s="123" t="s">
        <v>282</v>
      </c>
      <c r="B96" s="123">
        <v>1</v>
      </c>
      <c r="C96" s="126">
        <v>89</v>
      </c>
      <c r="D96" s="124" t="s">
        <v>283</v>
      </c>
      <c r="E96" s="191">
        <v>89</v>
      </c>
      <c r="F96" s="125">
        <f>ROUND(E96*Valores!$C$2,2)</f>
        <v>3620.68</v>
      </c>
      <c r="G96" s="191">
        <v>2481</v>
      </c>
      <c r="H96" s="125">
        <f>ROUND(G96*Valores!$C$2,2)</f>
        <v>100931.55</v>
      </c>
      <c r="I96" s="191">
        <v>0</v>
      </c>
      <c r="J96" s="125">
        <f>ROUND(I96*Valores!$C$2,2)</f>
        <v>0</v>
      </c>
      <c r="K96" s="191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20752.64</v>
      </c>
      <c r="N96" s="125">
        <f t="shared" si="11"/>
        <v>0</v>
      </c>
      <c r="O96" s="125">
        <f>Valores!$C$8</f>
        <v>50989.899999999994</v>
      </c>
      <c r="P96" s="125">
        <f>Valores!$D$5</f>
        <v>20796.54</v>
      </c>
      <c r="Q96" s="125">
        <v>0</v>
      </c>
      <c r="R96" s="125">
        <f>IF($F$4="NO",Valores!$C$44,Valores!$C$44/2)</f>
        <v>14447.16</v>
      </c>
      <c r="S96" s="125">
        <f>Valores!$C$19</f>
        <v>19351.52</v>
      </c>
      <c r="T96" s="125">
        <f t="shared" si="17"/>
        <v>19351.52</v>
      </c>
      <c r="U96" s="125">
        <v>0</v>
      </c>
      <c r="V96" s="125">
        <v>0</v>
      </c>
      <c r="W96" s="191">
        <v>0</v>
      </c>
      <c r="X96" s="125">
        <f>ROUND(W96*Valores!$C$2,2)</f>
        <v>0</v>
      </c>
      <c r="Y96" s="125">
        <v>0</v>
      </c>
      <c r="Z96" s="125">
        <f>Valores!$C$94</f>
        <v>28478.14</v>
      </c>
      <c r="AA96" s="125">
        <f>Valores!$C$25</f>
        <v>850.59</v>
      </c>
      <c r="AB96" s="210">
        <v>0</v>
      </c>
      <c r="AC96" s="125">
        <f t="shared" si="12"/>
        <v>0</v>
      </c>
      <c r="AD96" s="125">
        <f>Valores!$C$26</f>
        <v>850.59</v>
      </c>
      <c r="AE96" s="191">
        <v>0</v>
      </c>
      <c r="AF96" s="125">
        <f>ROUND(AE96*Valores!$C$2,2)</f>
        <v>0</v>
      </c>
      <c r="AG96" s="125">
        <f>ROUND(IF($F$4="NO",Valores!$C$63,Valores!$C$63/2),2)</f>
        <v>9724.47</v>
      </c>
      <c r="AH96" s="125">
        <f t="shared" si="15"/>
        <v>270793.77999999997</v>
      </c>
      <c r="AI96" s="125">
        <f>Valores!$C$31</f>
        <v>0</v>
      </c>
      <c r="AJ96" s="125">
        <f>Valores!$C$87</f>
        <v>0</v>
      </c>
      <c r="AK96" s="125">
        <f>Valores!C$38*B96</f>
        <v>0</v>
      </c>
      <c r="AL96" s="125">
        <f>IF($F$3="NO",0,Valores!$C$56)</f>
        <v>0</v>
      </c>
      <c r="AM96" s="125">
        <f t="shared" si="13"/>
        <v>0</v>
      </c>
      <c r="AN96" s="125">
        <f>AH96*Valores!$C$71</f>
        <v>-29787.315799999997</v>
      </c>
      <c r="AO96" s="125">
        <f>AH96*-Valores!$C$72</f>
        <v>0</v>
      </c>
      <c r="AP96" s="125">
        <f>AH96*Valores!$C$73</f>
        <v>-12185.720099999999</v>
      </c>
      <c r="AQ96" s="125">
        <f>Valores!$C$100</f>
        <v>-554.86</v>
      </c>
      <c r="AR96" s="125">
        <f>IF($F$5=0,Valores!$C$101,(Valores!$C$101+$F$5*(Valores!$C$101)))</f>
        <v>-550</v>
      </c>
      <c r="AS96" s="125">
        <f t="shared" si="16"/>
        <v>227715.88409999997</v>
      </c>
      <c r="AT96" s="125">
        <f t="shared" si="10"/>
        <v>-29787.315799999997</v>
      </c>
      <c r="AU96" s="125">
        <f>AH96*Valores!$C$74</f>
        <v>-7311.432059999999</v>
      </c>
      <c r="AV96" s="125">
        <f>AH96*Valores!$C$75</f>
        <v>-812.3813399999999</v>
      </c>
      <c r="AW96" s="125">
        <f t="shared" si="14"/>
        <v>232882.65079999997</v>
      </c>
      <c r="AX96" s="126"/>
      <c r="AY96" s="126">
        <v>25</v>
      </c>
      <c r="AZ96" s="123" t="s">
        <v>8</v>
      </c>
    </row>
    <row r="97" spans="1:52" s="110" customFormat="1" ht="11.25" customHeight="1">
      <c r="A97" s="123" t="s">
        <v>284</v>
      </c>
      <c r="B97" s="123">
        <v>1</v>
      </c>
      <c r="C97" s="126">
        <v>90</v>
      </c>
      <c r="D97" s="124" t="s">
        <v>285</v>
      </c>
      <c r="E97" s="191">
        <v>89</v>
      </c>
      <c r="F97" s="125">
        <f>ROUND(E97*Valores!$C$2,2)</f>
        <v>3620.68</v>
      </c>
      <c r="G97" s="191">
        <v>2381</v>
      </c>
      <c r="H97" s="125">
        <f>ROUND(G97*Valores!$C$2,2)</f>
        <v>96863.37</v>
      </c>
      <c r="I97" s="191">
        <v>0</v>
      </c>
      <c r="J97" s="125">
        <f>ROUND(I97*Valores!$C$2,2)</f>
        <v>0</v>
      </c>
      <c r="K97" s="191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20142.41</v>
      </c>
      <c r="N97" s="125">
        <f t="shared" si="11"/>
        <v>0</v>
      </c>
      <c r="O97" s="125">
        <f>Valores!$C$16</f>
        <v>35154.38</v>
      </c>
      <c r="P97" s="125">
        <f>Valores!$D$5</f>
        <v>20796.54</v>
      </c>
      <c r="Q97" s="125">
        <f>Valores!$C$22</f>
        <v>18553.83</v>
      </c>
      <c r="R97" s="125">
        <f>IF($F$4="NO",Valores!$C$44,Valores!$C$44/2)</f>
        <v>14447.16</v>
      </c>
      <c r="S97" s="125">
        <f>Valores!$C$19</f>
        <v>19351.52</v>
      </c>
      <c r="T97" s="125">
        <f t="shared" si="17"/>
        <v>19351.52</v>
      </c>
      <c r="U97" s="125">
        <v>0</v>
      </c>
      <c r="V97" s="125">
        <v>0</v>
      </c>
      <c r="W97" s="191">
        <v>0</v>
      </c>
      <c r="X97" s="125">
        <f>ROUND(W97*Valores!$C$2,2)</f>
        <v>0</v>
      </c>
      <c r="Y97" s="125">
        <v>0</v>
      </c>
      <c r="Z97" s="125">
        <f>Valores!$C$94</f>
        <v>28478.14</v>
      </c>
      <c r="AA97" s="125">
        <f>Valores!$C$25</f>
        <v>850.59</v>
      </c>
      <c r="AB97" s="210">
        <v>0</v>
      </c>
      <c r="AC97" s="125">
        <f t="shared" si="12"/>
        <v>0</v>
      </c>
      <c r="AD97" s="125">
        <f>Valores!$C$26</f>
        <v>850.59</v>
      </c>
      <c r="AE97" s="191">
        <v>0</v>
      </c>
      <c r="AF97" s="125">
        <f>ROUND(AE97*Valores!$C$2,2)</f>
        <v>0</v>
      </c>
      <c r="AG97" s="125">
        <f>ROUND(IF($F$4="NO",Valores!$C$63,Valores!$C$63/2),2)</f>
        <v>9724.47</v>
      </c>
      <c r="AH97" s="125">
        <f t="shared" si="15"/>
        <v>268833.68</v>
      </c>
      <c r="AI97" s="125">
        <f>Valores!$C$31</f>
        <v>0</v>
      </c>
      <c r="AJ97" s="125">
        <f>Valores!$C$87</f>
        <v>0</v>
      </c>
      <c r="AK97" s="125">
        <f>Valores!C$38*B97</f>
        <v>0</v>
      </c>
      <c r="AL97" s="125">
        <f>IF($F$3="NO",0,Valores!$C$56)</f>
        <v>0</v>
      </c>
      <c r="AM97" s="125">
        <f t="shared" si="13"/>
        <v>0</v>
      </c>
      <c r="AN97" s="125">
        <f>AH97*Valores!$C$71</f>
        <v>-29571.7048</v>
      </c>
      <c r="AO97" s="125">
        <f>AH97*-Valores!$C$72</f>
        <v>0</v>
      </c>
      <c r="AP97" s="125">
        <f>AH97*Valores!$C$73</f>
        <v>-12097.515599999999</v>
      </c>
      <c r="AQ97" s="125">
        <f>Valores!$C$100</f>
        <v>-554.86</v>
      </c>
      <c r="AR97" s="125">
        <f>IF($F$5=0,Valores!$C$101,(Valores!$C$101+$F$5*(Valores!$C$101)))</f>
        <v>-550</v>
      </c>
      <c r="AS97" s="125">
        <f t="shared" si="16"/>
        <v>226059.5996</v>
      </c>
      <c r="AT97" s="125">
        <f t="shared" si="10"/>
        <v>-29571.7048</v>
      </c>
      <c r="AU97" s="125">
        <f>AH97*Valores!$C$74</f>
        <v>-7258.50936</v>
      </c>
      <c r="AV97" s="125">
        <f>AH97*Valores!$C$75</f>
        <v>-806.50104</v>
      </c>
      <c r="AW97" s="125">
        <f t="shared" si="14"/>
        <v>231196.9648</v>
      </c>
      <c r="AX97" s="126"/>
      <c r="AY97" s="126">
        <v>25</v>
      </c>
      <c r="AZ97" s="123" t="s">
        <v>4</v>
      </c>
    </row>
    <row r="98" spans="1:52" s="110" customFormat="1" ht="11.25" customHeight="1">
      <c r="A98" s="123" t="s">
        <v>286</v>
      </c>
      <c r="B98" s="123">
        <v>1</v>
      </c>
      <c r="C98" s="126">
        <v>91</v>
      </c>
      <c r="D98" s="124" t="s">
        <v>287</v>
      </c>
      <c r="E98" s="191">
        <v>89</v>
      </c>
      <c r="F98" s="125">
        <f>ROUND(E98*Valores!$C$2,2)</f>
        <v>3620.68</v>
      </c>
      <c r="G98" s="191">
        <v>1768</v>
      </c>
      <c r="H98" s="125">
        <f>ROUND(G98*Valores!$C$2,2)</f>
        <v>71925.42</v>
      </c>
      <c r="I98" s="191">
        <v>0</v>
      </c>
      <c r="J98" s="125">
        <f>ROUND(I98*Valores!$C$2,2)</f>
        <v>0</v>
      </c>
      <c r="K98" s="191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16401.72</v>
      </c>
      <c r="N98" s="125">
        <f t="shared" si="11"/>
        <v>0</v>
      </c>
      <c r="O98" s="125">
        <f>Valores!$C$16</f>
        <v>35154.38</v>
      </c>
      <c r="P98" s="125">
        <f>Valores!$D$5</f>
        <v>20796.54</v>
      </c>
      <c r="Q98" s="125">
        <f>Valores!$C$22</f>
        <v>18553.83</v>
      </c>
      <c r="R98" s="125">
        <f>IF($F$4="NO",Valores!$C$44,Valores!$C$44/2)</f>
        <v>14447.16</v>
      </c>
      <c r="S98" s="125">
        <f>Valores!$C$19</f>
        <v>19351.52</v>
      </c>
      <c r="T98" s="125">
        <f t="shared" si="17"/>
        <v>19351.52</v>
      </c>
      <c r="U98" s="125">
        <v>0</v>
      </c>
      <c r="V98" s="125">
        <v>0</v>
      </c>
      <c r="W98" s="191">
        <v>0</v>
      </c>
      <c r="X98" s="125">
        <f>ROUND(W98*Valores!$C$2,2)</f>
        <v>0</v>
      </c>
      <c r="Y98" s="125">
        <v>0</v>
      </c>
      <c r="Z98" s="125">
        <f>Valores!$C$94</f>
        <v>28478.14</v>
      </c>
      <c r="AA98" s="125">
        <f>Valores!$C$25</f>
        <v>850.59</v>
      </c>
      <c r="AB98" s="210">
        <v>0</v>
      </c>
      <c r="AC98" s="125">
        <f t="shared" si="12"/>
        <v>0</v>
      </c>
      <c r="AD98" s="125">
        <f>Valores!$C$26</f>
        <v>850.59</v>
      </c>
      <c r="AE98" s="191">
        <v>0</v>
      </c>
      <c r="AF98" s="125">
        <f>ROUND(AE98*Valores!$C$2,2)</f>
        <v>0</v>
      </c>
      <c r="AG98" s="125">
        <f>ROUND(IF($F$4="NO",Valores!$C$63,Valores!$C$63/2),2)</f>
        <v>9724.47</v>
      </c>
      <c r="AH98" s="125">
        <f t="shared" si="15"/>
        <v>240155.04</v>
      </c>
      <c r="AI98" s="125">
        <f>Valores!$C$31</f>
        <v>0</v>
      </c>
      <c r="AJ98" s="125">
        <f>Valores!$C$87</f>
        <v>0</v>
      </c>
      <c r="AK98" s="125">
        <f>Valores!C$38*B98</f>
        <v>0</v>
      </c>
      <c r="AL98" s="125">
        <f>IF($F$3="NO",0,Valores!$C$56)</f>
        <v>0</v>
      </c>
      <c r="AM98" s="125">
        <f t="shared" si="13"/>
        <v>0</v>
      </c>
      <c r="AN98" s="125">
        <f>AH98*Valores!$C$71</f>
        <v>-26417.0544</v>
      </c>
      <c r="AO98" s="125">
        <f>AH98*-Valores!$C$72</f>
        <v>0</v>
      </c>
      <c r="AP98" s="125">
        <f>AH98*Valores!$C$73</f>
        <v>-10806.9768</v>
      </c>
      <c r="AQ98" s="125">
        <f>Valores!$C$100</f>
        <v>-554.86</v>
      </c>
      <c r="AR98" s="125">
        <f>IF($F$5=0,Valores!$C$101,(Valores!$C$101+$F$5*(Valores!$C$101)))</f>
        <v>-550</v>
      </c>
      <c r="AS98" s="125">
        <f t="shared" si="16"/>
        <v>201826.14880000002</v>
      </c>
      <c r="AT98" s="125">
        <f t="shared" si="10"/>
        <v>-26417.0544</v>
      </c>
      <c r="AU98" s="125">
        <f>AH98*Valores!$C$74</f>
        <v>-6484.18608</v>
      </c>
      <c r="AV98" s="125">
        <f>AH98*Valores!$C$75</f>
        <v>-720.4651200000001</v>
      </c>
      <c r="AW98" s="125">
        <f t="shared" si="14"/>
        <v>206533.3344</v>
      </c>
      <c r="AX98" s="126"/>
      <c r="AY98" s="126">
        <v>25</v>
      </c>
      <c r="AZ98" s="123" t="s">
        <v>4</v>
      </c>
    </row>
    <row r="99" spans="1:52" s="110" customFormat="1" ht="11.25" customHeight="1">
      <c r="A99" s="123" t="s">
        <v>288</v>
      </c>
      <c r="B99" s="123">
        <v>1</v>
      </c>
      <c r="C99" s="126">
        <v>92</v>
      </c>
      <c r="D99" s="124" t="s">
        <v>289</v>
      </c>
      <c r="E99" s="191">
        <v>89</v>
      </c>
      <c r="F99" s="125">
        <f>ROUND(E99*Valores!$C$2,2)</f>
        <v>3620.68</v>
      </c>
      <c r="G99" s="191">
        <v>1768</v>
      </c>
      <c r="H99" s="125">
        <f>ROUND(G99*Valores!$C$2,2)</f>
        <v>71925.42</v>
      </c>
      <c r="I99" s="191">
        <v>0</v>
      </c>
      <c r="J99" s="125">
        <f>ROUND(I99*Valores!$C$2,2)</f>
        <v>0</v>
      </c>
      <c r="K99" s="191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16401.72</v>
      </c>
      <c r="N99" s="125">
        <f t="shared" si="11"/>
        <v>0</v>
      </c>
      <c r="O99" s="125">
        <f>Valores!$C$8</f>
        <v>50989.899999999994</v>
      </c>
      <c r="P99" s="125">
        <f>Valores!$D$5</f>
        <v>20796.54</v>
      </c>
      <c r="Q99" s="125">
        <f>Valores!$C$22</f>
        <v>18553.83</v>
      </c>
      <c r="R99" s="125">
        <f>IF($F$4="NO",Valores!$C$44,Valores!$C$44/2)</f>
        <v>14447.16</v>
      </c>
      <c r="S99" s="125">
        <f>Valores!$C$19</f>
        <v>19351.52</v>
      </c>
      <c r="T99" s="125">
        <f t="shared" si="17"/>
        <v>19351.52</v>
      </c>
      <c r="U99" s="125">
        <v>0</v>
      </c>
      <c r="V99" s="125">
        <v>0</v>
      </c>
      <c r="W99" s="191">
        <v>0</v>
      </c>
      <c r="X99" s="125">
        <f>ROUND(W99*Valores!$C$2,2)</f>
        <v>0</v>
      </c>
      <c r="Y99" s="125">
        <v>0</v>
      </c>
      <c r="Z99" s="125">
        <f>Valores!$C$94</f>
        <v>28478.14</v>
      </c>
      <c r="AA99" s="125">
        <f>Valores!$C$25</f>
        <v>850.59</v>
      </c>
      <c r="AB99" s="210">
        <v>0</v>
      </c>
      <c r="AC99" s="125">
        <f t="shared" si="12"/>
        <v>0</v>
      </c>
      <c r="AD99" s="125">
        <f>Valores!$C$26</f>
        <v>850.59</v>
      </c>
      <c r="AE99" s="191">
        <v>0</v>
      </c>
      <c r="AF99" s="125">
        <f>ROUND(AE99*Valores!$C$2,2)</f>
        <v>0</v>
      </c>
      <c r="AG99" s="125">
        <f>ROUND(IF($F$4="NO",Valores!$C$63,Valores!$C$63/2),2)</f>
        <v>9724.47</v>
      </c>
      <c r="AH99" s="125">
        <f t="shared" si="15"/>
        <v>255990.55999999997</v>
      </c>
      <c r="AI99" s="125">
        <f>Valores!$C$31</f>
        <v>0</v>
      </c>
      <c r="AJ99" s="125">
        <f>Valores!$C$87</f>
        <v>0</v>
      </c>
      <c r="AK99" s="125">
        <f>Valores!C$38*B99</f>
        <v>0</v>
      </c>
      <c r="AL99" s="125">
        <f>IF($F$3="NO",0,Valores!$C$56)</f>
        <v>0</v>
      </c>
      <c r="AM99" s="125">
        <f t="shared" si="13"/>
        <v>0</v>
      </c>
      <c r="AN99" s="125">
        <f>AH99*Valores!$C$71</f>
        <v>-28158.961599999995</v>
      </c>
      <c r="AO99" s="125">
        <f>AH99*-Valores!$C$72</f>
        <v>0</v>
      </c>
      <c r="AP99" s="125">
        <f>AH99*Valores!$C$73</f>
        <v>-11519.575199999997</v>
      </c>
      <c r="AQ99" s="125">
        <f>Valores!$C$100</f>
        <v>-554.86</v>
      </c>
      <c r="AR99" s="125">
        <f>IF($F$5=0,Valores!$C$101,(Valores!$C$101+$F$5*(Valores!$C$101)))</f>
        <v>-550</v>
      </c>
      <c r="AS99" s="125">
        <f t="shared" si="16"/>
        <v>215207.16319999998</v>
      </c>
      <c r="AT99" s="125">
        <f t="shared" si="10"/>
        <v>-28158.961599999995</v>
      </c>
      <c r="AU99" s="125">
        <f>AH99*Valores!$C$74</f>
        <v>-6911.745119999999</v>
      </c>
      <c r="AV99" s="125">
        <f>AH99*Valores!$C$75</f>
        <v>-767.9716799999999</v>
      </c>
      <c r="AW99" s="125">
        <f t="shared" si="14"/>
        <v>220151.88159999996</v>
      </c>
      <c r="AX99" s="126"/>
      <c r="AY99" s="126"/>
      <c r="AZ99" s="123" t="s">
        <v>4</v>
      </c>
    </row>
    <row r="100" spans="1:52" s="110" customFormat="1" ht="11.25" customHeight="1">
      <c r="A100" s="123" t="s">
        <v>290</v>
      </c>
      <c r="B100" s="123">
        <v>1</v>
      </c>
      <c r="C100" s="126">
        <v>93</v>
      </c>
      <c r="D100" s="124" t="s">
        <v>291</v>
      </c>
      <c r="E100" s="191">
        <v>89</v>
      </c>
      <c r="F100" s="125">
        <f>ROUND(E100*Valores!$C$2,2)</f>
        <v>3620.68</v>
      </c>
      <c r="G100" s="191">
        <v>2211</v>
      </c>
      <c r="H100" s="125">
        <f>ROUND(G100*Valores!$C$2,2)</f>
        <v>89947.46</v>
      </c>
      <c r="I100" s="191">
        <v>0</v>
      </c>
      <c r="J100" s="125">
        <f>ROUND(I100*Valores!$C$2,2)</f>
        <v>0</v>
      </c>
      <c r="K100" s="191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19105.02</v>
      </c>
      <c r="N100" s="125">
        <f t="shared" si="11"/>
        <v>0</v>
      </c>
      <c r="O100" s="125">
        <f>Valores!$C$8</f>
        <v>50989.899999999994</v>
      </c>
      <c r="P100" s="125">
        <f>Valores!$D$5</f>
        <v>20796.54</v>
      </c>
      <c r="Q100" s="125">
        <f>Valores!$C$22</f>
        <v>18553.83</v>
      </c>
      <c r="R100" s="125">
        <f>IF($F$4="NO",Valores!$C$44,Valores!$C$44/2)</f>
        <v>14447.16</v>
      </c>
      <c r="S100" s="125">
        <f>Valores!$C$19</f>
        <v>19351.52</v>
      </c>
      <c r="T100" s="125">
        <f t="shared" si="17"/>
        <v>19351.52</v>
      </c>
      <c r="U100" s="125">
        <v>0</v>
      </c>
      <c r="V100" s="125">
        <v>0</v>
      </c>
      <c r="W100" s="191">
        <v>0</v>
      </c>
      <c r="X100" s="125">
        <f>ROUND(W100*Valores!$C$2,2)</f>
        <v>0</v>
      </c>
      <c r="Y100" s="125">
        <v>0</v>
      </c>
      <c r="Z100" s="125">
        <f>Valores!$C$94</f>
        <v>28478.14</v>
      </c>
      <c r="AA100" s="125">
        <f>Valores!$C$25</f>
        <v>850.59</v>
      </c>
      <c r="AB100" s="210">
        <v>0</v>
      </c>
      <c r="AC100" s="125">
        <f t="shared" si="12"/>
        <v>0</v>
      </c>
      <c r="AD100" s="125">
        <f>Valores!$C$26</f>
        <v>850.59</v>
      </c>
      <c r="AE100" s="191">
        <v>0</v>
      </c>
      <c r="AF100" s="125">
        <f>ROUND(AE100*Valores!$C$2,2)</f>
        <v>0</v>
      </c>
      <c r="AG100" s="125">
        <f>ROUND(IF($F$4="NO",Valores!$C$63,Valores!$C$63/2),2)</f>
        <v>9724.47</v>
      </c>
      <c r="AH100" s="125">
        <f t="shared" si="15"/>
        <v>276715.9</v>
      </c>
      <c r="AI100" s="125">
        <f>Valores!$C$31</f>
        <v>0</v>
      </c>
      <c r="AJ100" s="125">
        <f>Valores!$C$87</f>
        <v>0</v>
      </c>
      <c r="AK100" s="125">
        <f>Valores!C$38*B100</f>
        <v>0</v>
      </c>
      <c r="AL100" s="125">
        <f>IF($F$3="NO",0,Valores!$C$56)</f>
        <v>0</v>
      </c>
      <c r="AM100" s="125">
        <f t="shared" si="13"/>
        <v>0</v>
      </c>
      <c r="AN100" s="125">
        <f>AH100*Valores!$C$71</f>
        <v>-30438.749000000003</v>
      </c>
      <c r="AO100" s="125">
        <f>AH100*-Valores!$C$72</f>
        <v>0</v>
      </c>
      <c r="AP100" s="125">
        <f>AH100*Valores!$C$73</f>
        <v>-12452.2155</v>
      </c>
      <c r="AQ100" s="125">
        <f>Valores!$C$100</f>
        <v>-554.86</v>
      </c>
      <c r="AR100" s="125">
        <f>IF($F$5=0,Valores!$C$101,(Valores!$C$101+$F$5*(Valores!$C$101)))</f>
        <v>-550</v>
      </c>
      <c r="AS100" s="125">
        <f t="shared" si="16"/>
        <v>232720.07550000004</v>
      </c>
      <c r="AT100" s="125">
        <f t="shared" si="10"/>
        <v>-30438.749000000003</v>
      </c>
      <c r="AU100" s="125">
        <f>AH100*Valores!$C$74</f>
        <v>-7471.3293</v>
      </c>
      <c r="AV100" s="125">
        <f>AH100*Valores!$C$75</f>
        <v>-830.1477000000001</v>
      </c>
      <c r="AW100" s="125">
        <f t="shared" si="14"/>
        <v>237975.67400000003</v>
      </c>
      <c r="AX100" s="126"/>
      <c r="AY100" s="126"/>
      <c r="AZ100" s="123" t="s">
        <v>4</v>
      </c>
    </row>
    <row r="101" spans="1:52" s="110" customFormat="1" ht="11.25" customHeight="1">
      <c r="A101" s="123" t="s">
        <v>292</v>
      </c>
      <c r="B101" s="123">
        <v>1</v>
      </c>
      <c r="C101" s="126">
        <v>94</v>
      </c>
      <c r="D101" s="124" t="s">
        <v>293</v>
      </c>
      <c r="E101" s="191">
        <v>89</v>
      </c>
      <c r="F101" s="125">
        <f>ROUND(E101*Valores!$C$2,2)</f>
        <v>3620.68</v>
      </c>
      <c r="G101" s="191">
        <v>1956</v>
      </c>
      <c r="H101" s="125">
        <f>ROUND(G101*Valores!$C$2,2)</f>
        <v>79573.6</v>
      </c>
      <c r="I101" s="191">
        <v>0</v>
      </c>
      <c r="J101" s="125">
        <f>ROUND(I101*Valores!$C$2,2)</f>
        <v>0</v>
      </c>
      <c r="K101" s="191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17548.94</v>
      </c>
      <c r="N101" s="125">
        <f t="shared" si="11"/>
        <v>0</v>
      </c>
      <c r="O101" s="125">
        <f>Valores!$C$16</f>
        <v>35154.38</v>
      </c>
      <c r="P101" s="125">
        <f>Valores!$D$5</f>
        <v>20796.54</v>
      </c>
      <c r="Q101" s="125">
        <v>0</v>
      </c>
      <c r="R101" s="125">
        <f>IF($F$4="NO",Valores!$C$44,Valores!$C$44/2)</f>
        <v>14447.16</v>
      </c>
      <c r="S101" s="125">
        <f>Valores!$C$19</f>
        <v>19351.52</v>
      </c>
      <c r="T101" s="125">
        <f t="shared" si="17"/>
        <v>19351.52</v>
      </c>
      <c r="U101" s="125">
        <v>0</v>
      </c>
      <c r="V101" s="125">
        <v>0</v>
      </c>
      <c r="W101" s="191">
        <v>0</v>
      </c>
      <c r="X101" s="125">
        <f>ROUND(W101*Valores!$C$2,2)</f>
        <v>0</v>
      </c>
      <c r="Y101" s="125">
        <v>0</v>
      </c>
      <c r="Z101" s="125">
        <f>Valores!$C$94</f>
        <v>28478.14</v>
      </c>
      <c r="AA101" s="125">
        <f>Valores!$C$25</f>
        <v>850.59</v>
      </c>
      <c r="AB101" s="210">
        <v>0</v>
      </c>
      <c r="AC101" s="125">
        <f t="shared" si="12"/>
        <v>0</v>
      </c>
      <c r="AD101" s="125">
        <f>Valores!$C$26</f>
        <v>850.59</v>
      </c>
      <c r="AE101" s="191">
        <v>0</v>
      </c>
      <c r="AF101" s="125">
        <f>ROUND(AE101*Valores!$C$2,2)</f>
        <v>0</v>
      </c>
      <c r="AG101" s="125">
        <f>ROUND(IF($F$4="NO",Valores!$C$63,Valores!$C$63/2),2)</f>
        <v>9724.47</v>
      </c>
      <c r="AH101" s="125">
        <f t="shared" si="15"/>
        <v>230396.61000000002</v>
      </c>
      <c r="AI101" s="125">
        <f>Valores!$C$31</f>
        <v>0</v>
      </c>
      <c r="AJ101" s="125">
        <f>Valores!$C$87</f>
        <v>0</v>
      </c>
      <c r="AK101" s="125">
        <f>Valores!C$38*B101</f>
        <v>0</v>
      </c>
      <c r="AL101" s="125">
        <f>IF($F$3="NO",0,Valores!$C$56)</f>
        <v>0</v>
      </c>
      <c r="AM101" s="125">
        <f t="shared" si="13"/>
        <v>0</v>
      </c>
      <c r="AN101" s="125">
        <f>AH101*Valores!$C$71</f>
        <v>-25343.6271</v>
      </c>
      <c r="AO101" s="125">
        <f>AH101*-Valores!$C$72</f>
        <v>0</v>
      </c>
      <c r="AP101" s="125">
        <f>AH101*Valores!$C$73</f>
        <v>-10367.847450000001</v>
      </c>
      <c r="AQ101" s="125">
        <f>Valores!$C$100</f>
        <v>-554.86</v>
      </c>
      <c r="AR101" s="125">
        <f>IF($F$5=0,Valores!$C$101,(Valores!$C$101+$F$5*(Valores!$C$101)))</f>
        <v>-550</v>
      </c>
      <c r="AS101" s="125">
        <f t="shared" si="16"/>
        <v>193580.27545000002</v>
      </c>
      <c r="AT101" s="125">
        <f t="shared" si="10"/>
        <v>-25343.6271</v>
      </c>
      <c r="AU101" s="125">
        <f>AH101*Valores!$C$74</f>
        <v>-6220.7084700000005</v>
      </c>
      <c r="AV101" s="125">
        <f>AH101*Valores!$C$75</f>
        <v>-691.18983</v>
      </c>
      <c r="AW101" s="125">
        <f t="shared" si="14"/>
        <v>198141.0846</v>
      </c>
      <c r="AX101" s="126"/>
      <c r="AY101" s="126"/>
      <c r="AZ101" s="123" t="s">
        <v>8</v>
      </c>
    </row>
    <row r="102" spans="1:52" s="110" customFormat="1" ht="11.25" customHeight="1">
      <c r="A102" s="123" t="s">
        <v>294</v>
      </c>
      <c r="B102" s="123">
        <v>1</v>
      </c>
      <c r="C102" s="126">
        <v>95</v>
      </c>
      <c r="D102" s="124" t="s">
        <v>295</v>
      </c>
      <c r="E102" s="191">
        <v>89</v>
      </c>
      <c r="F102" s="125">
        <f>ROUND(E102*Valores!$C$2,2)</f>
        <v>3620.68</v>
      </c>
      <c r="G102" s="191">
        <v>1267</v>
      </c>
      <c r="H102" s="125">
        <f>ROUND(G102*Valores!$C$2,2)</f>
        <v>51543.84</v>
      </c>
      <c r="I102" s="191">
        <v>0</v>
      </c>
      <c r="J102" s="125">
        <f>ROUND(I102*Valores!$C$2,2)</f>
        <v>0</v>
      </c>
      <c r="K102" s="191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13344.48</v>
      </c>
      <c r="N102" s="125">
        <f t="shared" si="11"/>
        <v>0</v>
      </c>
      <c r="O102" s="125">
        <f>Valores!$C$16</f>
        <v>35154.38</v>
      </c>
      <c r="P102" s="125">
        <f>Valores!$D$5</f>
        <v>20796.54</v>
      </c>
      <c r="Q102" s="125">
        <v>0</v>
      </c>
      <c r="R102" s="125">
        <f>IF($F$4="NO",Valores!$C$44,Valores!$C$44/2)</f>
        <v>14447.16</v>
      </c>
      <c r="S102" s="125">
        <f>Valores!$C$19</f>
        <v>19351.52</v>
      </c>
      <c r="T102" s="125">
        <f t="shared" si="17"/>
        <v>19351.52</v>
      </c>
      <c r="U102" s="125">
        <v>0</v>
      </c>
      <c r="V102" s="125">
        <v>0</v>
      </c>
      <c r="W102" s="191">
        <v>0</v>
      </c>
      <c r="X102" s="125">
        <f>ROUND(W102*Valores!$C$2,2)</f>
        <v>0</v>
      </c>
      <c r="Y102" s="125">
        <v>0</v>
      </c>
      <c r="Z102" s="125">
        <f>Valores!$C$94</f>
        <v>28478.14</v>
      </c>
      <c r="AA102" s="125">
        <f>Valores!$C$25</f>
        <v>850.59</v>
      </c>
      <c r="AB102" s="210">
        <v>0</v>
      </c>
      <c r="AC102" s="125">
        <f t="shared" si="12"/>
        <v>0</v>
      </c>
      <c r="AD102" s="125">
        <f>Valores!$C$26</f>
        <v>850.59</v>
      </c>
      <c r="AE102" s="191">
        <v>0</v>
      </c>
      <c r="AF102" s="125">
        <f>ROUND(AE102*Valores!$C$2,2)</f>
        <v>0</v>
      </c>
      <c r="AG102" s="125">
        <f>ROUND(IF($F$4="NO",Valores!$C$63,Valores!$C$63/2),2)</f>
        <v>9724.47</v>
      </c>
      <c r="AH102" s="125">
        <f t="shared" si="15"/>
        <v>198162.38999999998</v>
      </c>
      <c r="AI102" s="125">
        <f>Valores!$C$31</f>
        <v>0</v>
      </c>
      <c r="AJ102" s="125">
        <f>Valores!$C$87</f>
        <v>0</v>
      </c>
      <c r="AK102" s="125">
        <f>Valores!C$38*B102</f>
        <v>0</v>
      </c>
      <c r="AL102" s="125">
        <f>IF($F$3="NO",0,Valores!$C$56)</f>
        <v>0</v>
      </c>
      <c r="AM102" s="125">
        <f t="shared" si="13"/>
        <v>0</v>
      </c>
      <c r="AN102" s="125">
        <f>AH102*Valores!$C$71</f>
        <v>-21797.8629</v>
      </c>
      <c r="AO102" s="125">
        <f>AH102*-Valores!$C$72</f>
        <v>0</v>
      </c>
      <c r="AP102" s="125">
        <f>AH102*Valores!$C$73</f>
        <v>-8917.30755</v>
      </c>
      <c r="AQ102" s="125">
        <f>Valores!$C$100</f>
        <v>-554.86</v>
      </c>
      <c r="AR102" s="125">
        <f>IF($F$5=0,Valores!$C$101,(Valores!$C$101+$F$5*(Valores!$C$101)))</f>
        <v>-550</v>
      </c>
      <c r="AS102" s="125">
        <f t="shared" si="16"/>
        <v>166342.35955</v>
      </c>
      <c r="AT102" s="125">
        <f t="shared" si="10"/>
        <v>-21797.8629</v>
      </c>
      <c r="AU102" s="125">
        <f>AH102*Valores!$C$74</f>
        <v>-5350.384529999999</v>
      </c>
      <c r="AV102" s="125">
        <f>AH102*Valores!$C$75</f>
        <v>-594.48717</v>
      </c>
      <c r="AW102" s="125">
        <f t="shared" si="14"/>
        <v>170419.6554</v>
      </c>
      <c r="AX102" s="126"/>
      <c r="AY102" s="126"/>
      <c r="AZ102" s="123" t="s">
        <v>8</v>
      </c>
    </row>
    <row r="103" spans="1:52" s="110" customFormat="1" ht="11.25" customHeight="1">
      <c r="A103" s="123" t="s">
        <v>296</v>
      </c>
      <c r="B103" s="123">
        <v>1</v>
      </c>
      <c r="C103" s="126">
        <v>96</v>
      </c>
      <c r="D103" s="124" t="s">
        <v>297</v>
      </c>
      <c r="E103" s="191">
        <v>67</v>
      </c>
      <c r="F103" s="125">
        <f>ROUND(E103*Valores!$C$2,2)</f>
        <v>2725.68</v>
      </c>
      <c r="G103" s="191">
        <v>2108</v>
      </c>
      <c r="H103" s="125">
        <f>ROUND(G103*Valores!$C$2,2)</f>
        <v>85757.23</v>
      </c>
      <c r="I103" s="191">
        <v>0</v>
      </c>
      <c r="J103" s="125">
        <f>ROUND(I103*Valores!$C$2,2)</f>
        <v>0</v>
      </c>
      <c r="K103" s="191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18068.39</v>
      </c>
      <c r="N103" s="125">
        <f t="shared" si="11"/>
        <v>0</v>
      </c>
      <c r="O103" s="125">
        <f>Valores!$C$14</f>
        <v>40510.89</v>
      </c>
      <c r="P103" s="125">
        <f>Valores!$D$5</f>
        <v>20796.54</v>
      </c>
      <c r="Q103" s="125">
        <v>0</v>
      </c>
      <c r="R103" s="125">
        <f>IF($F$4="NO",Valores!$C$42,Valores!$C$42/2)</f>
        <v>12819.33</v>
      </c>
      <c r="S103" s="125">
        <f>Valores!$C$20</f>
        <v>19153.67</v>
      </c>
      <c r="T103" s="125">
        <f t="shared" si="17"/>
        <v>19153.67</v>
      </c>
      <c r="U103" s="125">
        <v>0</v>
      </c>
      <c r="V103" s="125">
        <v>0</v>
      </c>
      <c r="W103" s="191">
        <v>0</v>
      </c>
      <c r="X103" s="125">
        <f>ROUND(W103*Valores!$C$2,2)</f>
        <v>0</v>
      </c>
      <c r="Y103" s="125">
        <v>0</v>
      </c>
      <c r="Z103" s="125">
        <f>Valores!$C$94</f>
        <v>28478.14</v>
      </c>
      <c r="AA103" s="125">
        <f>Valores!$C$25</f>
        <v>850.59</v>
      </c>
      <c r="AB103" s="210">
        <v>0</v>
      </c>
      <c r="AC103" s="125">
        <f t="shared" si="12"/>
        <v>0</v>
      </c>
      <c r="AD103" s="125">
        <f>Valores!$C$26</f>
        <v>850.59</v>
      </c>
      <c r="AE103" s="191">
        <v>0</v>
      </c>
      <c r="AF103" s="125">
        <f>ROUND(AE103*Valores!$C$2,2)</f>
        <v>0</v>
      </c>
      <c r="AG103" s="125">
        <f>ROUND(IF($F$4="NO",Valores!$C$63,Valores!$C$63/2),2)</f>
        <v>9724.47</v>
      </c>
      <c r="AH103" s="125">
        <f t="shared" si="15"/>
        <v>239735.52</v>
      </c>
      <c r="AI103" s="125">
        <f>Valores!$C$31</f>
        <v>0</v>
      </c>
      <c r="AJ103" s="125">
        <f>Valores!$C$87</f>
        <v>0</v>
      </c>
      <c r="AK103" s="125">
        <f>Valores!C$38*B103</f>
        <v>0</v>
      </c>
      <c r="AL103" s="125">
        <f>IF($F$3="NO",0,Valores!$C$56)</f>
        <v>0</v>
      </c>
      <c r="AM103" s="125">
        <f t="shared" si="13"/>
        <v>0</v>
      </c>
      <c r="AN103" s="125">
        <f>AH103*Valores!$C$71</f>
        <v>-26370.907199999998</v>
      </c>
      <c r="AO103" s="125">
        <f>AH103*-Valores!$C$72</f>
        <v>0</v>
      </c>
      <c r="AP103" s="125">
        <f>AH103*Valores!$C$73</f>
        <v>-10788.098399999999</v>
      </c>
      <c r="AQ103" s="125">
        <f>Valores!$C$100</f>
        <v>-554.86</v>
      </c>
      <c r="AR103" s="125">
        <f>IF($F$5=0,Valores!$C$101,(Valores!$C$101+$F$5*(Valores!$C$101)))</f>
        <v>-550</v>
      </c>
      <c r="AS103" s="125">
        <f t="shared" si="16"/>
        <v>201471.6544</v>
      </c>
      <c r="AT103" s="125">
        <f t="shared" si="10"/>
        <v>-26370.907199999998</v>
      </c>
      <c r="AU103" s="125">
        <f>AH103*Valores!$C$74</f>
        <v>-6472.859039999999</v>
      </c>
      <c r="AV103" s="125">
        <f>AH103*Valores!$C$75</f>
        <v>-719.20656</v>
      </c>
      <c r="AW103" s="125">
        <f t="shared" si="14"/>
        <v>206172.5472</v>
      </c>
      <c r="AX103" s="126"/>
      <c r="AY103" s="126">
        <v>30</v>
      </c>
      <c r="AZ103" s="123" t="s">
        <v>4</v>
      </c>
    </row>
    <row r="104" spans="1:52" s="110" customFormat="1" ht="11.25" customHeight="1">
      <c r="A104" s="123" t="s">
        <v>298</v>
      </c>
      <c r="B104" s="123">
        <v>1</v>
      </c>
      <c r="C104" s="126">
        <v>97</v>
      </c>
      <c r="D104" s="124" t="s">
        <v>299</v>
      </c>
      <c r="E104" s="191">
        <v>45</v>
      </c>
      <c r="F104" s="125">
        <f>ROUND(E104*Valores!$C$2,2)</f>
        <v>1830.68</v>
      </c>
      <c r="G104" s="191">
        <v>1502</v>
      </c>
      <c r="H104" s="125">
        <f>ROUND(G104*Valores!$C$2,2)</f>
        <v>61104.06</v>
      </c>
      <c r="I104" s="191">
        <v>0</v>
      </c>
      <c r="J104" s="125">
        <f>ROUND(I104*Valores!$C$2,2)</f>
        <v>0</v>
      </c>
      <c r="K104" s="191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14236.16</v>
      </c>
      <c r="N104" s="125">
        <f t="shared" si="11"/>
        <v>0</v>
      </c>
      <c r="O104" s="125">
        <f>Valores!$C$14</f>
        <v>40510.89</v>
      </c>
      <c r="P104" s="125">
        <f>Valores!$D$5</f>
        <v>20796.54</v>
      </c>
      <c r="Q104" s="125">
        <v>0</v>
      </c>
      <c r="R104" s="125">
        <f>IF($F$4="NO",Valores!$C$42,Valores!$C$42/2)</f>
        <v>12819.33</v>
      </c>
      <c r="S104" s="125">
        <f>Valores!$C$20</f>
        <v>19153.67</v>
      </c>
      <c r="T104" s="125">
        <f t="shared" si="17"/>
        <v>19153.67</v>
      </c>
      <c r="U104" s="125">
        <v>0</v>
      </c>
      <c r="V104" s="125">
        <v>0</v>
      </c>
      <c r="W104" s="191">
        <v>0</v>
      </c>
      <c r="X104" s="125">
        <f>ROUND(W104*Valores!$C$2,2)</f>
        <v>0</v>
      </c>
      <c r="Y104" s="125">
        <v>0</v>
      </c>
      <c r="Z104" s="125">
        <f>Valores!$C$94</f>
        <v>28478.14</v>
      </c>
      <c r="AA104" s="125">
        <f>Valores!$C$25</f>
        <v>850.59</v>
      </c>
      <c r="AB104" s="210">
        <v>0</v>
      </c>
      <c r="AC104" s="125">
        <f t="shared" si="12"/>
        <v>0</v>
      </c>
      <c r="AD104" s="125">
        <f>Valores!$C$26</f>
        <v>850.59</v>
      </c>
      <c r="AE104" s="191">
        <v>0</v>
      </c>
      <c r="AF104" s="125">
        <f>ROUND(AE104*Valores!$C$2,2)</f>
        <v>0</v>
      </c>
      <c r="AG104" s="125">
        <f>ROUND(IF($F$4="NO",Valores!$C$63,Valores!$C$63/2),2)</f>
        <v>9724.47</v>
      </c>
      <c r="AH104" s="125">
        <f t="shared" si="15"/>
        <v>210355.11999999997</v>
      </c>
      <c r="AI104" s="125">
        <f>Valores!$C$31</f>
        <v>0</v>
      </c>
      <c r="AJ104" s="125">
        <f>Valores!$C$87</f>
        <v>0</v>
      </c>
      <c r="AK104" s="125">
        <f>Valores!C$38*B104</f>
        <v>0</v>
      </c>
      <c r="AL104" s="125">
        <f>IF($F$3="NO",0,Valores!$C$56)</f>
        <v>0</v>
      </c>
      <c r="AM104" s="125">
        <f t="shared" si="13"/>
        <v>0</v>
      </c>
      <c r="AN104" s="125">
        <f>AH104*Valores!$C$71</f>
        <v>-23139.063199999997</v>
      </c>
      <c r="AO104" s="125">
        <f>AH104*-Valores!$C$72</f>
        <v>0</v>
      </c>
      <c r="AP104" s="125">
        <f>AH104*Valores!$C$73</f>
        <v>-9465.980399999999</v>
      </c>
      <c r="AQ104" s="125">
        <f>Valores!$C$100</f>
        <v>-554.86</v>
      </c>
      <c r="AR104" s="125">
        <f>IF($F$5=0,Valores!$C$101,(Valores!$C$101+$F$5*(Valores!$C$101)))</f>
        <v>-550</v>
      </c>
      <c r="AS104" s="125">
        <f t="shared" si="16"/>
        <v>176645.21639999998</v>
      </c>
      <c r="AT104" s="125">
        <f t="shared" si="10"/>
        <v>-23139.063199999997</v>
      </c>
      <c r="AU104" s="125">
        <f>AH104*Valores!$C$74</f>
        <v>-5679.588239999999</v>
      </c>
      <c r="AV104" s="125">
        <f>AH104*Valores!$C$75</f>
        <v>-631.0653599999999</v>
      </c>
      <c r="AW104" s="125">
        <f t="shared" si="14"/>
        <v>180905.40319999997</v>
      </c>
      <c r="AX104" s="126"/>
      <c r="AY104" s="126"/>
      <c r="AZ104" s="123" t="s">
        <v>4</v>
      </c>
    </row>
    <row r="105" spans="1:52" s="110" customFormat="1" ht="11.25" customHeight="1">
      <c r="A105" s="123" t="s">
        <v>300</v>
      </c>
      <c r="B105" s="123">
        <v>1</v>
      </c>
      <c r="C105" s="126">
        <v>98</v>
      </c>
      <c r="D105" s="124" t="s">
        <v>301</v>
      </c>
      <c r="E105" s="191">
        <v>61</v>
      </c>
      <c r="F105" s="125">
        <f>ROUND(E105*Valores!$C$2,2)</f>
        <v>2481.59</v>
      </c>
      <c r="G105" s="191">
        <v>2114</v>
      </c>
      <c r="H105" s="125">
        <f>ROUND(G105*Valores!$C$2,2)</f>
        <v>86001.33</v>
      </c>
      <c r="I105" s="191">
        <v>0</v>
      </c>
      <c r="J105" s="125">
        <f>ROUND(I105*Valores!$C$2,2)</f>
        <v>0</v>
      </c>
      <c r="K105" s="191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18068.39</v>
      </c>
      <c r="N105" s="125">
        <f t="shared" si="11"/>
        <v>0</v>
      </c>
      <c r="O105" s="125">
        <f>Valores!$C$14</f>
        <v>40510.89</v>
      </c>
      <c r="P105" s="125">
        <f>Valores!$D$5</f>
        <v>20796.54</v>
      </c>
      <c r="Q105" s="125">
        <v>0</v>
      </c>
      <c r="R105" s="125">
        <f>IF($F$4="NO",Valores!$C$42,Valores!$C$42/2)</f>
        <v>12819.33</v>
      </c>
      <c r="S105" s="125">
        <f>Valores!$C$20</f>
        <v>19153.67</v>
      </c>
      <c r="T105" s="125">
        <f t="shared" si="17"/>
        <v>19153.67</v>
      </c>
      <c r="U105" s="125">
        <v>0</v>
      </c>
      <c r="V105" s="125">
        <v>0</v>
      </c>
      <c r="W105" s="191">
        <v>0</v>
      </c>
      <c r="X105" s="125">
        <f>ROUND(W105*Valores!$C$2,2)</f>
        <v>0</v>
      </c>
      <c r="Y105" s="125">
        <v>0</v>
      </c>
      <c r="Z105" s="125">
        <f>Valores!$C$94</f>
        <v>28478.14</v>
      </c>
      <c r="AA105" s="125">
        <f>Valores!$C$25</f>
        <v>850.59</v>
      </c>
      <c r="AB105" s="210">
        <v>0</v>
      </c>
      <c r="AC105" s="125">
        <f t="shared" si="12"/>
        <v>0</v>
      </c>
      <c r="AD105" s="125">
        <f>Valores!$C$26</f>
        <v>850.59</v>
      </c>
      <c r="AE105" s="191">
        <v>0</v>
      </c>
      <c r="AF105" s="125">
        <f>ROUND(AE105*Valores!$C$2,2)</f>
        <v>0</v>
      </c>
      <c r="AG105" s="125">
        <f>ROUND(IF($F$4="NO",Valores!$C$63,Valores!$C$63/2),2)</f>
        <v>9724.47</v>
      </c>
      <c r="AH105" s="125">
        <f t="shared" si="15"/>
        <v>239735.53</v>
      </c>
      <c r="AI105" s="125">
        <f>Valores!$C$31</f>
        <v>0</v>
      </c>
      <c r="AJ105" s="125">
        <f>Valores!$C$87</f>
        <v>0</v>
      </c>
      <c r="AK105" s="125">
        <f>Valores!C$38*B105</f>
        <v>0</v>
      </c>
      <c r="AL105" s="125">
        <f>IF($F$3="NO",0,Valores!$C$56)</f>
        <v>0</v>
      </c>
      <c r="AM105" s="125">
        <f t="shared" si="13"/>
        <v>0</v>
      </c>
      <c r="AN105" s="125">
        <f>AH105*Valores!$C$71</f>
        <v>-26370.9083</v>
      </c>
      <c r="AO105" s="125">
        <f>AH105*-Valores!$C$72</f>
        <v>0</v>
      </c>
      <c r="AP105" s="125">
        <f>AH105*Valores!$C$73</f>
        <v>-10788.09885</v>
      </c>
      <c r="AQ105" s="125">
        <f>Valores!$C$100</f>
        <v>-554.86</v>
      </c>
      <c r="AR105" s="125">
        <f>IF($F$5=0,Valores!$C$101,(Valores!$C$101+$F$5*(Valores!$C$101)))</f>
        <v>-550</v>
      </c>
      <c r="AS105" s="125">
        <f t="shared" si="16"/>
        <v>201471.66285</v>
      </c>
      <c r="AT105" s="125">
        <f t="shared" si="10"/>
        <v>-26370.9083</v>
      </c>
      <c r="AU105" s="125">
        <f>AH105*Valores!$C$74</f>
        <v>-6472.85931</v>
      </c>
      <c r="AV105" s="125">
        <f>AH105*Valores!$C$75</f>
        <v>-719.20659</v>
      </c>
      <c r="AW105" s="125">
        <f t="shared" si="14"/>
        <v>206172.5558</v>
      </c>
      <c r="AX105" s="126"/>
      <c r="AY105" s="126">
        <v>30</v>
      </c>
      <c r="AZ105" s="123" t="s">
        <v>4</v>
      </c>
    </row>
    <row r="106" spans="1:52" s="110" customFormat="1" ht="11.25" customHeight="1">
      <c r="A106" s="123" t="s">
        <v>302</v>
      </c>
      <c r="B106" s="123">
        <v>1</v>
      </c>
      <c r="C106" s="126">
        <v>99</v>
      </c>
      <c r="D106" s="124" t="s">
        <v>303</v>
      </c>
      <c r="E106" s="191">
        <v>59</v>
      </c>
      <c r="F106" s="125">
        <f>ROUND(E106*Valores!$C$2,2)</f>
        <v>2400.23</v>
      </c>
      <c r="G106" s="191">
        <v>2013</v>
      </c>
      <c r="H106" s="125">
        <f>ROUND(G106*Valores!$C$2,2)</f>
        <v>81892.46</v>
      </c>
      <c r="I106" s="191">
        <v>0</v>
      </c>
      <c r="J106" s="125">
        <f>ROUND(I106*Valores!$C$2,2)</f>
        <v>0</v>
      </c>
      <c r="K106" s="191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17439.85</v>
      </c>
      <c r="N106" s="125">
        <f t="shared" si="11"/>
        <v>0</v>
      </c>
      <c r="O106" s="125">
        <f>Valores!$C$14</f>
        <v>40510.89</v>
      </c>
      <c r="P106" s="125">
        <f>Valores!$D$5</f>
        <v>20796.54</v>
      </c>
      <c r="Q106" s="125">
        <v>0</v>
      </c>
      <c r="R106" s="125">
        <f>IF($F$4="NO",Valores!$C$42,Valores!$C$42/2)</f>
        <v>12819.33</v>
      </c>
      <c r="S106" s="125">
        <f>Valores!$C$20</f>
        <v>19153.67</v>
      </c>
      <c r="T106" s="125">
        <f t="shared" si="17"/>
        <v>19153.67</v>
      </c>
      <c r="U106" s="125">
        <v>0</v>
      </c>
      <c r="V106" s="125">
        <v>0</v>
      </c>
      <c r="W106" s="191">
        <v>0</v>
      </c>
      <c r="X106" s="125">
        <f>ROUND(W106*Valores!$C$2,2)</f>
        <v>0</v>
      </c>
      <c r="Y106" s="125">
        <v>0</v>
      </c>
      <c r="Z106" s="125">
        <f>Valores!$C$94</f>
        <v>28478.14</v>
      </c>
      <c r="AA106" s="125">
        <f>Valores!$C$25</f>
        <v>850.59</v>
      </c>
      <c r="AB106" s="210">
        <v>0</v>
      </c>
      <c r="AC106" s="125">
        <f t="shared" si="12"/>
        <v>0</v>
      </c>
      <c r="AD106" s="125">
        <f>Valores!$C$26</f>
        <v>850.59</v>
      </c>
      <c r="AE106" s="191">
        <v>0</v>
      </c>
      <c r="AF106" s="125">
        <f>ROUND(AE106*Valores!$C$2,2)</f>
        <v>0</v>
      </c>
      <c r="AG106" s="125">
        <f>ROUND(IF($F$4="NO",Valores!$C$63,Valores!$C$63/2),2)</f>
        <v>9724.47</v>
      </c>
      <c r="AH106" s="125">
        <f t="shared" si="15"/>
        <v>234916.75999999998</v>
      </c>
      <c r="AI106" s="125">
        <f>Valores!$C$31</f>
        <v>0</v>
      </c>
      <c r="AJ106" s="125">
        <f>Valores!$C$87</f>
        <v>0</v>
      </c>
      <c r="AK106" s="125">
        <f>Valores!C$38*B106</f>
        <v>0</v>
      </c>
      <c r="AL106" s="125">
        <f>IF($F$3="NO",0,Valores!$C$56)</f>
        <v>0</v>
      </c>
      <c r="AM106" s="125">
        <f t="shared" si="13"/>
        <v>0</v>
      </c>
      <c r="AN106" s="125">
        <f>AH106*Valores!$C$71</f>
        <v>-25840.843599999997</v>
      </c>
      <c r="AO106" s="125">
        <f>AH106*-Valores!$C$72</f>
        <v>0</v>
      </c>
      <c r="AP106" s="125">
        <f>AH106*Valores!$C$73</f>
        <v>-10571.2542</v>
      </c>
      <c r="AQ106" s="125">
        <f>Valores!$C$100</f>
        <v>-554.86</v>
      </c>
      <c r="AR106" s="125">
        <f>IF($F$5=0,Valores!$C$101,(Valores!$C$101+$F$5*(Valores!$C$101)))</f>
        <v>-550</v>
      </c>
      <c r="AS106" s="125">
        <f t="shared" si="16"/>
        <v>197399.80219999998</v>
      </c>
      <c r="AT106" s="125">
        <f t="shared" si="10"/>
        <v>-25840.843599999997</v>
      </c>
      <c r="AU106" s="125">
        <f>AH106*Valores!$C$74</f>
        <v>-6342.752519999999</v>
      </c>
      <c r="AV106" s="125">
        <f>AH106*Valores!$C$75</f>
        <v>-704.75028</v>
      </c>
      <c r="AW106" s="125">
        <f t="shared" si="14"/>
        <v>202028.41359999997</v>
      </c>
      <c r="AX106" s="126"/>
      <c r="AY106" s="126">
        <v>30</v>
      </c>
      <c r="AZ106" s="123" t="s">
        <v>4</v>
      </c>
    </row>
    <row r="107" spans="1:52" s="110" customFormat="1" ht="11.25" customHeight="1">
      <c r="A107" s="123" t="s">
        <v>304</v>
      </c>
      <c r="B107" s="123">
        <v>1</v>
      </c>
      <c r="C107" s="126">
        <v>100</v>
      </c>
      <c r="D107" s="124" t="s">
        <v>305</v>
      </c>
      <c r="E107" s="191">
        <v>56</v>
      </c>
      <c r="F107" s="125">
        <f>ROUND(E107*Valores!$C$2,2)</f>
        <v>2278.18</v>
      </c>
      <c r="G107" s="191">
        <v>1720</v>
      </c>
      <c r="H107" s="125">
        <f>ROUND(G107*Valores!$C$2,2)</f>
        <v>69972.7</v>
      </c>
      <c r="I107" s="191">
        <v>0</v>
      </c>
      <c r="J107" s="125">
        <f>ROUND(I107*Valores!$C$2,2)</f>
        <v>0</v>
      </c>
      <c r="K107" s="191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15633.58</v>
      </c>
      <c r="N107" s="125">
        <f t="shared" si="11"/>
        <v>0</v>
      </c>
      <c r="O107" s="125">
        <f>Valores!$C$14</f>
        <v>40510.89</v>
      </c>
      <c r="P107" s="125">
        <f>Valores!$D$5</f>
        <v>20796.54</v>
      </c>
      <c r="Q107" s="125">
        <v>0</v>
      </c>
      <c r="R107" s="125">
        <f>IF($F$4="NO",Valores!$C$42,Valores!$C$42/2)</f>
        <v>12819.33</v>
      </c>
      <c r="S107" s="125">
        <f>Valores!$C$20</f>
        <v>19153.67</v>
      </c>
      <c r="T107" s="125">
        <f t="shared" si="17"/>
        <v>19153.67</v>
      </c>
      <c r="U107" s="125">
        <v>0</v>
      </c>
      <c r="V107" s="125">
        <v>0</v>
      </c>
      <c r="W107" s="191">
        <v>0</v>
      </c>
      <c r="X107" s="125">
        <f>ROUND(W107*Valores!$C$2,2)</f>
        <v>0</v>
      </c>
      <c r="Y107" s="125">
        <v>0</v>
      </c>
      <c r="Z107" s="125">
        <f>Valores!$C$94</f>
        <v>28478.14</v>
      </c>
      <c r="AA107" s="125">
        <f>Valores!$C$25</f>
        <v>850.59</v>
      </c>
      <c r="AB107" s="210">
        <v>0</v>
      </c>
      <c r="AC107" s="125">
        <f t="shared" si="12"/>
        <v>0</v>
      </c>
      <c r="AD107" s="125">
        <f>Valores!$C$26</f>
        <v>850.59</v>
      </c>
      <c r="AE107" s="191">
        <v>0</v>
      </c>
      <c r="AF107" s="125">
        <f>ROUND(AE107*Valores!$C$2,2)</f>
        <v>0</v>
      </c>
      <c r="AG107" s="125">
        <f>ROUND(IF($F$4="NO",Valores!$C$63,Valores!$C$63/2),2)</f>
        <v>9724.47</v>
      </c>
      <c r="AH107" s="125">
        <f t="shared" si="15"/>
        <v>221068.67999999996</v>
      </c>
      <c r="AI107" s="125">
        <f>Valores!$C$31</f>
        <v>0</v>
      </c>
      <c r="AJ107" s="125">
        <f>Valores!$C$87</f>
        <v>0</v>
      </c>
      <c r="AK107" s="125">
        <f>Valores!C$38*B107</f>
        <v>0</v>
      </c>
      <c r="AL107" s="125">
        <f>IF($F$3="NO",0,Valores!$C$56)</f>
        <v>0</v>
      </c>
      <c r="AM107" s="125">
        <f t="shared" si="13"/>
        <v>0</v>
      </c>
      <c r="AN107" s="125">
        <f>AH107*Valores!$C$71</f>
        <v>-24317.554799999994</v>
      </c>
      <c r="AO107" s="125">
        <f>AH107*-Valores!$C$72</f>
        <v>0</v>
      </c>
      <c r="AP107" s="125">
        <f>AH107*Valores!$C$73</f>
        <v>-9948.090599999998</v>
      </c>
      <c r="AQ107" s="125">
        <f>Valores!$C$100</f>
        <v>-554.86</v>
      </c>
      <c r="AR107" s="125">
        <f>IF($F$5=0,Valores!$C$101,(Valores!$C$101+$F$5*(Valores!$C$101)))</f>
        <v>-550</v>
      </c>
      <c r="AS107" s="125">
        <f t="shared" si="16"/>
        <v>185698.17459999997</v>
      </c>
      <c r="AT107" s="125">
        <f t="shared" si="10"/>
        <v>-24317.554799999994</v>
      </c>
      <c r="AU107" s="125">
        <f>AH107*Valores!$C$74</f>
        <v>-5968.854359999999</v>
      </c>
      <c r="AV107" s="125">
        <f>AH107*Valores!$C$75</f>
        <v>-663.2060399999999</v>
      </c>
      <c r="AW107" s="125">
        <f t="shared" si="14"/>
        <v>190119.06479999996</v>
      </c>
      <c r="AX107" s="126"/>
      <c r="AY107" s="126">
        <v>30</v>
      </c>
      <c r="AZ107" s="123" t="s">
        <v>4</v>
      </c>
    </row>
    <row r="108" spans="1:52" s="110" customFormat="1" ht="11.25" customHeight="1">
      <c r="A108" s="123" t="s">
        <v>306</v>
      </c>
      <c r="B108" s="123">
        <v>1</v>
      </c>
      <c r="C108" s="126">
        <v>101</v>
      </c>
      <c r="D108" s="124" t="s">
        <v>307</v>
      </c>
      <c r="E108" s="191">
        <v>45</v>
      </c>
      <c r="F108" s="125">
        <f>ROUND(E108*Valores!$C$2,2)</f>
        <v>1830.68</v>
      </c>
      <c r="G108" s="191">
        <v>1502</v>
      </c>
      <c r="H108" s="125">
        <f>ROUND(G108*Valores!$C$2,2)</f>
        <v>61104.06</v>
      </c>
      <c r="I108" s="191">
        <v>0</v>
      </c>
      <c r="J108" s="125">
        <f>ROUND(I108*Valores!$C$2,2)</f>
        <v>0</v>
      </c>
      <c r="K108" s="191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14236.16</v>
      </c>
      <c r="N108" s="125">
        <f t="shared" si="11"/>
        <v>0</v>
      </c>
      <c r="O108" s="125">
        <f>Valores!$C$14</f>
        <v>40510.89</v>
      </c>
      <c r="P108" s="125">
        <f>Valores!$D$5</f>
        <v>20796.54</v>
      </c>
      <c r="Q108" s="125">
        <v>0</v>
      </c>
      <c r="R108" s="125">
        <f>IF($F$4="NO",Valores!$C$42,Valores!$C$42/2)</f>
        <v>12819.33</v>
      </c>
      <c r="S108" s="125">
        <f>Valores!$C$20</f>
        <v>19153.67</v>
      </c>
      <c r="T108" s="125">
        <f t="shared" si="17"/>
        <v>19153.67</v>
      </c>
      <c r="U108" s="125">
        <v>0</v>
      </c>
      <c r="V108" s="125">
        <v>0</v>
      </c>
      <c r="W108" s="191">
        <v>0</v>
      </c>
      <c r="X108" s="125">
        <f>ROUND(W108*Valores!$C$2,2)</f>
        <v>0</v>
      </c>
      <c r="Y108" s="125">
        <v>0</v>
      </c>
      <c r="Z108" s="125">
        <f>Valores!$C$94</f>
        <v>28478.14</v>
      </c>
      <c r="AA108" s="125">
        <f>Valores!$C$25</f>
        <v>850.59</v>
      </c>
      <c r="AB108" s="210">
        <v>0</v>
      </c>
      <c r="AC108" s="125">
        <f t="shared" si="12"/>
        <v>0</v>
      </c>
      <c r="AD108" s="125">
        <f>Valores!$C$26</f>
        <v>850.59</v>
      </c>
      <c r="AE108" s="191">
        <v>0</v>
      </c>
      <c r="AF108" s="125">
        <f>ROUND(AE108*Valores!$C$2,2)</f>
        <v>0</v>
      </c>
      <c r="AG108" s="125">
        <f>ROUND(IF($F$4="NO",Valores!$C$63,Valores!$C$63/2),2)</f>
        <v>9724.47</v>
      </c>
      <c r="AH108" s="125">
        <f t="shared" si="15"/>
        <v>210355.11999999997</v>
      </c>
      <c r="AI108" s="125">
        <f>Valores!$C$31</f>
        <v>0</v>
      </c>
      <c r="AJ108" s="125">
        <f>Valores!$C$87</f>
        <v>0</v>
      </c>
      <c r="AK108" s="125">
        <f>Valores!C$38*B108</f>
        <v>0</v>
      </c>
      <c r="AL108" s="125">
        <f>IF($F$3="NO",0,Valores!$C$56)</f>
        <v>0</v>
      </c>
      <c r="AM108" s="125">
        <f t="shared" si="13"/>
        <v>0</v>
      </c>
      <c r="AN108" s="125">
        <f>AH108*Valores!$C$71</f>
        <v>-23139.063199999997</v>
      </c>
      <c r="AO108" s="125">
        <f>AH108*-Valores!$C$72</f>
        <v>0</v>
      </c>
      <c r="AP108" s="125">
        <f>AH108*Valores!$C$73</f>
        <v>-9465.980399999999</v>
      </c>
      <c r="AQ108" s="125">
        <f>Valores!$C$100</f>
        <v>-554.86</v>
      </c>
      <c r="AR108" s="125">
        <f>IF($F$5=0,Valores!$C$101,(Valores!$C$101+$F$5*(Valores!$C$101)))</f>
        <v>-550</v>
      </c>
      <c r="AS108" s="125">
        <f t="shared" si="16"/>
        <v>176645.21639999998</v>
      </c>
      <c r="AT108" s="125">
        <f t="shared" si="10"/>
        <v>-23139.063199999997</v>
      </c>
      <c r="AU108" s="125">
        <f>AH108*Valores!$C$74</f>
        <v>-5679.588239999999</v>
      </c>
      <c r="AV108" s="125">
        <f>AH108*Valores!$C$75</f>
        <v>-631.0653599999999</v>
      </c>
      <c r="AW108" s="125">
        <f t="shared" si="14"/>
        <v>180905.40319999997</v>
      </c>
      <c r="AX108" s="126"/>
      <c r="AY108" s="126">
        <v>30</v>
      </c>
      <c r="AZ108" s="123" t="s">
        <v>4</v>
      </c>
    </row>
    <row r="109" spans="1:52" s="110" customFormat="1" ht="11.25" customHeight="1">
      <c r="A109" s="123" t="s">
        <v>308</v>
      </c>
      <c r="B109" s="123">
        <v>1</v>
      </c>
      <c r="C109" s="126">
        <v>102</v>
      </c>
      <c r="D109" s="124" t="s">
        <v>309</v>
      </c>
      <c r="E109" s="191">
        <v>45</v>
      </c>
      <c r="F109" s="125">
        <f>ROUND(E109*Valores!$C$2,2)</f>
        <v>1830.68</v>
      </c>
      <c r="G109" s="191">
        <v>1139</v>
      </c>
      <c r="H109" s="125">
        <f>ROUND(G109*Valores!$C$2,2)</f>
        <v>46336.57</v>
      </c>
      <c r="I109" s="191">
        <v>0</v>
      </c>
      <c r="J109" s="125">
        <f>ROUND(I109*Valores!$C$2,2)</f>
        <v>0</v>
      </c>
      <c r="K109" s="191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12021.04</v>
      </c>
      <c r="N109" s="125">
        <f t="shared" si="11"/>
        <v>0</v>
      </c>
      <c r="O109" s="125">
        <f>Valores!$C$14</f>
        <v>40510.89</v>
      </c>
      <c r="P109" s="125">
        <f>Valores!$D$5</f>
        <v>20796.54</v>
      </c>
      <c r="Q109" s="125">
        <v>0</v>
      </c>
      <c r="R109" s="125">
        <f>IF($F$4="NO",Valores!$C$42,Valores!$C$42/2)</f>
        <v>12819.33</v>
      </c>
      <c r="S109" s="125">
        <f>Valores!$C$20</f>
        <v>19153.67</v>
      </c>
      <c r="T109" s="125">
        <f t="shared" si="17"/>
        <v>19153.67</v>
      </c>
      <c r="U109" s="125">
        <v>0</v>
      </c>
      <c r="V109" s="125">
        <v>0</v>
      </c>
      <c r="W109" s="191">
        <v>0</v>
      </c>
      <c r="X109" s="125">
        <f>ROUND(W109*Valores!$C$2,2)</f>
        <v>0</v>
      </c>
      <c r="Y109" s="125">
        <v>0</v>
      </c>
      <c r="Z109" s="125">
        <f>Valores!$C$94</f>
        <v>28478.14</v>
      </c>
      <c r="AA109" s="125">
        <f>Valores!$C$25</f>
        <v>850.59</v>
      </c>
      <c r="AB109" s="210">
        <v>0</v>
      </c>
      <c r="AC109" s="125">
        <f t="shared" si="12"/>
        <v>0</v>
      </c>
      <c r="AD109" s="125">
        <f>Valores!$C$26</f>
        <v>850.59</v>
      </c>
      <c r="AE109" s="191">
        <v>0</v>
      </c>
      <c r="AF109" s="125">
        <f>ROUND(AE109*Valores!$C$2,2)</f>
        <v>0</v>
      </c>
      <c r="AG109" s="125">
        <f>ROUND(IF($F$4="NO",Valores!$C$63,Valores!$C$63/2),2)</f>
        <v>9724.47</v>
      </c>
      <c r="AH109" s="125">
        <f t="shared" si="15"/>
        <v>193372.50999999998</v>
      </c>
      <c r="AI109" s="125">
        <f>Valores!$C$31</f>
        <v>0</v>
      </c>
      <c r="AJ109" s="125">
        <f>Valores!$C$87</f>
        <v>0</v>
      </c>
      <c r="AK109" s="125">
        <f>Valores!C$38*B109</f>
        <v>0</v>
      </c>
      <c r="AL109" s="125">
        <f>IF($F$3="NO",0,Valores!$C$56)</f>
        <v>0</v>
      </c>
      <c r="AM109" s="125">
        <f t="shared" si="13"/>
        <v>0</v>
      </c>
      <c r="AN109" s="125">
        <f>AH109*Valores!$C$71</f>
        <v>-21270.976099999996</v>
      </c>
      <c r="AO109" s="125">
        <f>AH109*-Valores!$C$72</f>
        <v>0</v>
      </c>
      <c r="AP109" s="125">
        <f>AH109*Valores!$C$73</f>
        <v>-8701.762949999998</v>
      </c>
      <c r="AQ109" s="125">
        <f>Valores!$C$100</f>
        <v>-554.86</v>
      </c>
      <c r="AR109" s="125">
        <f>IF($F$5=0,Valores!$C$101,(Valores!$C$101+$F$5*(Valores!$C$101)))</f>
        <v>-550</v>
      </c>
      <c r="AS109" s="125">
        <f t="shared" si="16"/>
        <v>162294.91095</v>
      </c>
      <c r="AT109" s="125">
        <f t="shared" si="10"/>
        <v>-21270.976099999996</v>
      </c>
      <c r="AU109" s="125">
        <f>AH109*Valores!$C$74</f>
        <v>-5221.057769999999</v>
      </c>
      <c r="AV109" s="125">
        <f>AH109*Valores!$C$75</f>
        <v>-580.11753</v>
      </c>
      <c r="AW109" s="125">
        <f t="shared" si="14"/>
        <v>166300.35859999998</v>
      </c>
      <c r="AX109" s="126"/>
      <c r="AY109" s="126">
        <v>30</v>
      </c>
      <c r="AZ109" s="123" t="s">
        <v>4</v>
      </c>
    </row>
    <row r="110" spans="1:52" s="110" customFormat="1" ht="11.25" customHeight="1">
      <c r="A110" s="123" t="s">
        <v>310</v>
      </c>
      <c r="B110" s="123">
        <v>1</v>
      </c>
      <c r="C110" s="126">
        <v>103</v>
      </c>
      <c r="D110" s="124" t="s">
        <v>311</v>
      </c>
      <c r="E110" s="191">
        <v>46</v>
      </c>
      <c r="F110" s="125">
        <f>ROUND(E110*Valores!$C$2,2)</f>
        <v>1871.36</v>
      </c>
      <c r="G110" s="191">
        <v>1102</v>
      </c>
      <c r="H110" s="125">
        <f>ROUND(G110*Valores!$C$2,2)</f>
        <v>44831.34</v>
      </c>
      <c r="I110" s="191">
        <v>0</v>
      </c>
      <c r="J110" s="125">
        <f>ROUND(I110*Valores!$C$2,2)</f>
        <v>0</v>
      </c>
      <c r="K110" s="191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11801.36</v>
      </c>
      <c r="N110" s="125">
        <f t="shared" si="11"/>
        <v>0</v>
      </c>
      <c r="O110" s="125">
        <f>Valores!$C$14</f>
        <v>40510.89</v>
      </c>
      <c r="P110" s="125">
        <f>Valores!$D$5</f>
        <v>20796.54</v>
      </c>
      <c r="Q110" s="125">
        <v>0</v>
      </c>
      <c r="R110" s="125">
        <f>IF($F$4="NO",Valores!$C$42,Valores!$C$42/2)</f>
        <v>12819.33</v>
      </c>
      <c r="S110" s="125">
        <f>Valores!$C$20</f>
        <v>19153.67</v>
      </c>
      <c r="T110" s="125">
        <f t="shared" si="17"/>
        <v>19153.67</v>
      </c>
      <c r="U110" s="125">
        <v>0</v>
      </c>
      <c r="V110" s="125">
        <v>0</v>
      </c>
      <c r="W110" s="191">
        <v>0</v>
      </c>
      <c r="X110" s="125">
        <f>ROUND(W110*Valores!$C$2,2)</f>
        <v>0</v>
      </c>
      <c r="Y110" s="125">
        <v>0</v>
      </c>
      <c r="Z110" s="125">
        <f>Valores!$C$94</f>
        <v>28478.14</v>
      </c>
      <c r="AA110" s="125">
        <f>Valores!$C$25</f>
        <v>850.59</v>
      </c>
      <c r="AB110" s="210">
        <v>0</v>
      </c>
      <c r="AC110" s="125">
        <f t="shared" si="12"/>
        <v>0</v>
      </c>
      <c r="AD110" s="125">
        <f>Valores!$C$26</f>
        <v>850.59</v>
      </c>
      <c r="AE110" s="191">
        <v>0</v>
      </c>
      <c r="AF110" s="125">
        <f>ROUND(AE110*Valores!$C$2,2)</f>
        <v>0</v>
      </c>
      <c r="AG110" s="125">
        <f>ROUND(IF($F$4="NO",Valores!$C$63,Valores!$C$63/2),2)</f>
        <v>9724.47</v>
      </c>
      <c r="AH110" s="125">
        <f t="shared" si="15"/>
        <v>191688.28</v>
      </c>
      <c r="AI110" s="125">
        <f>Valores!$C$31</f>
        <v>0</v>
      </c>
      <c r="AJ110" s="125">
        <f>Valores!$C$87</f>
        <v>0</v>
      </c>
      <c r="AK110" s="125">
        <f>Valores!C$38*B110</f>
        <v>0</v>
      </c>
      <c r="AL110" s="125">
        <f>IF($F$3="NO",0,Valores!$C$56)</f>
        <v>0</v>
      </c>
      <c r="AM110" s="125">
        <f t="shared" si="13"/>
        <v>0</v>
      </c>
      <c r="AN110" s="125">
        <f>AH110*Valores!$C$71</f>
        <v>-21085.7108</v>
      </c>
      <c r="AO110" s="125">
        <f>AH110*-Valores!$C$72</f>
        <v>0</v>
      </c>
      <c r="AP110" s="125">
        <f>AH110*Valores!$C$73</f>
        <v>-8625.9726</v>
      </c>
      <c r="AQ110" s="125">
        <f>Valores!$C$100</f>
        <v>-554.86</v>
      </c>
      <c r="AR110" s="125">
        <f>IF($F$5=0,Valores!$C$101,(Valores!$C$101+$F$5*(Valores!$C$101)))</f>
        <v>-550</v>
      </c>
      <c r="AS110" s="125">
        <f t="shared" si="16"/>
        <v>160871.7366</v>
      </c>
      <c r="AT110" s="125">
        <f t="shared" si="10"/>
        <v>-21085.7108</v>
      </c>
      <c r="AU110" s="125">
        <f>AH110*Valores!$C$74</f>
        <v>-5175.58356</v>
      </c>
      <c r="AV110" s="125">
        <f>AH110*Valores!$C$75</f>
        <v>-575.06484</v>
      </c>
      <c r="AW110" s="125">
        <f t="shared" si="14"/>
        <v>164851.9208</v>
      </c>
      <c r="AX110" s="126"/>
      <c r="AY110" s="126">
        <v>30</v>
      </c>
      <c r="AZ110" s="123" t="s">
        <v>4</v>
      </c>
    </row>
    <row r="111" spans="1:52" s="110" customFormat="1" ht="11.25" customHeight="1">
      <c r="A111" s="123" t="s">
        <v>312</v>
      </c>
      <c r="B111" s="123">
        <v>1</v>
      </c>
      <c r="C111" s="126">
        <v>104</v>
      </c>
      <c r="D111" s="124" t="s">
        <v>313</v>
      </c>
      <c r="E111" s="191">
        <v>66</v>
      </c>
      <c r="F111" s="125">
        <f>ROUND(E111*Valores!$C$2,2)</f>
        <v>2685</v>
      </c>
      <c r="G111" s="191">
        <v>1911</v>
      </c>
      <c r="H111" s="125">
        <f>ROUND(G111*Valores!$C$2,2)</f>
        <v>77742.92</v>
      </c>
      <c r="I111" s="191">
        <v>0</v>
      </c>
      <c r="J111" s="125">
        <f>ROUND(I111*Valores!$C$2,2)</f>
        <v>0</v>
      </c>
      <c r="K111" s="191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16860.14</v>
      </c>
      <c r="N111" s="125">
        <f t="shared" si="11"/>
        <v>0</v>
      </c>
      <c r="O111" s="125">
        <f>Valores!$C$14</f>
        <v>40510.89</v>
      </c>
      <c r="P111" s="125">
        <f>Valores!$D$5</f>
        <v>20796.54</v>
      </c>
      <c r="Q111" s="125">
        <f>Valores!$C$22</f>
        <v>18553.83</v>
      </c>
      <c r="R111" s="125">
        <f>IF($F$4="NO",Valores!$C$42,Valores!$C$42/2)</f>
        <v>12819.33</v>
      </c>
      <c r="S111" s="125">
        <f>Valores!$C$20</f>
        <v>19153.67</v>
      </c>
      <c r="T111" s="125">
        <f t="shared" si="17"/>
        <v>19153.67</v>
      </c>
      <c r="U111" s="125">
        <v>0</v>
      </c>
      <c r="V111" s="125">
        <v>0</v>
      </c>
      <c r="W111" s="191">
        <v>0</v>
      </c>
      <c r="X111" s="125">
        <f>ROUND(W111*Valores!$C$2,2)</f>
        <v>0</v>
      </c>
      <c r="Y111" s="125">
        <v>0</v>
      </c>
      <c r="Z111" s="125">
        <f>Valores!$C$94</f>
        <v>28478.14</v>
      </c>
      <c r="AA111" s="125">
        <f>Valores!$C$25</f>
        <v>850.59</v>
      </c>
      <c r="AB111" s="210">
        <v>0</v>
      </c>
      <c r="AC111" s="125">
        <f t="shared" si="12"/>
        <v>0</v>
      </c>
      <c r="AD111" s="125">
        <f>Valores!$C$26</f>
        <v>850.59</v>
      </c>
      <c r="AE111" s="191">
        <v>94</v>
      </c>
      <c r="AF111" s="125">
        <f>ROUND(AE111*Valores!$C$2,2)</f>
        <v>3824.09</v>
      </c>
      <c r="AG111" s="125">
        <f>ROUND(IF($F$4="NO",Valores!$C$63,Valores!$C$63/2),2)</f>
        <v>9724.47</v>
      </c>
      <c r="AH111" s="125">
        <f t="shared" si="15"/>
        <v>252850.2</v>
      </c>
      <c r="AI111" s="125">
        <f>Valores!$C$31</f>
        <v>0</v>
      </c>
      <c r="AJ111" s="125">
        <f>Valores!$C$87</f>
        <v>0</v>
      </c>
      <c r="AK111" s="125">
        <f>Valores!C$38*B111</f>
        <v>0</v>
      </c>
      <c r="AL111" s="125">
        <f>IF($F$3="NO",0,Valores!$C$56)</f>
        <v>0</v>
      </c>
      <c r="AM111" s="125">
        <f t="shared" si="13"/>
        <v>0</v>
      </c>
      <c r="AN111" s="125">
        <f>AH111*Valores!$C$71</f>
        <v>-27813.522</v>
      </c>
      <c r="AO111" s="125">
        <f>AH111*-Valores!$C$72</f>
        <v>0</v>
      </c>
      <c r="AP111" s="125">
        <f>AH111*Valores!$C$73</f>
        <v>-11378.259</v>
      </c>
      <c r="AQ111" s="125">
        <f>Valores!$C$100</f>
        <v>-554.86</v>
      </c>
      <c r="AR111" s="125">
        <f>IF($F$5=0,Valores!$C$101,(Valores!$C$101+$F$5*(Valores!$C$101)))</f>
        <v>-550</v>
      </c>
      <c r="AS111" s="125">
        <f t="shared" si="16"/>
        <v>212553.559</v>
      </c>
      <c r="AT111" s="125">
        <f t="shared" si="10"/>
        <v>-27813.522</v>
      </c>
      <c r="AU111" s="125">
        <f>AH111*Valores!$C$74</f>
        <v>-6826.9554</v>
      </c>
      <c r="AV111" s="125">
        <f>AH111*Valores!$C$75</f>
        <v>-758.5506</v>
      </c>
      <c r="AW111" s="125">
        <f t="shared" si="14"/>
        <v>217451.17200000002</v>
      </c>
      <c r="AX111" s="126"/>
      <c r="AY111" s="126">
        <v>25</v>
      </c>
      <c r="AZ111" s="123" t="s">
        <v>4</v>
      </c>
    </row>
    <row r="112" spans="1:52" s="110" customFormat="1" ht="11.25" customHeight="1">
      <c r="A112" s="123" t="s">
        <v>314</v>
      </c>
      <c r="B112" s="123">
        <v>1</v>
      </c>
      <c r="C112" s="126">
        <v>105</v>
      </c>
      <c r="D112" s="124" t="s">
        <v>315</v>
      </c>
      <c r="E112" s="191">
        <v>61</v>
      </c>
      <c r="F112" s="125">
        <f>ROUND(E112*Valores!$C$2,2)</f>
        <v>2481.59</v>
      </c>
      <c r="G112" s="191">
        <v>1545</v>
      </c>
      <c r="H112" s="125">
        <f>ROUND(G112*Valores!$C$2,2)</f>
        <v>62853.38</v>
      </c>
      <c r="I112" s="191">
        <v>0</v>
      </c>
      <c r="J112" s="125">
        <f>ROUND(I112*Valores!$C$2,2)</f>
        <v>0</v>
      </c>
      <c r="K112" s="191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14596.2</v>
      </c>
      <c r="N112" s="125">
        <f t="shared" si="11"/>
        <v>0</v>
      </c>
      <c r="O112" s="125">
        <f>Valores!$C$14</f>
        <v>40510.89</v>
      </c>
      <c r="P112" s="125">
        <f>Valores!$D$5</f>
        <v>20796.54</v>
      </c>
      <c r="Q112" s="125">
        <f>Valores!$C$22</f>
        <v>18553.83</v>
      </c>
      <c r="R112" s="125">
        <f>IF($F$4="NO",Valores!$C$42,Valores!$C$42/2)</f>
        <v>12819.33</v>
      </c>
      <c r="S112" s="125">
        <f>Valores!$C$20</f>
        <v>19153.67</v>
      </c>
      <c r="T112" s="125">
        <f t="shared" si="17"/>
        <v>19153.67</v>
      </c>
      <c r="U112" s="125">
        <v>0</v>
      </c>
      <c r="V112" s="125">
        <v>0</v>
      </c>
      <c r="W112" s="191">
        <v>0</v>
      </c>
      <c r="X112" s="125">
        <f>ROUND(W112*Valores!$C$2,2)</f>
        <v>0</v>
      </c>
      <c r="Y112" s="125">
        <v>0</v>
      </c>
      <c r="Z112" s="125">
        <f>Valores!$C$94</f>
        <v>28478.14</v>
      </c>
      <c r="AA112" s="125">
        <f>Valores!$C$25</f>
        <v>850.59</v>
      </c>
      <c r="AB112" s="210">
        <v>0</v>
      </c>
      <c r="AC112" s="125">
        <f t="shared" si="12"/>
        <v>0</v>
      </c>
      <c r="AD112" s="125">
        <f>Valores!$C$26</f>
        <v>850.59</v>
      </c>
      <c r="AE112" s="191">
        <v>94</v>
      </c>
      <c r="AF112" s="125">
        <f>ROUND(AE112*Valores!$C$2,2)</f>
        <v>3824.09</v>
      </c>
      <c r="AG112" s="125">
        <f>ROUND(IF($F$4="NO",Valores!$C$63,Valores!$C$63/2),2)</f>
        <v>9724.47</v>
      </c>
      <c r="AH112" s="125">
        <f t="shared" si="15"/>
        <v>235493.31</v>
      </c>
      <c r="AI112" s="125">
        <f>Valores!$C$31</f>
        <v>0</v>
      </c>
      <c r="AJ112" s="125">
        <f>Valores!$C$87</f>
        <v>0</v>
      </c>
      <c r="AK112" s="125">
        <f>Valores!C$38*B112</f>
        <v>0</v>
      </c>
      <c r="AL112" s="125">
        <f>IF($F$3="NO",0,Valores!$C$56)</f>
        <v>0</v>
      </c>
      <c r="AM112" s="125">
        <f t="shared" si="13"/>
        <v>0</v>
      </c>
      <c r="AN112" s="125">
        <f>AH112*Valores!$C$71</f>
        <v>-25904.2641</v>
      </c>
      <c r="AO112" s="125">
        <f>AH112*-Valores!$C$72</f>
        <v>0</v>
      </c>
      <c r="AP112" s="125">
        <f>AH112*Valores!$C$73</f>
        <v>-10597.19895</v>
      </c>
      <c r="AQ112" s="125">
        <f>Valores!$C$100</f>
        <v>-554.86</v>
      </c>
      <c r="AR112" s="125">
        <f>IF($F$5=0,Valores!$C$101,(Valores!$C$101+$F$5*(Valores!$C$101)))</f>
        <v>-550</v>
      </c>
      <c r="AS112" s="125">
        <f t="shared" si="16"/>
        <v>197886.98695</v>
      </c>
      <c r="AT112" s="125">
        <f t="shared" si="10"/>
        <v>-25904.2641</v>
      </c>
      <c r="AU112" s="125">
        <f>AH112*Valores!$C$74</f>
        <v>-6358.31937</v>
      </c>
      <c r="AV112" s="125">
        <f>AH112*Valores!$C$75</f>
        <v>-706.47993</v>
      </c>
      <c r="AW112" s="125">
        <f t="shared" si="14"/>
        <v>202524.2466</v>
      </c>
      <c r="AX112" s="126"/>
      <c r="AY112" s="126">
        <v>25</v>
      </c>
      <c r="AZ112" s="123" t="s">
        <v>8</v>
      </c>
    </row>
    <row r="113" spans="1:52" s="110" customFormat="1" ht="11.25" customHeight="1">
      <c r="A113" s="123" t="s">
        <v>316</v>
      </c>
      <c r="B113" s="123">
        <v>1</v>
      </c>
      <c r="C113" s="126">
        <v>106</v>
      </c>
      <c r="D113" s="124" t="s">
        <v>317</v>
      </c>
      <c r="E113" s="191">
        <f>75+143</f>
        <v>218</v>
      </c>
      <c r="F113" s="125">
        <f>ROUND(E113*Valores!$C$2,2)</f>
        <v>8868.63</v>
      </c>
      <c r="G113" s="191">
        <v>2100</v>
      </c>
      <c r="H113" s="125">
        <f>ROUND(G113*Valores!$C$2,2)</f>
        <v>85431.78</v>
      </c>
      <c r="I113" s="191">
        <v>0</v>
      </c>
      <c r="J113" s="125">
        <f>ROUND(I113*Valores!$C$2,2)</f>
        <v>0</v>
      </c>
      <c r="K113" s="191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18941.01</v>
      </c>
      <c r="N113" s="125">
        <f t="shared" si="11"/>
        <v>0</v>
      </c>
      <c r="O113" s="125">
        <f>Valores!$C$14</f>
        <v>40510.89</v>
      </c>
      <c r="P113" s="125">
        <f>Valores!$D$5</f>
        <v>20796.54</v>
      </c>
      <c r="Q113" s="125">
        <f>Valores!$C$22</f>
        <v>18553.83</v>
      </c>
      <c r="R113" s="125">
        <f>IF($F$4="NO",Valores!$C$42,Valores!$C$42/2)</f>
        <v>12819.33</v>
      </c>
      <c r="S113" s="125">
        <f>Valores!$C$20</f>
        <v>19153.67</v>
      </c>
      <c r="T113" s="125">
        <f t="shared" si="17"/>
        <v>19153.67</v>
      </c>
      <c r="U113" s="125">
        <v>0</v>
      </c>
      <c r="V113" s="125">
        <v>0</v>
      </c>
      <c r="W113" s="191">
        <v>0</v>
      </c>
      <c r="X113" s="125">
        <f>ROUND(W113*Valores!$C$2,2)</f>
        <v>0</v>
      </c>
      <c r="Y113" s="125">
        <v>0</v>
      </c>
      <c r="Z113" s="125">
        <f>Valores!$C$94</f>
        <v>28478.14</v>
      </c>
      <c r="AA113" s="125">
        <f>Valores!$C$25</f>
        <v>850.59</v>
      </c>
      <c r="AB113" s="210">
        <v>0</v>
      </c>
      <c r="AC113" s="125">
        <f t="shared" si="12"/>
        <v>0</v>
      </c>
      <c r="AD113" s="125">
        <f>Valores!$C$26</f>
        <v>850.59</v>
      </c>
      <c r="AE113" s="191">
        <v>0</v>
      </c>
      <c r="AF113" s="125">
        <f>ROUND(AE113*Valores!$C$2,2)</f>
        <v>0</v>
      </c>
      <c r="AG113" s="125">
        <f>ROUND(IF($F$4="NO",Valores!$C$63,Valores!$C$63/2),2)</f>
        <v>9724.47</v>
      </c>
      <c r="AH113" s="125">
        <f t="shared" si="15"/>
        <v>264979.47</v>
      </c>
      <c r="AI113" s="125">
        <f>Valores!$C$31</f>
        <v>0</v>
      </c>
      <c r="AJ113" s="125">
        <f>Valores!$C$87</f>
        <v>0</v>
      </c>
      <c r="AK113" s="125">
        <f>Valores!C$38*B113</f>
        <v>0</v>
      </c>
      <c r="AL113" s="125">
        <f>IF($F$3="NO",0,Valores!$C$56)</f>
        <v>0</v>
      </c>
      <c r="AM113" s="125">
        <f t="shared" si="13"/>
        <v>0</v>
      </c>
      <c r="AN113" s="125">
        <f>AH113*Valores!$C$71</f>
        <v>-29147.7417</v>
      </c>
      <c r="AO113" s="125">
        <f>AH113*-Valores!$C$72</f>
        <v>0</v>
      </c>
      <c r="AP113" s="125">
        <f>AH113*Valores!$C$73</f>
        <v>-11924.076149999999</v>
      </c>
      <c r="AQ113" s="125">
        <f>Valores!$C$100</f>
        <v>-554.86</v>
      </c>
      <c r="AR113" s="125">
        <f>IF($F$5=0,Valores!$C$101,(Valores!$C$101+$F$5*(Valores!$C$101)))</f>
        <v>-550</v>
      </c>
      <c r="AS113" s="125">
        <f t="shared" si="16"/>
        <v>222802.79214999996</v>
      </c>
      <c r="AT113" s="125">
        <f t="shared" si="10"/>
        <v>-29147.7417</v>
      </c>
      <c r="AU113" s="125">
        <f>AH113*Valores!$C$74</f>
        <v>-7154.44569</v>
      </c>
      <c r="AV113" s="125">
        <f>AH113*Valores!$C$75</f>
        <v>-794.93841</v>
      </c>
      <c r="AW113" s="125">
        <f t="shared" si="14"/>
        <v>227882.34419999996</v>
      </c>
      <c r="AX113" s="126"/>
      <c r="AY113" s="126">
        <v>30</v>
      </c>
      <c r="AZ113" s="123" t="s">
        <v>4</v>
      </c>
    </row>
    <row r="114" spans="1:52" s="110" customFormat="1" ht="11.25" customHeight="1">
      <c r="A114" s="123" t="s">
        <v>318</v>
      </c>
      <c r="B114" s="123">
        <v>1</v>
      </c>
      <c r="C114" s="126">
        <v>107</v>
      </c>
      <c r="D114" s="124" t="s">
        <v>319</v>
      </c>
      <c r="E114" s="191">
        <f>77+143</f>
        <v>220</v>
      </c>
      <c r="F114" s="125">
        <f>ROUND(E114*Valores!$C$2,2)</f>
        <v>8950</v>
      </c>
      <c r="G114" s="191">
        <v>1995</v>
      </c>
      <c r="H114" s="125">
        <f>ROUND(G114*Valores!$C$2,2)</f>
        <v>81160.19</v>
      </c>
      <c r="I114" s="191">
        <v>0</v>
      </c>
      <c r="J114" s="125">
        <f>ROUND(I114*Valores!$C$2,2)</f>
        <v>0</v>
      </c>
      <c r="K114" s="191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18312.48</v>
      </c>
      <c r="N114" s="125">
        <f t="shared" si="11"/>
        <v>0</v>
      </c>
      <c r="O114" s="125">
        <f>Valores!$C$14</f>
        <v>40510.89</v>
      </c>
      <c r="P114" s="125">
        <f>Valores!$D$5</f>
        <v>20796.54</v>
      </c>
      <c r="Q114" s="125">
        <f>Valores!$C$22</f>
        <v>18553.83</v>
      </c>
      <c r="R114" s="125">
        <f>IF($F$4="NO",Valores!$C$42,Valores!$C$42/2)</f>
        <v>12819.33</v>
      </c>
      <c r="S114" s="125">
        <f>Valores!$C$20</f>
        <v>19153.67</v>
      </c>
      <c r="T114" s="125">
        <f t="shared" si="17"/>
        <v>19153.67</v>
      </c>
      <c r="U114" s="125">
        <v>0</v>
      </c>
      <c r="V114" s="125">
        <v>0</v>
      </c>
      <c r="W114" s="191">
        <v>0</v>
      </c>
      <c r="X114" s="125">
        <f>ROUND(W114*Valores!$C$2,2)</f>
        <v>0</v>
      </c>
      <c r="Y114" s="125">
        <v>0</v>
      </c>
      <c r="Z114" s="125">
        <f>Valores!$C$94</f>
        <v>28478.14</v>
      </c>
      <c r="AA114" s="125">
        <f>Valores!$C$25</f>
        <v>850.59</v>
      </c>
      <c r="AB114" s="210">
        <v>0</v>
      </c>
      <c r="AC114" s="125">
        <f t="shared" si="12"/>
        <v>0</v>
      </c>
      <c r="AD114" s="125">
        <f>Valores!$C$26</f>
        <v>850.59</v>
      </c>
      <c r="AE114" s="191">
        <v>0</v>
      </c>
      <c r="AF114" s="125">
        <f>ROUND(AE114*Valores!$C$2,2)</f>
        <v>0</v>
      </c>
      <c r="AG114" s="125">
        <f>ROUND(IF($F$4="NO",Valores!$C$63,Valores!$C$63/2),2)</f>
        <v>9724.47</v>
      </c>
      <c r="AH114" s="125">
        <f t="shared" si="15"/>
        <v>260160.72</v>
      </c>
      <c r="AI114" s="125">
        <f>Valores!$C$31</f>
        <v>0</v>
      </c>
      <c r="AJ114" s="125">
        <f>Valores!$C$87</f>
        <v>0</v>
      </c>
      <c r="AK114" s="125">
        <f>Valores!C$38*B114</f>
        <v>0</v>
      </c>
      <c r="AL114" s="125">
        <f>IF($F$3="NO",0,Valores!$C$56)</f>
        <v>0</v>
      </c>
      <c r="AM114" s="125">
        <f t="shared" si="13"/>
        <v>0</v>
      </c>
      <c r="AN114" s="125">
        <f>AH114*Valores!$C$71</f>
        <v>-28617.6792</v>
      </c>
      <c r="AO114" s="125">
        <f>AH114*-Valores!$C$72</f>
        <v>0</v>
      </c>
      <c r="AP114" s="125">
        <f>AH114*Valores!$C$73</f>
        <v>-11707.232399999999</v>
      </c>
      <c r="AQ114" s="125">
        <f>Valores!$C$100</f>
        <v>-554.86</v>
      </c>
      <c r="AR114" s="125">
        <f>IF($F$5=0,Valores!$C$101,(Valores!$C$101+$F$5*(Valores!$C$101)))</f>
        <v>-550</v>
      </c>
      <c r="AS114" s="125">
        <f t="shared" si="16"/>
        <v>218730.9484</v>
      </c>
      <c r="AT114" s="125">
        <f t="shared" si="10"/>
        <v>-28617.6792</v>
      </c>
      <c r="AU114" s="125">
        <f>AH114*Valores!$C$74</f>
        <v>-7024.33944</v>
      </c>
      <c r="AV114" s="125">
        <f>AH114*Valores!$C$75</f>
        <v>-780.48216</v>
      </c>
      <c r="AW114" s="125">
        <f t="shared" si="14"/>
        <v>223738.2192</v>
      </c>
      <c r="AX114" s="126"/>
      <c r="AY114" s="126">
        <v>30</v>
      </c>
      <c r="AZ114" s="123" t="s">
        <v>4</v>
      </c>
    </row>
    <row r="115" spans="1:52" s="110" customFormat="1" ht="11.25" customHeight="1">
      <c r="A115" s="123" t="s">
        <v>320</v>
      </c>
      <c r="B115" s="123">
        <v>1</v>
      </c>
      <c r="C115" s="126">
        <v>108</v>
      </c>
      <c r="D115" s="124" t="s">
        <v>321</v>
      </c>
      <c r="E115" s="191">
        <f>72+115</f>
        <v>187</v>
      </c>
      <c r="F115" s="125">
        <f>ROUND(E115*Valores!$C$2,2)</f>
        <v>7607.5</v>
      </c>
      <c r="G115" s="191">
        <v>1704</v>
      </c>
      <c r="H115" s="125">
        <f>ROUND(G115*Valores!$C$2,2)</f>
        <v>69321.79</v>
      </c>
      <c r="I115" s="191">
        <v>0</v>
      </c>
      <c r="J115" s="125">
        <f>ROUND(I115*Valores!$C$2,2)</f>
        <v>0</v>
      </c>
      <c r="K115" s="191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16335.34</v>
      </c>
      <c r="N115" s="125">
        <f t="shared" si="11"/>
        <v>0</v>
      </c>
      <c r="O115" s="125">
        <f>Valores!$C$14</f>
        <v>40510.89</v>
      </c>
      <c r="P115" s="125">
        <f>Valores!$D$5</f>
        <v>20796.54</v>
      </c>
      <c r="Q115" s="125">
        <f>Valores!$C$22</f>
        <v>18553.83</v>
      </c>
      <c r="R115" s="125">
        <f>IF($F$4="NO",Valores!$C$42,Valores!$C$42/2)</f>
        <v>12819.33</v>
      </c>
      <c r="S115" s="125">
        <f>Valores!$C$20</f>
        <v>19153.67</v>
      </c>
      <c r="T115" s="125">
        <f t="shared" si="17"/>
        <v>19153.67</v>
      </c>
      <c r="U115" s="125">
        <v>0</v>
      </c>
      <c r="V115" s="125">
        <v>0</v>
      </c>
      <c r="W115" s="191">
        <v>0</v>
      </c>
      <c r="X115" s="125">
        <f>ROUND(W115*Valores!$C$2,2)</f>
        <v>0</v>
      </c>
      <c r="Y115" s="125">
        <v>0</v>
      </c>
      <c r="Z115" s="125">
        <f>Valores!$C$94</f>
        <v>28478.14</v>
      </c>
      <c r="AA115" s="125">
        <f>Valores!$C$25</f>
        <v>850.59</v>
      </c>
      <c r="AB115" s="210">
        <v>0</v>
      </c>
      <c r="AC115" s="125">
        <f t="shared" si="12"/>
        <v>0</v>
      </c>
      <c r="AD115" s="125">
        <f>Valores!$C$26</f>
        <v>850.59</v>
      </c>
      <c r="AE115" s="191">
        <v>0</v>
      </c>
      <c r="AF115" s="125">
        <f>ROUND(AE115*Valores!$C$2,2)</f>
        <v>0</v>
      </c>
      <c r="AG115" s="125">
        <f>ROUND(IF($F$4="NO",Valores!$C$63,Valores!$C$63/2),2)</f>
        <v>9724.47</v>
      </c>
      <c r="AH115" s="125">
        <f t="shared" si="15"/>
        <v>245002.68000000002</v>
      </c>
      <c r="AI115" s="125">
        <f>Valores!$C$31</f>
        <v>0</v>
      </c>
      <c r="AJ115" s="125">
        <f>Valores!$C$87</f>
        <v>0</v>
      </c>
      <c r="AK115" s="125">
        <f>Valores!C$38*B115</f>
        <v>0</v>
      </c>
      <c r="AL115" s="125">
        <f>IF($F$3="NO",0,Valores!$C$56)</f>
        <v>0</v>
      </c>
      <c r="AM115" s="125">
        <f t="shared" si="13"/>
        <v>0</v>
      </c>
      <c r="AN115" s="125">
        <f>AH115*Valores!$C$71</f>
        <v>-26950.294800000003</v>
      </c>
      <c r="AO115" s="125">
        <f>AH115*-Valores!$C$72</f>
        <v>0</v>
      </c>
      <c r="AP115" s="125">
        <f>AH115*Valores!$C$73</f>
        <v>-11025.1206</v>
      </c>
      <c r="AQ115" s="125">
        <f>Valores!$C$100</f>
        <v>-554.86</v>
      </c>
      <c r="AR115" s="125">
        <f>IF($F$5=0,Valores!$C$101,(Valores!$C$101+$F$5*(Valores!$C$101)))</f>
        <v>-550</v>
      </c>
      <c r="AS115" s="125">
        <f t="shared" si="16"/>
        <v>205922.4046</v>
      </c>
      <c r="AT115" s="125">
        <f t="shared" si="10"/>
        <v>-26950.294800000003</v>
      </c>
      <c r="AU115" s="125">
        <f>AH115*Valores!$C$74</f>
        <v>-6615.07236</v>
      </c>
      <c r="AV115" s="125">
        <f>AH115*Valores!$C$75</f>
        <v>-735.00804</v>
      </c>
      <c r="AW115" s="125">
        <f t="shared" si="14"/>
        <v>210702.3048</v>
      </c>
      <c r="AX115" s="126"/>
      <c r="AY115" s="126">
        <v>30</v>
      </c>
      <c r="AZ115" s="123" t="s">
        <v>4</v>
      </c>
    </row>
    <row r="116" spans="1:52" s="110" customFormat="1" ht="11.25" customHeight="1">
      <c r="A116" s="123" t="s">
        <v>322</v>
      </c>
      <c r="B116" s="123">
        <v>1</v>
      </c>
      <c r="C116" s="126">
        <v>109</v>
      </c>
      <c r="D116" s="124" t="s">
        <v>323</v>
      </c>
      <c r="E116" s="191">
        <f>67+94</f>
        <v>161</v>
      </c>
      <c r="F116" s="125">
        <f>ROUND(E116*Valores!$C$2,2)</f>
        <v>6549.77</v>
      </c>
      <c r="G116" s="191">
        <v>1480</v>
      </c>
      <c r="H116" s="125">
        <f>ROUND(G116*Valores!$C$2,2)</f>
        <v>60209.06</v>
      </c>
      <c r="I116" s="191">
        <v>0</v>
      </c>
      <c r="J116" s="125">
        <f>ROUND(I116*Valores!$C$2,2)</f>
        <v>0</v>
      </c>
      <c r="K116" s="191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14809.77</v>
      </c>
      <c r="N116" s="125">
        <f t="shared" si="11"/>
        <v>0</v>
      </c>
      <c r="O116" s="125">
        <f>Valores!$C$14</f>
        <v>40510.89</v>
      </c>
      <c r="P116" s="125">
        <f>Valores!$D$5</f>
        <v>20796.54</v>
      </c>
      <c r="Q116" s="125">
        <f>Valores!$C$22</f>
        <v>18553.83</v>
      </c>
      <c r="R116" s="125">
        <f>IF($F$4="NO",Valores!$C$42,Valores!$C$42/2)</f>
        <v>12819.33</v>
      </c>
      <c r="S116" s="125">
        <f>Valores!$C$20</f>
        <v>19153.67</v>
      </c>
      <c r="T116" s="125">
        <f t="shared" si="17"/>
        <v>19153.67</v>
      </c>
      <c r="U116" s="125">
        <v>0</v>
      </c>
      <c r="V116" s="125">
        <v>0</v>
      </c>
      <c r="W116" s="191">
        <v>0</v>
      </c>
      <c r="X116" s="125">
        <f>ROUND(W116*Valores!$C$2,2)</f>
        <v>0</v>
      </c>
      <c r="Y116" s="125">
        <v>0</v>
      </c>
      <c r="Z116" s="125">
        <f>Valores!$C$94</f>
        <v>28478.14</v>
      </c>
      <c r="AA116" s="125">
        <f>Valores!$C$25</f>
        <v>850.59</v>
      </c>
      <c r="AB116" s="210">
        <v>0</v>
      </c>
      <c r="AC116" s="125">
        <f t="shared" si="12"/>
        <v>0</v>
      </c>
      <c r="AD116" s="125">
        <f>Valores!$C$26</f>
        <v>850.59</v>
      </c>
      <c r="AE116" s="191">
        <v>0</v>
      </c>
      <c r="AF116" s="125">
        <f>ROUND(AE116*Valores!$C$2,2)</f>
        <v>0</v>
      </c>
      <c r="AG116" s="125">
        <f>ROUND(IF($F$4="NO",Valores!$C$63,Valores!$C$63/2),2)</f>
        <v>9724.47</v>
      </c>
      <c r="AH116" s="125">
        <f t="shared" si="15"/>
        <v>233306.65</v>
      </c>
      <c r="AI116" s="125">
        <f>Valores!$C$31</f>
        <v>0</v>
      </c>
      <c r="AJ116" s="125">
        <f>Valores!$C$87</f>
        <v>0</v>
      </c>
      <c r="AK116" s="125">
        <f>Valores!C$38*B116</f>
        <v>0</v>
      </c>
      <c r="AL116" s="125">
        <f>IF($F$3="NO",0,Valores!$C$56)</f>
        <v>0</v>
      </c>
      <c r="AM116" s="125">
        <f t="shared" si="13"/>
        <v>0</v>
      </c>
      <c r="AN116" s="125">
        <f>AH116*Valores!$C$71</f>
        <v>-25663.731499999998</v>
      </c>
      <c r="AO116" s="125">
        <f>AH116*-Valores!$C$72</f>
        <v>0</v>
      </c>
      <c r="AP116" s="125">
        <f>AH116*Valores!$C$73</f>
        <v>-10498.79925</v>
      </c>
      <c r="AQ116" s="125">
        <f>Valores!$C$100</f>
        <v>-554.86</v>
      </c>
      <c r="AR116" s="125">
        <f>IF($F$5=0,Valores!$C$101,(Valores!$C$101+$F$5*(Valores!$C$101)))</f>
        <v>-550</v>
      </c>
      <c r="AS116" s="125">
        <f t="shared" si="16"/>
        <v>196039.25925</v>
      </c>
      <c r="AT116" s="125">
        <f t="shared" si="10"/>
        <v>-25663.731499999998</v>
      </c>
      <c r="AU116" s="125">
        <f>AH116*Valores!$C$74</f>
        <v>-6299.27955</v>
      </c>
      <c r="AV116" s="125">
        <f>AH116*Valores!$C$75</f>
        <v>-699.91995</v>
      </c>
      <c r="AW116" s="125">
        <f t="shared" si="14"/>
        <v>200643.71899999998</v>
      </c>
      <c r="AX116" s="126"/>
      <c r="AY116" s="126">
        <v>30</v>
      </c>
      <c r="AZ116" s="123" t="s">
        <v>4</v>
      </c>
    </row>
    <row r="117" spans="1:52" s="110" customFormat="1" ht="11.25" customHeight="1">
      <c r="A117" s="123" t="s">
        <v>324</v>
      </c>
      <c r="B117" s="123">
        <v>1</v>
      </c>
      <c r="C117" s="126">
        <v>110</v>
      </c>
      <c r="D117" s="124" t="s">
        <v>325</v>
      </c>
      <c r="E117" s="191">
        <f>1184+94</f>
        <v>1278</v>
      </c>
      <c r="F117" s="125">
        <f>ROUND(E117*Valores!$C$2,2)</f>
        <v>51991.34</v>
      </c>
      <c r="G117" s="191">
        <v>0</v>
      </c>
      <c r="H117" s="125">
        <f>ROUND(G117*Valores!$C$2,2)</f>
        <v>0</v>
      </c>
      <c r="I117" s="191">
        <v>0</v>
      </c>
      <c r="J117" s="125">
        <f>ROUND(I117*Valores!$C$2,2)</f>
        <v>0</v>
      </c>
      <c r="K117" s="191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12594.65</v>
      </c>
      <c r="N117" s="125">
        <f t="shared" si="11"/>
        <v>0</v>
      </c>
      <c r="O117" s="125">
        <f>Valores!$C$14</f>
        <v>40510.89</v>
      </c>
      <c r="P117" s="125">
        <f>Valores!$D$5</f>
        <v>20796.54</v>
      </c>
      <c r="Q117" s="125">
        <f>Valores!$C$22</f>
        <v>18553.83</v>
      </c>
      <c r="R117" s="125">
        <f>IF($F$4="NO",Valores!$C$42,Valores!$C$42/2)</f>
        <v>12819.33</v>
      </c>
      <c r="S117" s="125">
        <f>Valores!$C$20</f>
        <v>19153.67</v>
      </c>
      <c r="T117" s="125">
        <f t="shared" si="17"/>
        <v>19153.67</v>
      </c>
      <c r="U117" s="125">
        <v>0</v>
      </c>
      <c r="V117" s="125">
        <v>0</v>
      </c>
      <c r="W117" s="191">
        <v>0</v>
      </c>
      <c r="X117" s="125">
        <f>ROUND(W117*Valores!$C$2,2)</f>
        <v>0</v>
      </c>
      <c r="Y117" s="125">
        <v>0</v>
      </c>
      <c r="Z117" s="125">
        <f>Valores!$C$94</f>
        <v>28478.14</v>
      </c>
      <c r="AA117" s="125">
        <f>Valores!$C$25</f>
        <v>850.59</v>
      </c>
      <c r="AB117" s="210">
        <v>0</v>
      </c>
      <c r="AC117" s="125">
        <f t="shared" si="12"/>
        <v>0</v>
      </c>
      <c r="AD117" s="125">
        <f>Valores!$C$26</f>
        <v>850.59</v>
      </c>
      <c r="AE117" s="191">
        <v>0</v>
      </c>
      <c r="AF117" s="125">
        <f>ROUND(AE117*Valores!$C$2,2)</f>
        <v>0</v>
      </c>
      <c r="AG117" s="125">
        <f>ROUND(IF($F$4="NO",Valores!$C$63,Valores!$C$63/2),2)</f>
        <v>9724.47</v>
      </c>
      <c r="AH117" s="125">
        <f t="shared" si="15"/>
        <v>216324.04</v>
      </c>
      <c r="AI117" s="125">
        <f>Valores!$C$31</f>
        <v>0</v>
      </c>
      <c r="AJ117" s="125">
        <f>Valores!$C$87</f>
        <v>0</v>
      </c>
      <c r="AK117" s="125">
        <f>Valores!C$38*B117</f>
        <v>0</v>
      </c>
      <c r="AL117" s="125">
        <f>IF($F$3="NO",0,Valores!$C$56)</f>
        <v>0</v>
      </c>
      <c r="AM117" s="125">
        <f t="shared" si="13"/>
        <v>0</v>
      </c>
      <c r="AN117" s="125">
        <f>AH117*Valores!$C$71</f>
        <v>-23795.6444</v>
      </c>
      <c r="AO117" s="125">
        <f>AH117*-Valores!$C$72</f>
        <v>0</v>
      </c>
      <c r="AP117" s="125">
        <f>AH117*Valores!$C$73</f>
        <v>-9734.5818</v>
      </c>
      <c r="AQ117" s="125">
        <f>Valores!$C$100</f>
        <v>-554.86</v>
      </c>
      <c r="AR117" s="125">
        <f>IF($F$5=0,Valores!$C$101,(Valores!$C$101+$F$5*(Valores!$C$101)))</f>
        <v>-550</v>
      </c>
      <c r="AS117" s="125">
        <f t="shared" si="16"/>
        <v>181688.95380000002</v>
      </c>
      <c r="AT117" s="125">
        <f t="shared" si="10"/>
        <v>-23795.6444</v>
      </c>
      <c r="AU117" s="125">
        <f>AH117*Valores!$C$74</f>
        <v>-5840.7490800000005</v>
      </c>
      <c r="AV117" s="125">
        <f>AH117*Valores!$C$75</f>
        <v>-648.97212</v>
      </c>
      <c r="AW117" s="125">
        <f t="shared" si="14"/>
        <v>186038.67440000002</v>
      </c>
      <c r="AX117" s="126"/>
      <c r="AY117" s="126">
        <v>30</v>
      </c>
      <c r="AZ117" s="123" t="s">
        <v>4</v>
      </c>
    </row>
    <row r="118" spans="1:52" s="110" customFormat="1" ht="11.25" customHeight="1">
      <c r="A118" s="123" t="s">
        <v>326</v>
      </c>
      <c r="B118" s="123">
        <v>1</v>
      </c>
      <c r="C118" s="126">
        <v>111</v>
      </c>
      <c r="D118" s="124" t="s">
        <v>327</v>
      </c>
      <c r="E118" s="191">
        <v>77</v>
      </c>
      <c r="F118" s="125">
        <f>ROUND(E118*Valores!$C$2,2)</f>
        <v>3132.5</v>
      </c>
      <c r="G118" s="191">
        <v>2073</v>
      </c>
      <c r="H118" s="125">
        <f>ROUND(G118*Valores!$C$2,2)</f>
        <v>84333.37</v>
      </c>
      <c r="I118" s="191">
        <v>0</v>
      </c>
      <c r="J118" s="125">
        <f>ROUND(I118*Valores!$C$2,2)</f>
        <v>0</v>
      </c>
      <c r="K118" s="191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18189.68</v>
      </c>
      <c r="N118" s="125">
        <f t="shared" si="11"/>
        <v>0</v>
      </c>
      <c r="O118" s="125">
        <f>Valores!$C$8</f>
        <v>50989.899999999994</v>
      </c>
      <c r="P118" s="125">
        <f>Valores!$D$5</f>
        <v>20796.54</v>
      </c>
      <c r="Q118" s="125">
        <f>Valores!$C$22</f>
        <v>18553.83</v>
      </c>
      <c r="R118" s="125">
        <f>IF($F$4="NO",Valores!$C$44,Valores!$C$44/2)</f>
        <v>14447.16</v>
      </c>
      <c r="S118" s="125">
        <f>Valores!$C$19</f>
        <v>19351.52</v>
      </c>
      <c r="T118" s="125">
        <f t="shared" si="17"/>
        <v>19351.52</v>
      </c>
      <c r="U118" s="125">
        <v>0</v>
      </c>
      <c r="V118" s="125">
        <v>0</v>
      </c>
      <c r="W118" s="191">
        <v>0</v>
      </c>
      <c r="X118" s="125">
        <f>ROUND(W118*Valores!$C$2,2)</f>
        <v>0</v>
      </c>
      <c r="Y118" s="125">
        <v>0</v>
      </c>
      <c r="Z118" s="125">
        <f>Valores!$C$94</f>
        <v>28478.14</v>
      </c>
      <c r="AA118" s="125">
        <f>Valores!$C$25</f>
        <v>850.59</v>
      </c>
      <c r="AB118" s="210">
        <v>0</v>
      </c>
      <c r="AC118" s="125">
        <f t="shared" si="12"/>
        <v>0</v>
      </c>
      <c r="AD118" s="125">
        <f>Valores!$C$26</f>
        <v>850.59</v>
      </c>
      <c r="AE118" s="191">
        <v>0</v>
      </c>
      <c r="AF118" s="125">
        <f>ROUND(AE118*Valores!$C$2,2)</f>
        <v>0</v>
      </c>
      <c r="AG118" s="125">
        <f>ROUND(IF($F$4="NO",Valores!$C$63,Valores!$C$63/2),2)</f>
        <v>9724.47</v>
      </c>
      <c r="AH118" s="125">
        <f t="shared" si="15"/>
        <v>269698.29</v>
      </c>
      <c r="AI118" s="125">
        <f>Valores!$C$31</f>
        <v>0</v>
      </c>
      <c r="AJ118" s="125">
        <f>Valores!$C$87</f>
        <v>0</v>
      </c>
      <c r="AK118" s="125">
        <f>Valores!C$38*B118</f>
        <v>0</v>
      </c>
      <c r="AL118" s="125">
        <f>IF($F$3="NO",0,Valores!$C$56)</f>
        <v>0</v>
      </c>
      <c r="AM118" s="125">
        <f t="shared" si="13"/>
        <v>0</v>
      </c>
      <c r="AN118" s="125">
        <f>AH118*Valores!$C$71</f>
        <v>-29666.811899999997</v>
      </c>
      <c r="AO118" s="125">
        <f>AH118*-Valores!$C$72</f>
        <v>0</v>
      </c>
      <c r="AP118" s="125">
        <f>AH118*Valores!$C$73</f>
        <v>-12136.42305</v>
      </c>
      <c r="AQ118" s="125">
        <f>Valores!$C$100</f>
        <v>-554.86</v>
      </c>
      <c r="AR118" s="125">
        <f>IF($F$5=0,Valores!$C$101,(Valores!$C$101+$F$5*(Valores!$C$101)))</f>
        <v>-550</v>
      </c>
      <c r="AS118" s="125">
        <f t="shared" si="16"/>
        <v>226790.19504999998</v>
      </c>
      <c r="AT118" s="125">
        <f t="shared" si="10"/>
        <v>-29666.811899999997</v>
      </c>
      <c r="AU118" s="125">
        <f>AH118*Valores!$C$74</f>
        <v>-7281.853829999999</v>
      </c>
      <c r="AV118" s="125">
        <f>AH118*Valores!$C$75</f>
        <v>-809.0948699999999</v>
      </c>
      <c r="AW118" s="125">
        <f t="shared" si="14"/>
        <v>231940.5294</v>
      </c>
      <c r="AX118" s="126"/>
      <c r="AY118" s="126">
        <v>30</v>
      </c>
      <c r="AZ118" s="123" t="s">
        <v>4</v>
      </c>
    </row>
    <row r="119" spans="1:52" s="110" customFormat="1" ht="11.25" customHeight="1">
      <c r="A119" s="123" t="s">
        <v>328</v>
      </c>
      <c r="B119" s="123">
        <v>1</v>
      </c>
      <c r="C119" s="126">
        <v>112</v>
      </c>
      <c r="D119" s="124" t="s">
        <v>329</v>
      </c>
      <c r="E119" s="191">
        <v>77</v>
      </c>
      <c r="F119" s="125">
        <f>ROUND(E119*Valores!$C$2,2)</f>
        <v>3132.5</v>
      </c>
      <c r="G119" s="191">
        <v>2043</v>
      </c>
      <c r="H119" s="125">
        <f>ROUND(G119*Valores!$C$2,2)</f>
        <v>83112.92</v>
      </c>
      <c r="I119" s="191">
        <v>0</v>
      </c>
      <c r="J119" s="125">
        <f>ROUND(I119*Valores!$C$2,2)</f>
        <v>0</v>
      </c>
      <c r="K119" s="191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18006.62</v>
      </c>
      <c r="N119" s="125">
        <f t="shared" si="11"/>
        <v>0</v>
      </c>
      <c r="O119" s="125">
        <f>Valores!$C$9</f>
        <v>51121.66</v>
      </c>
      <c r="P119" s="125">
        <f>Valores!$D$5</f>
        <v>20796.54</v>
      </c>
      <c r="Q119" s="125">
        <f>Valores!$C$22</f>
        <v>18553.83</v>
      </c>
      <c r="R119" s="125">
        <f>IF($F$4="NO",Valores!$C$44,Valores!$C$44/2)</f>
        <v>14447.16</v>
      </c>
      <c r="S119" s="125">
        <f>Valores!$C$19</f>
        <v>19351.52</v>
      </c>
      <c r="T119" s="125">
        <f t="shared" si="17"/>
        <v>19351.52</v>
      </c>
      <c r="U119" s="125">
        <v>0</v>
      </c>
      <c r="V119" s="125">
        <v>0</v>
      </c>
      <c r="W119" s="191">
        <v>0</v>
      </c>
      <c r="X119" s="125">
        <f>ROUND(W119*Valores!$C$2,2)</f>
        <v>0</v>
      </c>
      <c r="Y119" s="125">
        <v>0</v>
      </c>
      <c r="Z119" s="125">
        <f>Valores!$C$94</f>
        <v>28478.14</v>
      </c>
      <c r="AA119" s="125">
        <f>Valores!$C$25</f>
        <v>850.59</v>
      </c>
      <c r="AB119" s="210">
        <v>0</v>
      </c>
      <c r="AC119" s="125">
        <f t="shared" si="12"/>
        <v>0</v>
      </c>
      <c r="AD119" s="125">
        <f>Valores!$C$26</f>
        <v>850.59</v>
      </c>
      <c r="AE119" s="191">
        <v>0</v>
      </c>
      <c r="AF119" s="125">
        <f>ROUND(AE119*Valores!$C$2,2)</f>
        <v>0</v>
      </c>
      <c r="AG119" s="125">
        <f>ROUND(IF($F$4="NO",Valores!$C$63,Valores!$C$63/2),2)</f>
        <v>9724.47</v>
      </c>
      <c r="AH119" s="125">
        <f t="shared" si="15"/>
        <v>268426.54</v>
      </c>
      <c r="AI119" s="125">
        <f>Valores!$C$31</f>
        <v>0</v>
      </c>
      <c r="AJ119" s="125">
        <f>Valores!$C$87</f>
        <v>0</v>
      </c>
      <c r="AK119" s="125">
        <f>Valores!C$38*B119</f>
        <v>0</v>
      </c>
      <c r="AL119" s="125">
        <f>IF($F$3="NO",0,Valores!$C$56)</f>
        <v>0</v>
      </c>
      <c r="AM119" s="125">
        <f t="shared" si="13"/>
        <v>0</v>
      </c>
      <c r="AN119" s="125">
        <f>AH119*Valores!$C$71</f>
        <v>-29526.9194</v>
      </c>
      <c r="AO119" s="125">
        <f>AH119*-Valores!$C$72</f>
        <v>0</v>
      </c>
      <c r="AP119" s="125">
        <f>AH119*Valores!$C$73</f>
        <v>-12079.1943</v>
      </c>
      <c r="AQ119" s="125">
        <f>Valores!$C$100</f>
        <v>-554.86</v>
      </c>
      <c r="AR119" s="125">
        <f>IF($F$5=0,Valores!$C$101,(Valores!$C$101+$F$5*(Valores!$C$101)))</f>
        <v>-550</v>
      </c>
      <c r="AS119" s="125">
        <f t="shared" si="16"/>
        <v>225715.56629999998</v>
      </c>
      <c r="AT119" s="125">
        <f t="shared" si="10"/>
        <v>-29526.9194</v>
      </c>
      <c r="AU119" s="125">
        <f>AH119*Valores!$C$74</f>
        <v>-7247.5165799999995</v>
      </c>
      <c r="AV119" s="125">
        <f>AH119*Valores!$C$75</f>
        <v>-805.2796199999999</v>
      </c>
      <c r="AW119" s="125">
        <f t="shared" si="14"/>
        <v>230846.82439999998</v>
      </c>
      <c r="AX119" s="126"/>
      <c r="AY119" s="126">
        <v>30</v>
      </c>
      <c r="AZ119" s="123" t="s">
        <v>4</v>
      </c>
    </row>
    <row r="120" spans="1:52" s="110" customFormat="1" ht="11.25" customHeight="1">
      <c r="A120" s="123" t="s">
        <v>330</v>
      </c>
      <c r="B120" s="123">
        <v>1</v>
      </c>
      <c r="C120" s="126">
        <v>113</v>
      </c>
      <c r="D120" s="124" t="s">
        <v>331</v>
      </c>
      <c r="E120" s="191">
        <v>76</v>
      </c>
      <c r="F120" s="125">
        <f>ROUND(E120*Valores!$C$2,2)</f>
        <v>3091.82</v>
      </c>
      <c r="G120" s="191">
        <v>1954</v>
      </c>
      <c r="H120" s="125">
        <f>ROUND(G120*Valores!$C$2,2)</f>
        <v>79492.24</v>
      </c>
      <c r="I120" s="191">
        <v>0</v>
      </c>
      <c r="J120" s="125">
        <f>ROUND(I120*Valores!$C$2,2)</f>
        <v>0</v>
      </c>
      <c r="K120" s="191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17457.41</v>
      </c>
      <c r="N120" s="125">
        <f t="shared" si="11"/>
        <v>0</v>
      </c>
      <c r="O120" s="125">
        <f>Valores!$C$9</f>
        <v>51121.66</v>
      </c>
      <c r="P120" s="125">
        <f>Valores!$D$5</f>
        <v>20796.54</v>
      </c>
      <c r="Q120" s="125">
        <f>Valores!$C$22</f>
        <v>18553.83</v>
      </c>
      <c r="R120" s="125">
        <f>IF($F$4="NO",Valores!$C$44,Valores!$C$44/2)</f>
        <v>14447.16</v>
      </c>
      <c r="S120" s="125">
        <f>Valores!$C$19</f>
        <v>19351.52</v>
      </c>
      <c r="T120" s="125">
        <f t="shared" si="17"/>
        <v>19351.52</v>
      </c>
      <c r="U120" s="125">
        <v>0</v>
      </c>
      <c r="V120" s="125">
        <v>0</v>
      </c>
      <c r="W120" s="191">
        <v>0</v>
      </c>
      <c r="X120" s="125">
        <f>ROUND(W120*Valores!$C$2,2)</f>
        <v>0</v>
      </c>
      <c r="Y120" s="125">
        <v>0</v>
      </c>
      <c r="Z120" s="125">
        <f>Valores!$C$94</f>
        <v>28478.14</v>
      </c>
      <c r="AA120" s="125">
        <f>Valores!$C$25</f>
        <v>850.59</v>
      </c>
      <c r="AB120" s="210">
        <v>0</v>
      </c>
      <c r="AC120" s="125">
        <f t="shared" si="12"/>
        <v>0</v>
      </c>
      <c r="AD120" s="125">
        <f>Valores!$C$26</f>
        <v>850.59</v>
      </c>
      <c r="AE120" s="191">
        <v>0</v>
      </c>
      <c r="AF120" s="125">
        <f>ROUND(AE120*Valores!$C$2,2)</f>
        <v>0</v>
      </c>
      <c r="AG120" s="125">
        <f>ROUND(IF($F$4="NO",Valores!$C$63,Valores!$C$63/2),2)</f>
        <v>9724.47</v>
      </c>
      <c r="AH120" s="125">
        <f t="shared" si="15"/>
        <v>264215.97</v>
      </c>
      <c r="AI120" s="125">
        <f>Valores!$C$31</f>
        <v>0</v>
      </c>
      <c r="AJ120" s="125">
        <f>Valores!$C$87</f>
        <v>0</v>
      </c>
      <c r="AK120" s="125">
        <f>Valores!C$38*B120</f>
        <v>0</v>
      </c>
      <c r="AL120" s="125">
        <f>IF($F$3="NO",0,Valores!$C$56)</f>
        <v>0</v>
      </c>
      <c r="AM120" s="125">
        <f t="shared" si="13"/>
        <v>0</v>
      </c>
      <c r="AN120" s="125">
        <f>AH120*Valores!$C$71</f>
        <v>-29063.756699999998</v>
      </c>
      <c r="AO120" s="125">
        <f>AH120*-Valores!$C$72</f>
        <v>0</v>
      </c>
      <c r="AP120" s="125">
        <f>AH120*Valores!$C$73</f>
        <v>-11889.718649999999</v>
      </c>
      <c r="AQ120" s="125">
        <f>Valores!$C$100</f>
        <v>-554.86</v>
      </c>
      <c r="AR120" s="125">
        <f>IF($F$5=0,Valores!$C$101,(Valores!$C$101+$F$5*(Valores!$C$101)))</f>
        <v>-550</v>
      </c>
      <c r="AS120" s="125">
        <f t="shared" si="16"/>
        <v>222157.63464999996</v>
      </c>
      <c r="AT120" s="125">
        <f t="shared" si="10"/>
        <v>-29063.756699999998</v>
      </c>
      <c r="AU120" s="125">
        <f>AH120*Valores!$C$74</f>
        <v>-7133.831189999999</v>
      </c>
      <c r="AV120" s="125">
        <f>AH120*Valores!$C$75</f>
        <v>-792.6479099999999</v>
      </c>
      <c r="AW120" s="125">
        <f t="shared" si="14"/>
        <v>227225.73419999998</v>
      </c>
      <c r="AX120" s="126"/>
      <c r="AY120" s="126">
        <v>30</v>
      </c>
      <c r="AZ120" s="123" t="s">
        <v>4</v>
      </c>
    </row>
    <row r="121" spans="1:52" s="110" customFormat="1" ht="11.25" customHeight="1">
      <c r="A121" s="123" t="s">
        <v>332</v>
      </c>
      <c r="B121" s="123">
        <v>1</v>
      </c>
      <c r="C121" s="126">
        <v>114</v>
      </c>
      <c r="D121" s="124" t="s">
        <v>333</v>
      </c>
      <c r="E121" s="191">
        <v>274</v>
      </c>
      <c r="F121" s="125">
        <f>ROUND(E121*Valores!$C$2,2)</f>
        <v>11146.81</v>
      </c>
      <c r="G121" s="191">
        <v>1163</v>
      </c>
      <c r="H121" s="125">
        <f>ROUND(G121*Valores!$C$2,2)</f>
        <v>47312.93</v>
      </c>
      <c r="I121" s="191">
        <v>0</v>
      </c>
      <c r="J121" s="125">
        <f>ROUND(I121*Valores!$C$2,2)</f>
        <v>0</v>
      </c>
      <c r="K121" s="191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13838.76</v>
      </c>
      <c r="N121" s="125">
        <f t="shared" si="11"/>
        <v>0</v>
      </c>
      <c r="O121" s="125">
        <f>Valores!$C$9</f>
        <v>51121.66</v>
      </c>
      <c r="P121" s="125">
        <f>Valores!$D$5</f>
        <v>20796.54</v>
      </c>
      <c r="Q121" s="125">
        <f>Valores!$C$22</f>
        <v>18553.83</v>
      </c>
      <c r="R121" s="125">
        <f>IF($F$4="NO",Valores!$C$44,Valores!$C$44/2)</f>
        <v>14447.16</v>
      </c>
      <c r="S121" s="125">
        <f>Valores!$C$19</f>
        <v>19351.52</v>
      </c>
      <c r="T121" s="125">
        <f t="shared" si="17"/>
        <v>19351.52</v>
      </c>
      <c r="U121" s="125">
        <v>0</v>
      </c>
      <c r="V121" s="125">
        <v>0</v>
      </c>
      <c r="W121" s="191">
        <v>0</v>
      </c>
      <c r="X121" s="125">
        <f>ROUND(W121*Valores!$C$2,2)</f>
        <v>0</v>
      </c>
      <c r="Y121" s="125">
        <v>0</v>
      </c>
      <c r="Z121" s="125">
        <f>Valores!$C$94</f>
        <v>28478.14</v>
      </c>
      <c r="AA121" s="125">
        <f>Valores!$C$25</f>
        <v>850.59</v>
      </c>
      <c r="AB121" s="210">
        <v>0</v>
      </c>
      <c r="AC121" s="125">
        <f t="shared" si="12"/>
        <v>0</v>
      </c>
      <c r="AD121" s="125">
        <f>Valores!$C$26</f>
        <v>850.59</v>
      </c>
      <c r="AE121" s="191">
        <v>0</v>
      </c>
      <c r="AF121" s="125">
        <f>ROUND(AE121*Valores!$C$2,2)</f>
        <v>0</v>
      </c>
      <c r="AG121" s="125">
        <f>ROUND(IF($F$4="NO",Valores!$C$63,Valores!$C$63/2),2)</f>
        <v>9724.47</v>
      </c>
      <c r="AH121" s="125">
        <f t="shared" si="15"/>
        <v>236473.00000000003</v>
      </c>
      <c r="AI121" s="125">
        <f>Valores!$C$31</f>
        <v>0</v>
      </c>
      <c r="AJ121" s="125">
        <f>Valores!$C$87</f>
        <v>0</v>
      </c>
      <c r="AK121" s="125">
        <f>Valores!C$38*B121</f>
        <v>0</v>
      </c>
      <c r="AL121" s="125">
        <f>IF($F$3="NO",0,Valores!$C$56)</f>
        <v>0</v>
      </c>
      <c r="AM121" s="125">
        <f t="shared" si="13"/>
        <v>0</v>
      </c>
      <c r="AN121" s="125">
        <f>AH121*Valores!$C$71</f>
        <v>-26012.030000000002</v>
      </c>
      <c r="AO121" s="125">
        <f>AH121*-Valores!$C$72</f>
        <v>0</v>
      </c>
      <c r="AP121" s="125">
        <f>AH121*Valores!$C$73</f>
        <v>-10641.285000000002</v>
      </c>
      <c r="AQ121" s="125">
        <f>Valores!$C$100</f>
        <v>-554.86</v>
      </c>
      <c r="AR121" s="125">
        <f>IF($F$5=0,Valores!$C$101,(Valores!$C$101+$F$5*(Valores!$C$101)))</f>
        <v>-550</v>
      </c>
      <c r="AS121" s="125">
        <f t="shared" si="16"/>
        <v>198714.825</v>
      </c>
      <c r="AT121" s="125">
        <f t="shared" si="10"/>
        <v>-26012.030000000002</v>
      </c>
      <c r="AU121" s="125">
        <f>AH121*Valores!$C$74</f>
        <v>-6384.771000000001</v>
      </c>
      <c r="AV121" s="125">
        <f>AH121*Valores!$C$75</f>
        <v>-709.4190000000001</v>
      </c>
      <c r="AW121" s="125">
        <f t="shared" si="14"/>
        <v>203366.78000000003</v>
      </c>
      <c r="AX121" s="126"/>
      <c r="AY121" s="126">
        <v>30</v>
      </c>
      <c r="AZ121" s="123" t="s">
        <v>4</v>
      </c>
    </row>
    <row r="122" spans="1:52" s="110" customFormat="1" ht="11.25" customHeight="1">
      <c r="A122" s="123" t="s">
        <v>334</v>
      </c>
      <c r="B122" s="123">
        <v>1</v>
      </c>
      <c r="C122" s="126">
        <v>115</v>
      </c>
      <c r="D122" s="124" t="s">
        <v>335</v>
      </c>
      <c r="E122" s="191">
        <v>2800</v>
      </c>
      <c r="F122" s="125">
        <f>ROUND(E122*Valores!$C$2,2)</f>
        <v>113909.04</v>
      </c>
      <c r="G122" s="191">
        <v>0</v>
      </c>
      <c r="H122" s="125">
        <f>ROUND(G122*Valores!$C$2,2)</f>
        <v>0</v>
      </c>
      <c r="I122" s="191">
        <v>0</v>
      </c>
      <c r="J122" s="125">
        <f>ROUND(I122*Valores!$C$2,2)</f>
        <v>0</v>
      </c>
      <c r="K122" s="191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22614.76</v>
      </c>
      <c r="N122" s="125">
        <f t="shared" si="11"/>
        <v>0</v>
      </c>
      <c r="O122" s="125">
        <f>Valores!$C$16</f>
        <v>35154.38</v>
      </c>
      <c r="P122" s="125">
        <f>Valores!$D$5</f>
        <v>20796.54</v>
      </c>
      <c r="Q122" s="125">
        <f>Valores!$C$22</f>
        <v>18553.83</v>
      </c>
      <c r="R122" s="125">
        <f>IF($F$4="NO",Valores!$C$46,Valores!$C$46/2)</f>
        <v>17702.33</v>
      </c>
      <c r="S122" s="125">
        <f>Valores!$C$20</f>
        <v>19153.67</v>
      </c>
      <c r="T122" s="125">
        <f t="shared" si="17"/>
        <v>19153.67</v>
      </c>
      <c r="U122" s="125">
        <v>0</v>
      </c>
      <c r="V122" s="125">
        <v>0</v>
      </c>
      <c r="W122" s="191">
        <v>0</v>
      </c>
      <c r="X122" s="125">
        <f>ROUND(W122*Valores!$C$2,2)</f>
        <v>0</v>
      </c>
      <c r="Y122" s="125">
        <v>0</v>
      </c>
      <c r="Z122" s="125">
        <f>Valores!$C$94</f>
        <v>28478.14</v>
      </c>
      <c r="AA122" s="125">
        <f>Valores!$C$25</f>
        <v>850.59</v>
      </c>
      <c r="AB122" s="210">
        <v>0</v>
      </c>
      <c r="AC122" s="125">
        <f t="shared" si="12"/>
        <v>0</v>
      </c>
      <c r="AD122" s="125">
        <f>Valores!$C$26</f>
        <v>850.59</v>
      </c>
      <c r="AE122" s="191">
        <v>0</v>
      </c>
      <c r="AF122" s="125">
        <f>ROUND(AE122*Valores!$C$2,2)</f>
        <v>0</v>
      </c>
      <c r="AG122" s="125">
        <f>ROUND(IF($F$4="NO",Valores!$C$63,Valores!$C$63/2),2)</f>
        <v>9724.47</v>
      </c>
      <c r="AH122" s="125">
        <f t="shared" si="15"/>
        <v>287788.34</v>
      </c>
      <c r="AI122" s="125">
        <f>Valores!$C$31</f>
        <v>0</v>
      </c>
      <c r="AJ122" s="125">
        <f>Valores!$C$87</f>
        <v>0</v>
      </c>
      <c r="AK122" s="125">
        <f>Valores!C$38*B122</f>
        <v>0</v>
      </c>
      <c r="AL122" s="125">
        <f>IF($F$3="NO",0,Valores!$C$55)</f>
        <v>0</v>
      </c>
      <c r="AM122" s="125">
        <f t="shared" si="13"/>
        <v>0</v>
      </c>
      <c r="AN122" s="125">
        <f>AH122*Valores!$C$71</f>
        <v>-31656.7174</v>
      </c>
      <c r="AO122" s="125">
        <f>AH122*-Valores!$C$72</f>
        <v>0</v>
      </c>
      <c r="AP122" s="125">
        <f>AH122*Valores!$C$73</f>
        <v>-12950.4753</v>
      </c>
      <c r="AQ122" s="125">
        <f>Valores!$C$100</f>
        <v>-554.86</v>
      </c>
      <c r="AR122" s="125">
        <f>IF($F$5=0,Valores!$C$101,(Valores!$C$101+$F$5*(Valores!$C$101)))</f>
        <v>-550</v>
      </c>
      <c r="AS122" s="125">
        <f t="shared" si="16"/>
        <v>242076.28730000003</v>
      </c>
      <c r="AT122" s="125">
        <f t="shared" si="10"/>
        <v>-31656.7174</v>
      </c>
      <c r="AU122" s="125">
        <f>AH122*Valores!$C$74</f>
        <v>-7770.285180000001</v>
      </c>
      <c r="AV122" s="125">
        <f>AH122*Valores!$C$75</f>
        <v>-863.3650200000001</v>
      </c>
      <c r="AW122" s="125">
        <f t="shared" si="14"/>
        <v>247497.97240000003</v>
      </c>
      <c r="AX122" s="126"/>
      <c r="AY122" s="126"/>
      <c r="AZ122" s="123" t="s">
        <v>4</v>
      </c>
    </row>
    <row r="123" spans="1:52" s="110" customFormat="1" ht="11.25" customHeight="1">
      <c r="A123" s="123" t="s">
        <v>336</v>
      </c>
      <c r="B123" s="123">
        <v>1</v>
      </c>
      <c r="C123" s="126">
        <v>116</v>
      </c>
      <c r="D123" s="124" t="s">
        <v>337</v>
      </c>
      <c r="E123" s="191">
        <v>2850</v>
      </c>
      <c r="F123" s="125">
        <f>ROUND(E123*Valores!$C$2,2)</f>
        <v>115943.13</v>
      </c>
      <c r="G123" s="191">
        <v>0</v>
      </c>
      <c r="H123" s="125">
        <f>ROUND(G123*Valores!$C$2,2)</f>
        <v>0</v>
      </c>
      <c r="I123" s="191">
        <v>0</v>
      </c>
      <c r="J123" s="125">
        <f>ROUND(I123*Valores!$C$2,2)</f>
        <v>0</v>
      </c>
      <c r="K123" s="191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23525.64</v>
      </c>
      <c r="N123" s="125">
        <f t="shared" si="11"/>
        <v>0</v>
      </c>
      <c r="O123" s="125">
        <f>Valores!$C$9</f>
        <v>51121.66</v>
      </c>
      <c r="P123" s="125">
        <f>Valores!$D$5</f>
        <v>20796.54</v>
      </c>
      <c r="Q123" s="125">
        <f>Valores!$C$22</f>
        <v>18553.83</v>
      </c>
      <c r="R123" s="125">
        <f>IF($F$4="NO",Valores!$C$47,Valores!$C$47/2)</f>
        <v>21740.79</v>
      </c>
      <c r="S123" s="125">
        <f>Valores!$C$20</f>
        <v>19153.67</v>
      </c>
      <c r="T123" s="125">
        <f t="shared" si="17"/>
        <v>19153.67</v>
      </c>
      <c r="U123" s="125">
        <v>0</v>
      </c>
      <c r="V123" s="125">
        <v>0</v>
      </c>
      <c r="W123" s="191">
        <v>0</v>
      </c>
      <c r="X123" s="125">
        <f>ROUND(W123*Valores!$C$2,2)</f>
        <v>0</v>
      </c>
      <c r="Y123" s="125">
        <v>0</v>
      </c>
      <c r="Z123" s="125">
        <f>Valores!$C$96</f>
        <v>56956.28</v>
      </c>
      <c r="AA123" s="125">
        <f>Valores!$C$25</f>
        <v>850.59</v>
      </c>
      <c r="AB123" s="210">
        <v>0</v>
      </c>
      <c r="AC123" s="125">
        <f t="shared" si="12"/>
        <v>0</v>
      </c>
      <c r="AD123" s="125">
        <f>Valores!$C$26</f>
        <v>850.59</v>
      </c>
      <c r="AE123" s="191">
        <v>0</v>
      </c>
      <c r="AF123" s="125">
        <f>ROUND(AE123*Valores!$C$2,2)</f>
        <v>0</v>
      </c>
      <c r="AG123" s="125">
        <f>ROUND(IF($F$4="NO",Valores!$C$63,Valores!$C$63/2),2)</f>
        <v>9724.47</v>
      </c>
      <c r="AH123" s="125">
        <f t="shared" si="15"/>
        <v>339217.19000000006</v>
      </c>
      <c r="AI123" s="125">
        <f>Valores!$C$31</f>
        <v>0</v>
      </c>
      <c r="AJ123" s="125">
        <f>Valores!$C$89</f>
        <v>0</v>
      </c>
      <c r="AK123" s="125">
        <f>Valores!C$38*B123</f>
        <v>0</v>
      </c>
      <c r="AL123" s="125">
        <f>IF($F$3="NO",0,Valores!$C$55)</f>
        <v>0</v>
      </c>
      <c r="AM123" s="125">
        <f t="shared" si="13"/>
        <v>0</v>
      </c>
      <c r="AN123" s="125">
        <f>AH123*Valores!$C$71</f>
        <v>-37313.890900000006</v>
      </c>
      <c r="AO123" s="125">
        <f>AH123*-Valores!$C$72</f>
        <v>0</v>
      </c>
      <c r="AP123" s="125">
        <f>AH123*Valores!$C$73</f>
        <v>-15264.773550000002</v>
      </c>
      <c r="AQ123" s="125">
        <f>Valores!$C$100</f>
        <v>-554.86</v>
      </c>
      <c r="AR123" s="125">
        <f>IF($F$5=0,Valores!$C$101,(Valores!$C$101+$F$5*(Valores!$C$101)))</f>
        <v>-550</v>
      </c>
      <c r="AS123" s="125">
        <f t="shared" si="16"/>
        <v>285533.66555000003</v>
      </c>
      <c r="AT123" s="125">
        <f t="shared" si="10"/>
        <v>-37313.890900000006</v>
      </c>
      <c r="AU123" s="125">
        <f>AH123*Valores!$C$74</f>
        <v>-9158.864130000002</v>
      </c>
      <c r="AV123" s="125">
        <f>AH123*Valores!$C$75</f>
        <v>-1017.6515700000002</v>
      </c>
      <c r="AW123" s="125">
        <f t="shared" si="14"/>
        <v>291726.7834000001</v>
      </c>
      <c r="AX123" s="126"/>
      <c r="AY123" s="126">
        <v>40</v>
      </c>
      <c r="AZ123" s="123" t="s">
        <v>4</v>
      </c>
    </row>
    <row r="124" spans="1:52" s="110" customFormat="1" ht="11.25" customHeight="1">
      <c r="A124" s="123" t="s">
        <v>338</v>
      </c>
      <c r="B124" s="123">
        <v>1</v>
      </c>
      <c r="C124" s="126">
        <v>117</v>
      </c>
      <c r="D124" s="124" t="s">
        <v>339</v>
      </c>
      <c r="E124" s="191">
        <v>1735</v>
      </c>
      <c r="F124" s="125">
        <f>ROUND(E124*Valores!$C$2,2)</f>
        <v>70582.92</v>
      </c>
      <c r="G124" s="191">
        <v>0</v>
      </c>
      <c r="H124" s="125">
        <f>ROUND(G124*Valores!$C$2,2)</f>
        <v>0</v>
      </c>
      <c r="I124" s="191">
        <v>0</v>
      </c>
      <c r="J124" s="125">
        <f>ROUND(I124*Valores!$C$2,2)</f>
        <v>0</v>
      </c>
      <c r="K124" s="191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15505.46</v>
      </c>
      <c r="N124" s="125">
        <f t="shared" si="11"/>
        <v>0</v>
      </c>
      <c r="O124" s="125">
        <f>Valores!$C$16</f>
        <v>35154.38</v>
      </c>
      <c r="P124" s="125">
        <f>Valores!$D$5</f>
        <v>20796.54</v>
      </c>
      <c r="Q124" s="125">
        <v>0</v>
      </c>
      <c r="R124" s="125">
        <f>IF($F$4="NO",Valores!$C$43,Valores!$C$43/2)</f>
        <v>13633.16</v>
      </c>
      <c r="S124" s="125">
        <f>Valores!$C$20</f>
        <v>19153.67</v>
      </c>
      <c r="T124" s="125">
        <f t="shared" si="17"/>
        <v>19153.67</v>
      </c>
      <c r="U124" s="125">
        <v>0</v>
      </c>
      <c r="V124" s="125">
        <v>0</v>
      </c>
      <c r="W124" s="191">
        <v>0</v>
      </c>
      <c r="X124" s="125">
        <f>ROUND(W124*Valores!$C$2,2)</f>
        <v>0</v>
      </c>
      <c r="Y124" s="125">
        <v>0</v>
      </c>
      <c r="Z124" s="125">
        <f>Valores!$C$94</f>
        <v>28478.14</v>
      </c>
      <c r="AA124" s="125">
        <f>Valores!$C$25</f>
        <v>850.59</v>
      </c>
      <c r="AB124" s="210">
        <v>0</v>
      </c>
      <c r="AC124" s="125">
        <f t="shared" si="12"/>
        <v>0</v>
      </c>
      <c r="AD124" s="125">
        <f>Valores!$C$26</f>
        <v>850.59</v>
      </c>
      <c r="AE124" s="191">
        <v>0</v>
      </c>
      <c r="AF124" s="125">
        <f>ROUND(AE124*Valores!$C$2,2)</f>
        <v>0</v>
      </c>
      <c r="AG124" s="125">
        <f>ROUND(IF($F$4="NO",Valores!$C$63,Valores!$C$63/2),2)</f>
        <v>9724.47</v>
      </c>
      <c r="AH124" s="125">
        <f t="shared" si="15"/>
        <v>214729.92</v>
      </c>
      <c r="AI124" s="125">
        <f>Valores!$C$31</f>
        <v>0</v>
      </c>
      <c r="AJ124" s="125">
        <f>Valores!$C$87</f>
        <v>0</v>
      </c>
      <c r="AK124" s="125">
        <f>Valores!C$38*B124</f>
        <v>0</v>
      </c>
      <c r="AL124" s="125">
        <f>IF($F$3="NO",0,Valores!$C$56)</f>
        <v>0</v>
      </c>
      <c r="AM124" s="125">
        <f t="shared" si="13"/>
        <v>0</v>
      </c>
      <c r="AN124" s="125">
        <f>AH124*Valores!$C$71</f>
        <v>-23620.291200000003</v>
      </c>
      <c r="AO124" s="125">
        <f>AH124*-Valores!$C$72</f>
        <v>0</v>
      </c>
      <c r="AP124" s="125">
        <f>AH124*Valores!$C$73</f>
        <v>-9662.8464</v>
      </c>
      <c r="AQ124" s="125">
        <f>Valores!$C$100</f>
        <v>-554.86</v>
      </c>
      <c r="AR124" s="125">
        <f>IF($F$5=0,Valores!$C$101,(Valores!$C$101+$F$5*(Valores!$C$101)))</f>
        <v>-550</v>
      </c>
      <c r="AS124" s="125">
        <f t="shared" si="16"/>
        <v>180341.9224</v>
      </c>
      <c r="AT124" s="125">
        <f t="shared" si="10"/>
        <v>-23620.291200000003</v>
      </c>
      <c r="AU124" s="125">
        <f>AH124*Valores!$C$74</f>
        <v>-5797.70784</v>
      </c>
      <c r="AV124" s="125">
        <f>AH124*Valores!$C$75</f>
        <v>-644.1897600000001</v>
      </c>
      <c r="AW124" s="125">
        <f t="shared" si="14"/>
        <v>184667.7312</v>
      </c>
      <c r="AX124" s="126"/>
      <c r="AY124" s="126">
        <v>40</v>
      </c>
      <c r="AZ124" s="123" t="s">
        <v>4</v>
      </c>
    </row>
    <row r="125" spans="1:52" s="110" customFormat="1" ht="11.25" customHeight="1">
      <c r="A125" s="123" t="s">
        <v>340</v>
      </c>
      <c r="B125" s="123">
        <v>1</v>
      </c>
      <c r="C125" s="126">
        <v>118</v>
      </c>
      <c r="D125" s="124" t="s">
        <v>341</v>
      </c>
      <c r="E125" s="191">
        <v>72</v>
      </c>
      <c r="F125" s="125">
        <f>ROUND(E125*Valores!$C$2,2)</f>
        <v>2929.09</v>
      </c>
      <c r="G125" s="191">
        <v>1590</v>
      </c>
      <c r="H125" s="125">
        <f>ROUND(G125*Valores!$C$2,2)</f>
        <v>64684.06</v>
      </c>
      <c r="I125" s="191">
        <v>0</v>
      </c>
      <c r="J125" s="125">
        <f>ROUND(I125*Valores!$C$2,2)</f>
        <v>0</v>
      </c>
      <c r="K125" s="191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15060</v>
      </c>
      <c r="N125" s="125">
        <f t="shared" si="11"/>
        <v>0</v>
      </c>
      <c r="O125" s="125">
        <f>Valores!$C$16</f>
        <v>35154.38</v>
      </c>
      <c r="P125" s="125">
        <f>Valores!$D$5</f>
        <v>20796.54</v>
      </c>
      <c r="Q125" s="125">
        <f>Valores!$C$22</f>
        <v>18553.83</v>
      </c>
      <c r="R125" s="125">
        <f>IF($F$4="NO",Valores!$C$43,Valores!$C$43/2)</f>
        <v>13633.16</v>
      </c>
      <c r="S125" s="125">
        <f>Valores!$C$20</f>
        <v>19153.67</v>
      </c>
      <c r="T125" s="125">
        <f t="shared" si="17"/>
        <v>19153.67</v>
      </c>
      <c r="U125" s="125">
        <v>0</v>
      </c>
      <c r="V125" s="125">
        <v>0</v>
      </c>
      <c r="W125" s="191">
        <v>0</v>
      </c>
      <c r="X125" s="125">
        <f>ROUND(W125*Valores!$C$2,2)</f>
        <v>0</v>
      </c>
      <c r="Y125" s="125">
        <v>0</v>
      </c>
      <c r="Z125" s="125">
        <f>Valores!$C$94</f>
        <v>28478.14</v>
      </c>
      <c r="AA125" s="125">
        <f>Valores!$C$25</f>
        <v>850.59</v>
      </c>
      <c r="AB125" s="210">
        <v>0</v>
      </c>
      <c r="AC125" s="125">
        <f t="shared" si="12"/>
        <v>0</v>
      </c>
      <c r="AD125" s="125">
        <f>Valores!$C$26</f>
        <v>850.59</v>
      </c>
      <c r="AE125" s="191">
        <v>0</v>
      </c>
      <c r="AF125" s="125">
        <f>ROUND(AE125*Valores!$C$2,2)</f>
        <v>0</v>
      </c>
      <c r="AG125" s="125">
        <f>ROUND(IF($F$4="NO",Valores!$C$63,Valores!$C$63/2),2)</f>
        <v>9724.47</v>
      </c>
      <c r="AH125" s="125">
        <f t="shared" si="15"/>
        <v>229868.52000000005</v>
      </c>
      <c r="AI125" s="125">
        <f>Valores!$C$31</f>
        <v>0</v>
      </c>
      <c r="AJ125" s="125">
        <f>Valores!$C$87</f>
        <v>0</v>
      </c>
      <c r="AK125" s="125">
        <f>Valores!C$38*B125</f>
        <v>0</v>
      </c>
      <c r="AL125" s="125">
        <f>IF($F$3="NO",0,Valores!$C$56)</f>
        <v>0</v>
      </c>
      <c r="AM125" s="125">
        <f t="shared" si="13"/>
        <v>0</v>
      </c>
      <c r="AN125" s="125">
        <f>AH125*Valores!$C$71</f>
        <v>-25285.537200000006</v>
      </c>
      <c r="AO125" s="125">
        <f>AH125*-Valores!$C$72</f>
        <v>0</v>
      </c>
      <c r="AP125" s="125">
        <f>AH125*Valores!$C$73</f>
        <v>-10344.083400000001</v>
      </c>
      <c r="AQ125" s="125">
        <f>Valores!$C$100</f>
        <v>-554.86</v>
      </c>
      <c r="AR125" s="125">
        <f>IF($F$5=0,Valores!$C$101,(Valores!$C$101+$F$5*(Valores!$C$101)))</f>
        <v>-550</v>
      </c>
      <c r="AS125" s="125">
        <f t="shared" si="16"/>
        <v>193134.03940000004</v>
      </c>
      <c r="AT125" s="125">
        <f t="shared" si="10"/>
        <v>-25285.537200000006</v>
      </c>
      <c r="AU125" s="125">
        <f>AH125*Valores!$C$74</f>
        <v>-6206.4500400000015</v>
      </c>
      <c r="AV125" s="125">
        <f>AH125*Valores!$C$75</f>
        <v>-689.6055600000002</v>
      </c>
      <c r="AW125" s="125">
        <f t="shared" si="14"/>
        <v>197686.92720000003</v>
      </c>
      <c r="AX125" s="126"/>
      <c r="AY125" s="126">
        <v>25</v>
      </c>
      <c r="AZ125" s="123" t="s">
        <v>4</v>
      </c>
    </row>
    <row r="126" spans="1:52" s="110" customFormat="1" ht="11.25" customHeight="1">
      <c r="A126" s="123" t="s">
        <v>342</v>
      </c>
      <c r="B126" s="123">
        <v>1</v>
      </c>
      <c r="C126" s="126">
        <v>119</v>
      </c>
      <c r="D126" s="124" t="s">
        <v>343</v>
      </c>
      <c r="E126" s="191">
        <v>72</v>
      </c>
      <c r="F126" s="125">
        <f>ROUND(E126*Valores!$C$2,2)</f>
        <v>2929.09</v>
      </c>
      <c r="G126" s="191">
        <v>1590</v>
      </c>
      <c r="H126" s="125">
        <f>ROUND(G126*Valores!$C$2,2)</f>
        <v>64684.06</v>
      </c>
      <c r="I126" s="191">
        <v>0</v>
      </c>
      <c r="J126" s="125">
        <f>ROUND(I126*Valores!$C$2,2)</f>
        <v>0</v>
      </c>
      <c r="K126" s="191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15060</v>
      </c>
      <c r="N126" s="125">
        <f t="shared" si="11"/>
        <v>0</v>
      </c>
      <c r="O126" s="125">
        <f>Valores!$C$16</f>
        <v>35154.38</v>
      </c>
      <c r="P126" s="125">
        <f>Valores!$D$5</f>
        <v>20796.54</v>
      </c>
      <c r="Q126" s="125">
        <f>Valores!$C$22</f>
        <v>18553.83</v>
      </c>
      <c r="R126" s="125">
        <f>IF($F$4="NO",Valores!$C$43,Valores!$C$43/2)</f>
        <v>13633.16</v>
      </c>
      <c r="S126" s="125">
        <f>Valores!$C$20</f>
        <v>19153.67</v>
      </c>
      <c r="T126" s="125">
        <f t="shared" si="17"/>
        <v>19153.67</v>
      </c>
      <c r="U126" s="125">
        <v>0</v>
      </c>
      <c r="V126" s="125">
        <v>0</v>
      </c>
      <c r="W126" s="191">
        <v>0</v>
      </c>
      <c r="X126" s="125">
        <f>ROUND(W126*Valores!$C$2,2)</f>
        <v>0</v>
      </c>
      <c r="Y126" s="125">
        <v>0</v>
      </c>
      <c r="Z126" s="125">
        <f>Valores!$C$94</f>
        <v>28478.14</v>
      </c>
      <c r="AA126" s="125">
        <f>Valores!$C$25</f>
        <v>850.59</v>
      </c>
      <c r="AB126" s="210">
        <v>0</v>
      </c>
      <c r="AC126" s="125">
        <f t="shared" si="12"/>
        <v>0</v>
      </c>
      <c r="AD126" s="125">
        <f>Valores!$C$26</f>
        <v>850.59</v>
      </c>
      <c r="AE126" s="191">
        <v>94</v>
      </c>
      <c r="AF126" s="125">
        <f>ROUND(AE126*Valores!$C$2,2)</f>
        <v>3824.09</v>
      </c>
      <c r="AG126" s="125">
        <f>ROUND(IF($F$4="NO",Valores!$C$63,Valores!$C$63/2),2)</f>
        <v>9724.47</v>
      </c>
      <c r="AH126" s="125">
        <f t="shared" si="15"/>
        <v>233692.61000000004</v>
      </c>
      <c r="AI126" s="125">
        <f>Valores!$C$31</f>
        <v>0</v>
      </c>
      <c r="AJ126" s="125">
        <f>Valores!$C$87</f>
        <v>0</v>
      </c>
      <c r="AK126" s="125">
        <f>Valores!C$38*B126</f>
        <v>0</v>
      </c>
      <c r="AL126" s="125">
        <f>IF($F$3="NO",0,Valores!$C$56)</f>
        <v>0</v>
      </c>
      <c r="AM126" s="125">
        <f t="shared" si="13"/>
        <v>0</v>
      </c>
      <c r="AN126" s="125">
        <f>AH126*Valores!$C$71</f>
        <v>-25706.187100000006</v>
      </c>
      <c r="AO126" s="125">
        <f>AH126*-Valores!$C$72</f>
        <v>0</v>
      </c>
      <c r="AP126" s="125">
        <f>AH126*Valores!$C$73</f>
        <v>-10516.16745</v>
      </c>
      <c r="AQ126" s="125">
        <f>Valores!$C$100</f>
        <v>-554.86</v>
      </c>
      <c r="AR126" s="125">
        <f>IF($F$5=0,Valores!$C$101,(Valores!$C$101+$F$5*(Valores!$C$101)))</f>
        <v>-550</v>
      </c>
      <c r="AS126" s="125">
        <f t="shared" si="16"/>
        <v>196365.39545000004</v>
      </c>
      <c r="AT126" s="125">
        <f t="shared" si="10"/>
        <v>-25706.187100000006</v>
      </c>
      <c r="AU126" s="125">
        <f>AH126*Valores!$C$74</f>
        <v>-6309.700470000001</v>
      </c>
      <c r="AV126" s="125">
        <f>AH126*Valores!$C$75</f>
        <v>-701.0778300000002</v>
      </c>
      <c r="AW126" s="125">
        <f t="shared" si="14"/>
        <v>200975.64460000003</v>
      </c>
      <c r="AX126" s="126"/>
      <c r="AY126" s="126">
        <v>20</v>
      </c>
      <c r="AZ126" s="123" t="s">
        <v>4</v>
      </c>
    </row>
    <row r="127" spans="1:52" s="110" customFormat="1" ht="11.25" customHeight="1">
      <c r="A127" s="123" t="s">
        <v>344</v>
      </c>
      <c r="B127" s="123">
        <v>1</v>
      </c>
      <c r="C127" s="126">
        <v>120</v>
      </c>
      <c r="D127" s="124" t="s">
        <v>345</v>
      </c>
      <c r="E127" s="191">
        <v>77</v>
      </c>
      <c r="F127" s="125">
        <f>ROUND(E127*Valores!$C$2,2)</f>
        <v>3132.5</v>
      </c>
      <c r="G127" s="191">
        <v>2043</v>
      </c>
      <c r="H127" s="125">
        <f>ROUND(G127*Valores!$C$2,2)</f>
        <v>83112.92</v>
      </c>
      <c r="I127" s="191">
        <v>0</v>
      </c>
      <c r="J127" s="125">
        <f>ROUND(I127*Valores!$C$2,2)</f>
        <v>0</v>
      </c>
      <c r="K127" s="191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18006.62</v>
      </c>
      <c r="N127" s="125">
        <f t="shared" si="11"/>
        <v>0</v>
      </c>
      <c r="O127" s="125">
        <f>Valores!$C$11</f>
        <v>36274.83</v>
      </c>
      <c r="P127" s="125">
        <f>Valores!$D$5</f>
        <v>20796.54</v>
      </c>
      <c r="Q127" s="125">
        <f>Valores!$C$22</f>
        <v>18553.83</v>
      </c>
      <c r="R127" s="125">
        <f>IF($F$4="NO",Valores!$C$44,Valores!$C$44/2)</f>
        <v>14447.16</v>
      </c>
      <c r="S127" s="125">
        <f>Valores!$C$19</f>
        <v>19351.52</v>
      </c>
      <c r="T127" s="125">
        <f t="shared" si="17"/>
        <v>19351.52</v>
      </c>
      <c r="U127" s="125">
        <v>0</v>
      </c>
      <c r="V127" s="125">
        <v>0</v>
      </c>
      <c r="W127" s="191">
        <v>0</v>
      </c>
      <c r="X127" s="125">
        <f>ROUND(W127*Valores!$C$2,2)</f>
        <v>0</v>
      </c>
      <c r="Y127" s="125">
        <v>0</v>
      </c>
      <c r="Z127" s="125">
        <f>Valores!$C$94</f>
        <v>28478.14</v>
      </c>
      <c r="AA127" s="125">
        <f>Valores!$C$25</f>
        <v>850.59</v>
      </c>
      <c r="AB127" s="210">
        <v>0</v>
      </c>
      <c r="AC127" s="125">
        <f t="shared" si="12"/>
        <v>0</v>
      </c>
      <c r="AD127" s="125">
        <f>Valores!$C$26</f>
        <v>850.59</v>
      </c>
      <c r="AE127" s="191">
        <v>0</v>
      </c>
      <c r="AF127" s="125">
        <f>ROUND(AE127*Valores!$C$2,2)</f>
        <v>0</v>
      </c>
      <c r="AG127" s="125">
        <f>ROUND(IF($F$4="NO",Valores!$C$63,Valores!$C$63/2),2)</f>
        <v>9724.47</v>
      </c>
      <c r="AH127" s="125">
        <f t="shared" si="15"/>
        <v>253579.71</v>
      </c>
      <c r="AI127" s="125">
        <f>Valores!$C$31</f>
        <v>0</v>
      </c>
      <c r="AJ127" s="125">
        <f>Valores!$C$87</f>
        <v>0</v>
      </c>
      <c r="AK127" s="125">
        <f>Valores!C$38*B127</f>
        <v>0</v>
      </c>
      <c r="AL127" s="125">
        <f>IF($F$3="NO",0,Valores!$C$56)</f>
        <v>0</v>
      </c>
      <c r="AM127" s="125">
        <f t="shared" si="13"/>
        <v>0</v>
      </c>
      <c r="AN127" s="125">
        <f>AH127*Valores!$C$71</f>
        <v>-27893.768099999998</v>
      </c>
      <c r="AO127" s="125">
        <f>AH127*-Valores!$C$72</f>
        <v>0</v>
      </c>
      <c r="AP127" s="125">
        <f>AH127*Valores!$C$73</f>
        <v>-11411.086949999999</v>
      </c>
      <c r="AQ127" s="125">
        <f>Valores!$C$100</f>
        <v>-554.86</v>
      </c>
      <c r="AR127" s="125">
        <f>IF($F$5=0,Valores!$C$101,(Valores!$C$101+$F$5*(Valores!$C$101)))</f>
        <v>-550</v>
      </c>
      <c r="AS127" s="125">
        <f t="shared" si="16"/>
        <v>213169.99495</v>
      </c>
      <c r="AT127" s="125">
        <f t="shared" si="10"/>
        <v>-27893.768099999998</v>
      </c>
      <c r="AU127" s="125">
        <f>AH127*Valores!$C$74</f>
        <v>-6846.652169999999</v>
      </c>
      <c r="AV127" s="125">
        <f>AH127*Valores!$C$75</f>
        <v>-760.73913</v>
      </c>
      <c r="AW127" s="125">
        <f t="shared" si="14"/>
        <v>218078.5506</v>
      </c>
      <c r="AX127" s="126"/>
      <c r="AY127" s="126"/>
      <c r="AZ127" s="123" t="s">
        <v>4</v>
      </c>
    </row>
    <row r="128" spans="1:52" s="110" customFormat="1" ht="11.25" customHeight="1">
      <c r="A128" s="123" t="s">
        <v>346</v>
      </c>
      <c r="B128" s="123">
        <v>1</v>
      </c>
      <c r="C128" s="126">
        <v>121</v>
      </c>
      <c r="D128" s="124" t="s">
        <v>347</v>
      </c>
      <c r="E128" s="191">
        <v>61</v>
      </c>
      <c r="F128" s="125">
        <f>ROUND(E128*Valores!$C$2,2)</f>
        <v>2481.59</v>
      </c>
      <c r="G128" s="191">
        <v>1217</v>
      </c>
      <c r="H128" s="125">
        <f>ROUND(G128*Valores!$C$2,2)</f>
        <v>49509.75</v>
      </c>
      <c r="I128" s="191">
        <v>0</v>
      </c>
      <c r="J128" s="125">
        <f>ROUND(I128*Valores!$C$2,2)</f>
        <v>0</v>
      </c>
      <c r="K128" s="191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12746.4</v>
      </c>
      <c r="N128" s="125">
        <f t="shared" si="11"/>
        <v>0</v>
      </c>
      <c r="O128" s="125">
        <f>Valores!$C$16</f>
        <v>35154.38</v>
      </c>
      <c r="P128" s="125">
        <f>Valores!$D$5</f>
        <v>20796.54</v>
      </c>
      <c r="Q128" s="125">
        <f>Valores!$C$22</f>
        <v>18553.83</v>
      </c>
      <c r="R128" s="125">
        <f>IF($F$4="NO",Valores!$C$43,Valores!$C$43/2)</f>
        <v>13633.16</v>
      </c>
      <c r="S128" s="125">
        <f>Valores!$C$19</f>
        <v>19351.52</v>
      </c>
      <c r="T128" s="125">
        <f t="shared" si="17"/>
        <v>19351.52</v>
      </c>
      <c r="U128" s="125">
        <v>0</v>
      </c>
      <c r="V128" s="125">
        <v>0</v>
      </c>
      <c r="W128" s="191">
        <v>0</v>
      </c>
      <c r="X128" s="125">
        <f>ROUND(W128*Valores!$C$2,2)</f>
        <v>0</v>
      </c>
      <c r="Y128" s="125">
        <v>0</v>
      </c>
      <c r="Z128" s="125">
        <f>Valores!$C$94</f>
        <v>28478.14</v>
      </c>
      <c r="AA128" s="125">
        <f>Valores!$C$25</f>
        <v>850.59</v>
      </c>
      <c r="AB128" s="210">
        <v>0</v>
      </c>
      <c r="AC128" s="125">
        <f t="shared" si="12"/>
        <v>0</v>
      </c>
      <c r="AD128" s="125">
        <f>Valores!$C$26</f>
        <v>850.59</v>
      </c>
      <c r="AE128" s="191">
        <v>0</v>
      </c>
      <c r="AF128" s="125">
        <f>ROUND(AE128*Valores!$C$2,2)</f>
        <v>0</v>
      </c>
      <c r="AG128" s="125">
        <f>ROUND(IF($F$4="NO",Valores!$C$63,Valores!$C$63/2),2)</f>
        <v>9724.47</v>
      </c>
      <c r="AH128" s="125">
        <f t="shared" si="15"/>
        <v>212130.96</v>
      </c>
      <c r="AI128" s="125">
        <f>Valores!$C$31</f>
        <v>0</v>
      </c>
      <c r="AJ128" s="125">
        <f>Valores!$C$87</f>
        <v>0</v>
      </c>
      <c r="AK128" s="125">
        <f>Valores!C$38*B128</f>
        <v>0</v>
      </c>
      <c r="AL128" s="125">
        <f>IF($F$3="NO",0,Valores!$C$56)</f>
        <v>0</v>
      </c>
      <c r="AM128" s="125">
        <f t="shared" si="13"/>
        <v>0</v>
      </c>
      <c r="AN128" s="125">
        <f>AH128*Valores!$C$71</f>
        <v>-23334.4056</v>
      </c>
      <c r="AO128" s="125">
        <f>AH128*-Valores!$C$72</f>
        <v>0</v>
      </c>
      <c r="AP128" s="125">
        <f>AH128*Valores!$C$73</f>
        <v>-9545.893199999999</v>
      </c>
      <c r="AQ128" s="125">
        <f>Valores!$C$100</f>
        <v>-554.86</v>
      </c>
      <c r="AR128" s="125">
        <f>IF($F$5=0,Valores!$C$101,(Valores!$C$101+$F$5*(Valores!$C$101)))</f>
        <v>-550</v>
      </c>
      <c r="AS128" s="125">
        <f t="shared" si="16"/>
        <v>178145.8012</v>
      </c>
      <c r="AT128" s="125">
        <f t="shared" si="10"/>
        <v>-23334.4056</v>
      </c>
      <c r="AU128" s="125">
        <f>AH128*Valores!$C$74</f>
        <v>-5727.535919999999</v>
      </c>
      <c r="AV128" s="125">
        <f>AH128*Valores!$C$75</f>
        <v>-636.39288</v>
      </c>
      <c r="AW128" s="125">
        <f t="shared" si="14"/>
        <v>182432.6256</v>
      </c>
      <c r="AX128" s="126"/>
      <c r="AY128" s="126">
        <v>25</v>
      </c>
      <c r="AZ128" s="123" t="s">
        <v>4</v>
      </c>
    </row>
    <row r="129" spans="1:52" s="110" customFormat="1" ht="11.25" customHeight="1">
      <c r="A129" s="123" t="s">
        <v>348</v>
      </c>
      <c r="B129" s="123">
        <v>1</v>
      </c>
      <c r="C129" s="126">
        <v>122</v>
      </c>
      <c r="D129" s="124" t="s">
        <v>349</v>
      </c>
      <c r="E129" s="191">
        <v>72</v>
      </c>
      <c r="F129" s="125">
        <f>ROUND(E129*Valores!$C$2,2)</f>
        <v>2929.09</v>
      </c>
      <c r="G129" s="191">
        <v>1206</v>
      </c>
      <c r="H129" s="125">
        <f>ROUND(G129*Valores!$C$2,2)</f>
        <v>49062.25</v>
      </c>
      <c r="I129" s="191">
        <v>0</v>
      </c>
      <c r="J129" s="125">
        <f>ROUND(I129*Valores!$C$2,2)</f>
        <v>0</v>
      </c>
      <c r="K129" s="191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12746.4</v>
      </c>
      <c r="N129" s="125">
        <f t="shared" si="11"/>
        <v>0</v>
      </c>
      <c r="O129" s="125">
        <f>Valores!$C$16</f>
        <v>35154.38</v>
      </c>
      <c r="P129" s="125">
        <f>Valores!$D$5</f>
        <v>20796.54</v>
      </c>
      <c r="Q129" s="125">
        <f>Valores!$C$22</f>
        <v>18553.83</v>
      </c>
      <c r="R129" s="125">
        <f>IF($F$4="NO",Valores!$C$43,Valores!$C$43/2)</f>
        <v>13633.16</v>
      </c>
      <c r="S129" s="125">
        <f>Valores!$C$19</f>
        <v>19351.52</v>
      </c>
      <c r="T129" s="125">
        <f t="shared" si="17"/>
        <v>19351.52</v>
      </c>
      <c r="U129" s="125">
        <v>0</v>
      </c>
      <c r="V129" s="125">
        <v>0</v>
      </c>
      <c r="W129" s="191">
        <v>0</v>
      </c>
      <c r="X129" s="125">
        <f>ROUND(W129*Valores!$C$2,2)</f>
        <v>0</v>
      </c>
      <c r="Y129" s="125">
        <v>0</v>
      </c>
      <c r="Z129" s="125">
        <f>Valores!$C$94</f>
        <v>28478.14</v>
      </c>
      <c r="AA129" s="125">
        <f>Valores!$C$25</f>
        <v>850.59</v>
      </c>
      <c r="AB129" s="210">
        <v>0</v>
      </c>
      <c r="AC129" s="125">
        <f t="shared" si="12"/>
        <v>0</v>
      </c>
      <c r="AD129" s="125">
        <f>Valores!$C$26</f>
        <v>850.59</v>
      </c>
      <c r="AE129" s="191">
        <v>94</v>
      </c>
      <c r="AF129" s="125">
        <f>ROUND(AE129*Valores!$C$2,2)</f>
        <v>3824.09</v>
      </c>
      <c r="AG129" s="125">
        <f>ROUND(IF($F$4="NO",Valores!$C$63,Valores!$C$63/2),2)</f>
        <v>9724.47</v>
      </c>
      <c r="AH129" s="125">
        <f t="shared" si="15"/>
        <v>215955.05</v>
      </c>
      <c r="AI129" s="125">
        <f>Valores!$C$31</f>
        <v>0</v>
      </c>
      <c r="AJ129" s="125">
        <f>Valores!$C$87</f>
        <v>0</v>
      </c>
      <c r="AK129" s="125">
        <f>Valores!C$38*B129</f>
        <v>0</v>
      </c>
      <c r="AL129" s="125">
        <f>IF($F$3="NO",0,Valores!$C$56)</f>
        <v>0</v>
      </c>
      <c r="AM129" s="125">
        <f t="shared" si="13"/>
        <v>0</v>
      </c>
      <c r="AN129" s="125">
        <f>AH129*Valores!$C$71</f>
        <v>-23755.0555</v>
      </c>
      <c r="AO129" s="125">
        <f>AH129*-Valores!$C$72</f>
        <v>0</v>
      </c>
      <c r="AP129" s="125">
        <f>AH129*Valores!$C$73</f>
        <v>-9717.97725</v>
      </c>
      <c r="AQ129" s="125">
        <f>Valores!$C$100</f>
        <v>-554.86</v>
      </c>
      <c r="AR129" s="125">
        <f>IF($F$5=0,Valores!$C$101,(Valores!$C$101+$F$5*(Valores!$C$101)))</f>
        <v>-550</v>
      </c>
      <c r="AS129" s="125">
        <f t="shared" si="16"/>
        <v>181377.15725</v>
      </c>
      <c r="AT129" s="125">
        <f t="shared" si="10"/>
        <v>-23755.0555</v>
      </c>
      <c r="AU129" s="125">
        <f>AH129*Valores!$C$74</f>
        <v>-5830.786349999999</v>
      </c>
      <c r="AV129" s="125">
        <f>AH129*Valores!$C$75</f>
        <v>-647.86515</v>
      </c>
      <c r="AW129" s="125">
        <f t="shared" si="14"/>
        <v>185721.343</v>
      </c>
      <c r="AX129" s="126"/>
      <c r="AY129" s="126">
        <v>20</v>
      </c>
      <c r="AZ129" s="123" t="s">
        <v>4</v>
      </c>
    </row>
    <row r="130" spans="1:52" s="110" customFormat="1" ht="11.25" customHeight="1">
      <c r="A130" s="123" t="s">
        <v>350</v>
      </c>
      <c r="B130" s="123">
        <v>1</v>
      </c>
      <c r="C130" s="126">
        <v>123</v>
      </c>
      <c r="D130" s="124" t="s">
        <v>351</v>
      </c>
      <c r="E130" s="191">
        <v>61</v>
      </c>
      <c r="F130" s="125">
        <f>ROUND(E130*Valores!$C$2,2)</f>
        <v>2481.59</v>
      </c>
      <c r="G130" s="191">
        <v>1217</v>
      </c>
      <c r="H130" s="125">
        <f>ROUND(G130*Valores!$C$2,2)</f>
        <v>49509.75</v>
      </c>
      <c r="I130" s="191">
        <v>0</v>
      </c>
      <c r="J130" s="125">
        <f>ROUND(I130*Valores!$C$2,2)</f>
        <v>0</v>
      </c>
      <c r="K130" s="191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12716.73</v>
      </c>
      <c r="N130" s="125">
        <f t="shared" si="11"/>
        <v>0</v>
      </c>
      <c r="O130" s="125">
        <f>Valores!$C$16</f>
        <v>35154.38</v>
      </c>
      <c r="P130" s="125">
        <f>Valores!$D$5</f>
        <v>20796.54</v>
      </c>
      <c r="Q130" s="125">
        <v>0</v>
      </c>
      <c r="R130" s="125">
        <f>IF($F$4="NO",Valores!$C$43,Valores!$C$43/2)</f>
        <v>13633.16</v>
      </c>
      <c r="S130" s="125">
        <f>Valores!$C$20</f>
        <v>19153.67</v>
      </c>
      <c r="T130" s="125">
        <f t="shared" si="17"/>
        <v>19153.67</v>
      </c>
      <c r="U130" s="125">
        <v>0</v>
      </c>
      <c r="V130" s="125">
        <v>0</v>
      </c>
      <c r="W130" s="191">
        <v>0</v>
      </c>
      <c r="X130" s="125">
        <f>ROUND(W130*Valores!$C$2,2)</f>
        <v>0</v>
      </c>
      <c r="Y130" s="125">
        <v>0</v>
      </c>
      <c r="Z130" s="125">
        <f>Valores!$C$94</f>
        <v>28478.14</v>
      </c>
      <c r="AA130" s="125">
        <f>Valores!$C$25</f>
        <v>850.59</v>
      </c>
      <c r="AB130" s="210">
        <v>0</v>
      </c>
      <c r="AC130" s="125">
        <f t="shared" si="12"/>
        <v>0</v>
      </c>
      <c r="AD130" s="125">
        <f>Valores!$C$26</f>
        <v>850.59</v>
      </c>
      <c r="AE130" s="191">
        <v>0</v>
      </c>
      <c r="AF130" s="125">
        <f>ROUND(AE130*Valores!$C$2,2)</f>
        <v>0</v>
      </c>
      <c r="AG130" s="125">
        <f>ROUND(IF($F$4="NO",Valores!$C$63,Valores!$C$63/2),2)</f>
        <v>9724.47</v>
      </c>
      <c r="AH130" s="125">
        <f t="shared" si="15"/>
        <v>193349.61000000002</v>
      </c>
      <c r="AI130" s="125">
        <f>Valores!$C$31</f>
        <v>0</v>
      </c>
      <c r="AJ130" s="125">
        <f>Valores!$C$87</f>
        <v>0</v>
      </c>
      <c r="AK130" s="125">
        <f>Valores!C$38*B130</f>
        <v>0</v>
      </c>
      <c r="AL130" s="125">
        <f>IF($F$3="NO",0,Valores!$C$56)</f>
        <v>0</v>
      </c>
      <c r="AM130" s="125">
        <f t="shared" si="13"/>
        <v>0</v>
      </c>
      <c r="AN130" s="125">
        <f>AH130*Valores!$C$71</f>
        <v>-21268.457100000003</v>
      </c>
      <c r="AO130" s="125">
        <f>AH130*-Valores!$C$72</f>
        <v>0</v>
      </c>
      <c r="AP130" s="125">
        <f>AH130*Valores!$C$73</f>
        <v>-8700.73245</v>
      </c>
      <c r="AQ130" s="125">
        <f>Valores!$C$100</f>
        <v>-554.86</v>
      </c>
      <c r="AR130" s="125">
        <f>IF($F$5=0,Valores!$C$101,(Valores!$C$101+$F$5*(Valores!$C$101)))</f>
        <v>-550</v>
      </c>
      <c r="AS130" s="125">
        <f t="shared" si="16"/>
        <v>162275.56045000002</v>
      </c>
      <c r="AT130" s="125">
        <f t="shared" si="10"/>
        <v>-21268.457100000003</v>
      </c>
      <c r="AU130" s="125">
        <f>AH130*Valores!$C$74</f>
        <v>-5220.43947</v>
      </c>
      <c r="AV130" s="125">
        <f>AH130*Valores!$C$75</f>
        <v>-580.0488300000001</v>
      </c>
      <c r="AW130" s="125">
        <f t="shared" si="14"/>
        <v>166280.66460000002</v>
      </c>
      <c r="AX130" s="126"/>
      <c r="AY130" s="126"/>
      <c r="AZ130" s="123" t="s">
        <v>8</v>
      </c>
    </row>
    <row r="131" spans="1:52" s="110" customFormat="1" ht="11.25" customHeight="1">
      <c r="A131" s="123" t="s">
        <v>352</v>
      </c>
      <c r="B131" s="123">
        <v>1</v>
      </c>
      <c r="C131" s="126">
        <v>124</v>
      </c>
      <c r="D131" s="124" t="s">
        <v>353</v>
      </c>
      <c r="E131" s="191">
        <v>1278</v>
      </c>
      <c r="F131" s="125">
        <f>ROUND(E131*Valores!$C$2,2)</f>
        <v>51991.34</v>
      </c>
      <c r="G131" s="191">
        <v>0</v>
      </c>
      <c r="H131" s="125">
        <f>ROUND(G131*Valores!$C$2,2)</f>
        <v>0</v>
      </c>
      <c r="I131" s="191">
        <v>0</v>
      </c>
      <c r="J131" s="125">
        <f>ROUND(I131*Valores!$C$2,2)</f>
        <v>0</v>
      </c>
      <c r="K131" s="191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12838.83</v>
      </c>
      <c r="N131" s="125">
        <f t="shared" si="11"/>
        <v>0</v>
      </c>
      <c r="O131" s="125">
        <f>Valores!$C$16</f>
        <v>35154.38</v>
      </c>
      <c r="P131" s="125">
        <f>Valores!$D$5</f>
        <v>20796.54</v>
      </c>
      <c r="Q131" s="125">
        <f>Valores!$C$22</f>
        <v>18553.83</v>
      </c>
      <c r="R131" s="125">
        <f>IF($F$4="NO",Valores!$C$44,Valores!$C$44/2)</f>
        <v>14447.16</v>
      </c>
      <c r="S131" s="125">
        <f>Valores!$C$20</f>
        <v>19153.67</v>
      </c>
      <c r="T131" s="125">
        <f t="shared" si="17"/>
        <v>19153.67</v>
      </c>
      <c r="U131" s="125">
        <v>0</v>
      </c>
      <c r="V131" s="125">
        <v>0</v>
      </c>
      <c r="W131" s="191">
        <v>0</v>
      </c>
      <c r="X131" s="125">
        <f>ROUND(W131*Valores!$C$2,2)</f>
        <v>0</v>
      </c>
      <c r="Y131" s="125">
        <v>0</v>
      </c>
      <c r="Z131" s="125">
        <f>Valores!$C$94</f>
        <v>28478.14</v>
      </c>
      <c r="AA131" s="125">
        <f>Valores!$C$25</f>
        <v>850.59</v>
      </c>
      <c r="AB131" s="210">
        <v>0</v>
      </c>
      <c r="AC131" s="125">
        <f t="shared" si="12"/>
        <v>0</v>
      </c>
      <c r="AD131" s="125">
        <f>Valores!$C$26</f>
        <v>850.59</v>
      </c>
      <c r="AE131" s="191">
        <v>0</v>
      </c>
      <c r="AF131" s="125">
        <f>ROUND(AE131*Valores!$C$2,2)</f>
        <v>0</v>
      </c>
      <c r="AG131" s="125">
        <f>ROUND(IF($F$4="NO",Valores!$C$63,Valores!$C$63/2),2)</f>
        <v>9724.47</v>
      </c>
      <c r="AH131" s="125">
        <f t="shared" si="15"/>
        <v>212839.54</v>
      </c>
      <c r="AI131" s="125">
        <f>Valores!$C$31</f>
        <v>0</v>
      </c>
      <c r="AJ131" s="125">
        <f>Valores!$C$87</f>
        <v>0</v>
      </c>
      <c r="AK131" s="125">
        <f>Valores!C$38*B131</f>
        <v>0</v>
      </c>
      <c r="AL131" s="125">
        <f>IF($F$3="NO",0,Valores!$C$56)</f>
        <v>0</v>
      </c>
      <c r="AM131" s="125">
        <f t="shared" si="13"/>
        <v>0</v>
      </c>
      <c r="AN131" s="125">
        <f>AH131*Valores!$C$71</f>
        <v>-23412.349400000003</v>
      </c>
      <c r="AO131" s="125">
        <f>AH131*-Valores!$C$72</f>
        <v>0</v>
      </c>
      <c r="AP131" s="125">
        <f>AH131*Valores!$C$73</f>
        <v>-9577.7793</v>
      </c>
      <c r="AQ131" s="125">
        <f>Valores!$C$100</f>
        <v>-554.86</v>
      </c>
      <c r="AR131" s="125">
        <f>IF($F$5=0,Valores!$C$101,(Valores!$C$101+$F$5*(Valores!$C$101)))</f>
        <v>-550</v>
      </c>
      <c r="AS131" s="125">
        <f t="shared" si="16"/>
        <v>178744.5513</v>
      </c>
      <c r="AT131" s="125">
        <f t="shared" si="10"/>
        <v>-23412.349400000003</v>
      </c>
      <c r="AU131" s="125">
        <f>AH131*Valores!$C$74</f>
        <v>-5746.66758</v>
      </c>
      <c r="AV131" s="125">
        <f>AH131*Valores!$C$75</f>
        <v>-638.51862</v>
      </c>
      <c r="AW131" s="125">
        <f t="shared" si="14"/>
        <v>183042.0044</v>
      </c>
      <c r="AX131" s="126"/>
      <c r="AY131" s="126">
        <v>22</v>
      </c>
      <c r="AZ131" s="123" t="s">
        <v>4</v>
      </c>
    </row>
    <row r="132" spans="1:52" s="110" customFormat="1" ht="11.25" customHeight="1">
      <c r="A132" s="123" t="s">
        <v>354</v>
      </c>
      <c r="B132" s="123">
        <v>1</v>
      </c>
      <c r="C132" s="126">
        <v>125</v>
      </c>
      <c r="D132" s="124" t="s">
        <v>355</v>
      </c>
      <c r="E132" s="191">
        <v>1278</v>
      </c>
      <c r="F132" s="125">
        <f>ROUND(E132*Valores!$C$2,2)</f>
        <v>51991.34</v>
      </c>
      <c r="G132" s="191">
        <v>0</v>
      </c>
      <c r="H132" s="125">
        <f>ROUND(G132*Valores!$C$2,2)</f>
        <v>0</v>
      </c>
      <c r="I132" s="191">
        <v>0</v>
      </c>
      <c r="J132" s="125">
        <f>ROUND(I132*Valores!$C$2,2)</f>
        <v>0</v>
      </c>
      <c r="K132" s="191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12868.5</v>
      </c>
      <c r="N132" s="125">
        <f t="shared" si="11"/>
        <v>0</v>
      </c>
      <c r="O132" s="125">
        <f>Valores!$C$16</f>
        <v>35154.38</v>
      </c>
      <c r="P132" s="125">
        <f>Valores!$D$5</f>
        <v>20796.54</v>
      </c>
      <c r="Q132" s="125">
        <f>Valores!$C$22</f>
        <v>18553.83</v>
      </c>
      <c r="R132" s="125">
        <f>IF($F$4="NO",Valores!$C$44,Valores!$C$44/2)</f>
        <v>14447.16</v>
      </c>
      <c r="S132" s="125">
        <f>Valores!$C$19</f>
        <v>19351.52</v>
      </c>
      <c r="T132" s="125">
        <f t="shared" si="17"/>
        <v>19351.52</v>
      </c>
      <c r="U132" s="125">
        <v>0</v>
      </c>
      <c r="V132" s="125">
        <v>0</v>
      </c>
      <c r="W132" s="191">
        <v>0</v>
      </c>
      <c r="X132" s="125">
        <f>ROUND(W132*Valores!$C$2,2)</f>
        <v>0</v>
      </c>
      <c r="Y132" s="125">
        <v>0</v>
      </c>
      <c r="Z132" s="125">
        <f>Valores!$C$94</f>
        <v>28478.14</v>
      </c>
      <c r="AA132" s="125">
        <f>Valores!$C$25</f>
        <v>850.59</v>
      </c>
      <c r="AB132" s="210">
        <v>0</v>
      </c>
      <c r="AC132" s="125">
        <f t="shared" si="12"/>
        <v>0</v>
      </c>
      <c r="AD132" s="125">
        <f>Valores!$C$26</f>
        <v>850.59</v>
      </c>
      <c r="AE132" s="191">
        <v>94</v>
      </c>
      <c r="AF132" s="125">
        <f>ROUND(AE132*Valores!$C$2,2)</f>
        <v>3824.09</v>
      </c>
      <c r="AG132" s="125">
        <f>ROUND(IF($F$4="NO",Valores!$C$63,Valores!$C$63/2),2)</f>
        <v>9724.47</v>
      </c>
      <c r="AH132" s="125">
        <f t="shared" si="15"/>
        <v>216891.15000000002</v>
      </c>
      <c r="AI132" s="125">
        <f>Valores!$C$31</f>
        <v>0</v>
      </c>
      <c r="AJ132" s="125">
        <f>Valores!$C$87</f>
        <v>0</v>
      </c>
      <c r="AK132" s="125">
        <f>Valores!C$38*B132</f>
        <v>0</v>
      </c>
      <c r="AL132" s="125">
        <f>IF($F$3="NO",0,Valores!$C$56)</f>
        <v>0</v>
      </c>
      <c r="AM132" s="125">
        <f t="shared" si="13"/>
        <v>0</v>
      </c>
      <c r="AN132" s="125">
        <f>AH132*Valores!$C$71</f>
        <v>-23858.026500000004</v>
      </c>
      <c r="AO132" s="125">
        <f>AH132*-Valores!$C$72</f>
        <v>0</v>
      </c>
      <c r="AP132" s="125">
        <f>AH132*Valores!$C$73</f>
        <v>-9760.10175</v>
      </c>
      <c r="AQ132" s="125">
        <f>Valores!$C$100</f>
        <v>-554.86</v>
      </c>
      <c r="AR132" s="125">
        <f>IF($F$5=0,Valores!$C$101,(Valores!$C$101+$F$5*(Valores!$C$101)))</f>
        <v>-550</v>
      </c>
      <c r="AS132" s="125">
        <f t="shared" si="16"/>
        <v>182168.16175000003</v>
      </c>
      <c r="AT132" s="125">
        <f t="shared" si="10"/>
        <v>-23858.026500000004</v>
      </c>
      <c r="AU132" s="125">
        <f>AH132*Valores!$C$74</f>
        <v>-5856.06105</v>
      </c>
      <c r="AV132" s="125">
        <f>AH132*Valores!$C$75</f>
        <v>-650.6734500000001</v>
      </c>
      <c r="AW132" s="125">
        <f t="shared" si="14"/>
        <v>186526.38900000002</v>
      </c>
      <c r="AX132" s="126"/>
      <c r="AY132" s="126">
        <v>20</v>
      </c>
      <c r="AZ132" s="123" t="s">
        <v>4</v>
      </c>
    </row>
    <row r="133" spans="1:52" s="110" customFormat="1" ht="11.25" customHeight="1">
      <c r="A133" s="123" t="s">
        <v>356</v>
      </c>
      <c r="B133" s="123">
        <v>1</v>
      </c>
      <c r="C133" s="126">
        <v>126</v>
      </c>
      <c r="D133" s="124" t="s">
        <v>357</v>
      </c>
      <c r="E133" s="191">
        <v>936</v>
      </c>
      <c r="F133" s="125">
        <f>ROUND(E133*Valores!$C$2,2)</f>
        <v>38078.16</v>
      </c>
      <c r="G133" s="191">
        <v>0</v>
      </c>
      <c r="H133" s="125">
        <f>ROUND(G133*Valores!$C$2,2)</f>
        <v>0</v>
      </c>
      <c r="I133" s="191">
        <v>0</v>
      </c>
      <c r="J133" s="125">
        <f>ROUND(I133*Valores!$C$2,2)</f>
        <v>0</v>
      </c>
      <c r="K133" s="191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10629.75</v>
      </c>
      <c r="N133" s="125">
        <f t="shared" si="11"/>
        <v>0</v>
      </c>
      <c r="O133" s="125">
        <f>Valores!$C$16</f>
        <v>35154.38</v>
      </c>
      <c r="P133" s="125">
        <f>Valores!$D$5</f>
        <v>20796.54</v>
      </c>
      <c r="Q133" s="125">
        <f>Valores!$C$23</f>
        <v>17268.68</v>
      </c>
      <c r="R133" s="125">
        <f>IF($F$4="NO",Valores!$C$43,Valores!$C$43/2)</f>
        <v>13633.16</v>
      </c>
      <c r="S133" s="125">
        <f>Valores!$C$20</f>
        <v>19153.67</v>
      </c>
      <c r="T133" s="125">
        <f t="shared" si="17"/>
        <v>19153.67</v>
      </c>
      <c r="U133" s="125">
        <v>0</v>
      </c>
      <c r="V133" s="125">
        <v>0</v>
      </c>
      <c r="W133" s="191">
        <v>0</v>
      </c>
      <c r="X133" s="125">
        <f>ROUND(W133*Valores!$C$2,2)</f>
        <v>0</v>
      </c>
      <c r="Y133" s="125">
        <v>0</v>
      </c>
      <c r="Z133" s="125">
        <f>Valores!$C$94</f>
        <v>28478.14</v>
      </c>
      <c r="AA133" s="125">
        <f>Valores!$C$25</f>
        <v>850.59</v>
      </c>
      <c r="AB133" s="210">
        <v>0</v>
      </c>
      <c r="AC133" s="125">
        <f t="shared" si="12"/>
        <v>0</v>
      </c>
      <c r="AD133" s="125">
        <f>Valores!$C$26</f>
        <v>850.59</v>
      </c>
      <c r="AE133" s="191">
        <v>94</v>
      </c>
      <c r="AF133" s="125">
        <f>ROUND(AE133*Valores!$C$2,2)</f>
        <v>3824.09</v>
      </c>
      <c r="AG133" s="125">
        <f>ROUND(IF($F$4="NO",Valores!$C$63,Valores!$C$63/2),2)</f>
        <v>9724.47</v>
      </c>
      <c r="AH133" s="125">
        <f t="shared" si="15"/>
        <v>198442.22000000003</v>
      </c>
      <c r="AI133" s="125">
        <f>Valores!$C$31</f>
        <v>0</v>
      </c>
      <c r="AJ133" s="125">
        <f>Valores!$C$87</f>
        <v>0</v>
      </c>
      <c r="AK133" s="125">
        <f>Valores!C$38*B133</f>
        <v>0</v>
      </c>
      <c r="AL133" s="125">
        <f>IF($F$3="NO",0,Valores!$C$56)</f>
        <v>0</v>
      </c>
      <c r="AM133" s="125">
        <f t="shared" si="13"/>
        <v>0</v>
      </c>
      <c r="AN133" s="125">
        <f>AH133*Valores!$C$71</f>
        <v>-21828.644200000002</v>
      </c>
      <c r="AO133" s="125">
        <f>AH133*-Valores!$C$72</f>
        <v>0</v>
      </c>
      <c r="AP133" s="125">
        <f>AH133*Valores!$C$73</f>
        <v>-8929.8999</v>
      </c>
      <c r="AQ133" s="125">
        <f>Valores!$C$100</f>
        <v>-554.86</v>
      </c>
      <c r="AR133" s="125">
        <f>IF($F$5=0,Valores!$C$101,(Valores!$C$101+$F$5*(Valores!$C$101)))</f>
        <v>-550</v>
      </c>
      <c r="AS133" s="125">
        <f t="shared" si="16"/>
        <v>166578.81590000002</v>
      </c>
      <c r="AT133" s="125">
        <f t="shared" si="10"/>
        <v>-21828.644200000002</v>
      </c>
      <c r="AU133" s="125">
        <f>AH133*Valores!$C$74</f>
        <v>-5357.939940000001</v>
      </c>
      <c r="AV133" s="125">
        <f>AH133*Valores!$C$75</f>
        <v>-595.3266600000001</v>
      </c>
      <c r="AW133" s="125">
        <f t="shared" si="14"/>
        <v>170660.30920000002</v>
      </c>
      <c r="AX133" s="126">
        <v>8</v>
      </c>
      <c r="AY133" s="126"/>
      <c r="AZ133" s="123" t="s">
        <v>4</v>
      </c>
    </row>
    <row r="134" spans="1:52" s="110" customFormat="1" ht="11.25" customHeight="1">
      <c r="A134" s="123" t="s">
        <v>358</v>
      </c>
      <c r="B134" s="123">
        <v>1</v>
      </c>
      <c r="C134" s="126">
        <v>127</v>
      </c>
      <c r="D134" s="124" t="s">
        <v>359</v>
      </c>
      <c r="E134" s="191">
        <v>1278</v>
      </c>
      <c r="F134" s="125">
        <f>ROUND(E134*Valores!$C$2,2)</f>
        <v>51991.34</v>
      </c>
      <c r="G134" s="191">
        <v>0</v>
      </c>
      <c r="H134" s="125">
        <f>ROUND(G134*Valores!$C$2,2)</f>
        <v>0</v>
      </c>
      <c r="I134" s="191">
        <v>0</v>
      </c>
      <c r="J134" s="125">
        <f>ROUND(I134*Valores!$C$2,2)</f>
        <v>0</v>
      </c>
      <c r="K134" s="191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12716.73</v>
      </c>
      <c r="N134" s="125">
        <f t="shared" si="11"/>
        <v>0</v>
      </c>
      <c r="O134" s="125">
        <f>Valores!$C$8</f>
        <v>50989.899999999994</v>
      </c>
      <c r="P134" s="125">
        <f>Valores!$D$5</f>
        <v>20796.54</v>
      </c>
      <c r="Q134" s="125">
        <v>0</v>
      </c>
      <c r="R134" s="125">
        <f>IF($F$4="NO",Valores!$C$43,Valores!$C$43/2)</f>
        <v>13633.16</v>
      </c>
      <c r="S134" s="125">
        <f>Valores!$C$20</f>
        <v>19153.67</v>
      </c>
      <c r="T134" s="125">
        <f t="shared" si="17"/>
        <v>19153.67</v>
      </c>
      <c r="U134" s="125">
        <v>0</v>
      </c>
      <c r="V134" s="125">
        <v>0</v>
      </c>
      <c r="W134" s="191">
        <v>0</v>
      </c>
      <c r="X134" s="125">
        <f>ROUND(W134*Valores!$C$2,2)</f>
        <v>0</v>
      </c>
      <c r="Y134" s="125">
        <v>0</v>
      </c>
      <c r="Z134" s="125">
        <f>Valores!$C$94</f>
        <v>28478.14</v>
      </c>
      <c r="AA134" s="125">
        <f>Valores!$C$25</f>
        <v>850.59</v>
      </c>
      <c r="AB134" s="210">
        <v>0</v>
      </c>
      <c r="AC134" s="125">
        <f t="shared" si="12"/>
        <v>0</v>
      </c>
      <c r="AD134" s="125">
        <f>Valores!$C$26</f>
        <v>850.59</v>
      </c>
      <c r="AE134" s="191">
        <v>94</v>
      </c>
      <c r="AF134" s="125">
        <f>ROUND(AE134*Valores!$C$2,2)</f>
        <v>3824.09</v>
      </c>
      <c r="AG134" s="125">
        <f>ROUND(IF($F$4="NO",Valores!$C$63,Valores!$C$63/2),2)</f>
        <v>9724.47</v>
      </c>
      <c r="AH134" s="125">
        <f t="shared" si="15"/>
        <v>213009.21999999997</v>
      </c>
      <c r="AI134" s="125">
        <f>Valores!$C$31</f>
        <v>0</v>
      </c>
      <c r="AJ134" s="125">
        <f>Valores!$C$87</f>
        <v>0</v>
      </c>
      <c r="AK134" s="125">
        <f>Valores!C$38*B134</f>
        <v>0</v>
      </c>
      <c r="AL134" s="125">
        <f>IF($F$3="NO",0,Valores!$C$56)</f>
        <v>0</v>
      </c>
      <c r="AM134" s="125">
        <f t="shared" si="13"/>
        <v>0</v>
      </c>
      <c r="AN134" s="125">
        <f>AH134*Valores!$C$71</f>
        <v>-23431.014199999998</v>
      </c>
      <c r="AO134" s="125">
        <f>AH134*-Valores!$C$72</f>
        <v>0</v>
      </c>
      <c r="AP134" s="125">
        <f>AH134*Valores!$C$73</f>
        <v>-9585.414899999998</v>
      </c>
      <c r="AQ134" s="125">
        <f>Valores!$C$100</f>
        <v>-554.86</v>
      </c>
      <c r="AR134" s="125">
        <f>IF($F$5=0,Valores!$C$101,(Valores!$C$101+$F$5*(Valores!$C$101)))</f>
        <v>-550</v>
      </c>
      <c r="AS134" s="125">
        <f t="shared" si="16"/>
        <v>178887.93089999998</v>
      </c>
      <c r="AT134" s="125">
        <f aca="true" t="shared" si="18" ref="AT134:AT196">AN134</f>
        <v>-23431.014199999998</v>
      </c>
      <c r="AU134" s="125">
        <f>AH134*Valores!$C$74</f>
        <v>-5751.2489399999995</v>
      </c>
      <c r="AV134" s="125">
        <f>AH134*Valores!$C$75</f>
        <v>-639.02766</v>
      </c>
      <c r="AW134" s="125">
        <f t="shared" si="14"/>
        <v>183187.92919999998</v>
      </c>
      <c r="AX134" s="126"/>
      <c r="AY134" s="126">
        <v>22</v>
      </c>
      <c r="AZ134" s="123" t="s">
        <v>4</v>
      </c>
    </row>
    <row r="135" spans="1:52" s="110" customFormat="1" ht="11.25" customHeight="1">
      <c r="A135" s="123" t="s">
        <v>360</v>
      </c>
      <c r="B135" s="123">
        <v>1</v>
      </c>
      <c r="C135" s="126">
        <v>128</v>
      </c>
      <c r="D135" s="124" t="s">
        <v>361</v>
      </c>
      <c r="E135" s="191">
        <v>1278</v>
      </c>
      <c r="F135" s="125">
        <f>ROUND(E135*Valores!$C$2,2)</f>
        <v>51991.34</v>
      </c>
      <c r="G135" s="191">
        <v>0</v>
      </c>
      <c r="H135" s="125">
        <f>ROUND(G135*Valores!$C$2,2)</f>
        <v>0</v>
      </c>
      <c r="I135" s="191">
        <v>0</v>
      </c>
      <c r="J135" s="125">
        <f>ROUND(I135*Valores!$C$2,2)</f>
        <v>0</v>
      </c>
      <c r="K135" s="191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12868.5</v>
      </c>
      <c r="N135" s="125">
        <f t="shared" si="11"/>
        <v>0</v>
      </c>
      <c r="O135" s="125">
        <f>Valores!$C$8</f>
        <v>50989.899999999994</v>
      </c>
      <c r="P135" s="125">
        <f>Valores!$D$5</f>
        <v>20796.54</v>
      </c>
      <c r="Q135" s="125">
        <f>Valores!$C$22</f>
        <v>18553.83</v>
      </c>
      <c r="R135" s="125">
        <f>IF($F$4="NO",Valores!$C$44,Valores!$C$44/2)</f>
        <v>14447.16</v>
      </c>
      <c r="S135" s="125">
        <f>Valores!$C$19</f>
        <v>19351.52</v>
      </c>
      <c r="T135" s="125">
        <f t="shared" si="17"/>
        <v>19351.52</v>
      </c>
      <c r="U135" s="125">
        <v>0</v>
      </c>
      <c r="V135" s="125">
        <v>0</v>
      </c>
      <c r="W135" s="191">
        <v>0</v>
      </c>
      <c r="X135" s="125">
        <f>ROUND(W135*Valores!$C$2,2)</f>
        <v>0</v>
      </c>
      <c r="Y135" s="125">
        <v>0</v>
      </c>
      <c r="Z135" s="125">
        <f>Valores!$C$94</f>
        <v>28478.14</v>
      </c>
      <c r="AA135" s="125">
        <f>Valores!$C$25</f>
        <v>850.59</v>
      </c>
      <c r="AB135" s="210">
        <v>0</v>
      </c>
      <c r="AC135" s="125">
        <f t="shared" si="12"/>
        <v>0</v>
      </c>
      <c r="AD135" s="125">
        <f>Valores!$C$26</f>
        <v>850.59</v>
      </c>
      <c r="AE135" s="191">
        <v>0</v>
      </c>
      <c r="AF135" s="125">
        <f>ROUND(AE135*Valores!$C$2,2)</f>
        <v>0</v>
      </c>
      <c r="AG135" s="125">
        <f>ROUND(IF($F$4="NO",Valores!$C$63,Valores!$C$63/2),2)</f>
        <v>9724.47</v>
      </c>
      <c r="AH135" s="125">
        <f t="shared" si="15"/>
        <v>228902.58</v>
      </c>
      <c r="AI135" s="125">
        <f>Valores!$C$31</f>
        <v>0</v>
      </c>
      <c r="AJ135" s="125">
        <f>Valores!$C$87</f>
        <v>0</v>
      </c>
      <c r="AK135" s="125">
        <f>Valores!C$38*B135</f>
        <v>0</v>
      </c>
      <c r="AL135" s="125">
        <f>IF($F$3="NO",0,Valores!$C$56)</f>
        <v>0</v>
      </c>
      <c r="AM135" s="125">
        <f t="shared" si="13"/>
        <v>0</v>
      </c>
      <c r="AN135" s="125">
        <f>AH135*Valores!$C$71</f>
        <v>-25179.283799999997</v>
      </c>
      <c r="AO135" s="125">
        <f>AH135*-Valores!$C$72</f>
        <v>0</v>
      </c>
      <c r="AP135" s="125">
        <f>AH135*Valores!$C$73</f>
        <v>-10300.6161</v>
      </c>
      <c r="AQ135" s="125">
        <f>Valores!$C$100</f>
        <v>-554.86</v>
      </c>
      <c r="AR135" s="125">
        <f>IF($F$5=0,Valores!$C$101,(Valores!$C$101+$F$5*(Valores!$C$101)))</f>
        <v>-550</v>
      </c>
      <c r="AS135" s="125">
        <f t="shared" si="16"/>
        <v>192317.82009999998</v>
      </c>
      <c r="AT135" s="125">
        <f t="shared" si="18"/>
        <v>-25179.283799999997</v>
      </c>
      <c r="AU135" s="125">
        <f>AH135*Valores!$C$74</f>
        <v>-6180.369659999999</v>
      </c>
      <c r="AV135" s="125">
        <f>AH135*Valores!$C$75</f>
        <v>-686.70774</v>
      </c>
      <c r="AW135" s="125">
        <f t="shared" si="14"/>
        <v>196856.21879999997</v>
      </c>
      <c r="AX135" s="126"/>
      <c r="AY135" s="126"/>
      <c r="AZ135" s="123" t="s">
        <v>4</v>
      </c>
    </row>
    <row r="136" spans="1:52" s="110" customFormat="1" ht="11.25" customHeight="1">
      <c r="A136" s="123" t="s">
        <v>362</v>
      </c>
      <c r="B136" s="123">
        <v>1</v>
      </c>
      <c r="C136" s="126">
        <v>129</v>
      </c>
      <c r="D136" s="124" t="s">
        <v>363</v>
      </c>
      <c r="E136" s="191">
        <v>1278</v>
      </c>
      <c r="F136" s="125">
        <f>ROUND(E136*Valores!$C$2,2)</f>
        <v>51991.34</v>
      </c>
      <c r="G136" s="191">
        <v>0</v>
      </c>
      <c r="H136" s="125">
        <f>ROUND(G136*Valores!$C$2,2)</f>
        <v>0</v>
      </c>
      <c r="I136" s="191">
        <v>0</v>
      </c>
      <c r="J136" s="125">
        <f>ROUND(I136*Valores!$C$2,2)</f>
        <v>0</v>
      </c>
      <c r="K136" s="191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12868.5</v>
      </c>
      <c r="N136" s="125">
        <f aca="true" t="shared" si="19" ref="N136:N199">ROUND(SUM(F136,H136,J136,L136,X136,R136)*$H$2,2)</f>
        <v>0</v>
      </c>
      <c r="O136" s="125">
        <f>Valores!$C$8</f>
        <v>50989.899999999994</v>
      </c>
      <c r="P136" s="125">
        <f>Valores!$D$5</f>
        <v>20796.54</v>
      </c>
      <c r="Q136" s="125">
        <f>Valores!$C$22</f>
        <v>18553.83</v>
      </c>
      <c r="R136" s="125">
        <f>IF($F$4="NO",Valores!$C$44,Valores!$C$44/2)</f>
        <v>14447.16</v>
      </c>
      <c r="S136" s="125">
        <f>Valores!$C$19</f>
        <v>19351.52</v>
      </c>
      <c r="T136" s="125">
        <f t="shared" si="17"/>
        <v>19351.52</v>
      </c>
      <c r="U136" s="125">
        <v>0</v>
      </c>
      <c r="V136" s="125">
        <v>0</v>
      </c>
      <c r="W136" s="191">
        <v>0</v>
      </c>
      <c r="X136" s="125">
        <f>ROUND(W136*Valores!$C$2,2)</f>
        <v>0</v>
      </c>
      <c r="Y136" s="125">
        <v>0</v>
      </c>
      <c r="Z136" s="125">
        <f>Valores!$C$94</f>
        <v>28478.14</v>
      </c>
      <c r="AA136" s="125">
        <f>Valores!$C$25</f>
        <v>850.59</v>
      </c>
      <c r="AB136" s="210">
        <v>0</v>
      </c>
      <c r="AC136" s="125">
        <f aca="true" t="shared" si="20" ref="AC136:AC199">ROUND(SUM(F136,H136,J136,X136,R136)*AB136,2)</f>
        <v>0</v>
      </c>
      <c r="AD136" s="125">
        <f>Valores!$C$26</f>
        <v>850.59</v>
      </c>
      <c r="AE136" s="191">
        <v>0</v>
      </c>
      <c r="AF136" s="125">
        <f>ROUND(AE136*Valores!$C$2,2)</f>
        <v>0</v>
      </c>
      <c r="AG136" s="125">
        <f>ROUND(IF($F$4="NO",Valores!$C$63,Valores!$C$63/2),2)</f>
        <v>9724.47</v>
      </c>
      <c r="AH136" s="125">
        <f t="shared" si="15"/>
        <v>228902.58</v>
      </c>
      <c r="AI136" s="125">
        <f>Valores!$C$31</f>
        <v>0</v>
      </c>
      <c r="AJ136" s="125">
        <f>Valores!$C$87</f>
        <v>0</v>
      </c>
      <c r="AK136" s="125">
        <f>Valores!C$38*B136</f>
        <v>0</v>
      </c>
      <c r="AL136" s="125">
        <f>IF($F$3="NO",0,Valores!$C$56)</f>
        <v>0</v>
      </c>
      <c r="AM136" s="125">
        <f aca="true" t="shared" si="21" ref="AM136:AM199">SUM(AI136:AL136)</f>
        <v>0</v>
      </c>
      <c r="AN136" s="125">
        <f>AH136*Valores!$C$71</f>
        <v>-25179.283799999997</v>
      </c>
      <c r="AO136" s="125">
        <f>AH136*-Valores!$C$72</f>
        <v>0</v>
      </c>
      <c r="AP136" s="125">
        <f>AH136*Valores!$C$73</f>
        <v>-10300.6161</v>
      </c>
      <c r="AQ136" s="125">
        <f>Valores!$C$100</f>
        <v>-554.86</v>
      </c>
      <c r="AR136" s="125">
        <f>IF($F$5=0,Valores!$C$101,(Valores!$C$101+$F$5*(Valores!$C$101)))</f>
        <v>-550</v>
      </c>
      <c r="AS136" s="125">
        <f t="shared" si="16"/>
        <v>192317.82009999998</v>
      </c>
      <c r="AT136" s="125">
        <f t="shared" si="18"/>
        <v>-25179.283799999997</v>
      </c>
      <c r="AU136" s="125">
        <f>AH136*Valores!$C$74</f>
        <v>-6180.369659999999</v>
      </c>
      <c r="AV136" s="125">
        <f>AH136*Valores!$C$75</f>
        <v>-686.70774</v>
      </c>
      <c r="AW136" s="125">
        <f aca="true" t="shared" si="22" ref="AW136:AW199">AH136+AM136+SUM(AT136:AV136)</f>
        <v>196856.21879999997</v>
      </c>
      <c r="AX136" s="126"/>
      <c r="AY136" s="126"/>
      <c r="AZ136" s="123" t="s">
        <v>4</v>
      </c>
    </row>
    <row r="137" spans="1:52" s="110" customFormat="1" ht="11.25" customHeight="1">
      <c r="A137" s="123" t="s">
        <v>364</v>
      </c>
      <c r="B137" s="123">
        <v>1</v>
      </c>
      <c r="C137" s="126">
        <v>130</v>
      </c>
      <c r="D137" s="124" t="s">
        <v>365</v>
      </c>
      <c r="E137" s="191">
        <v>1278</v>
      </c>
      <c r="F137" s="125">
        <f>ROUND(E137*Valores!$C$2,2)</f>
        <v>51991.34</v>
      </c>
      <c r="G137" s="191">
        <v>0</v>
      </c>
      <c r="H137" s="125">
        <f>ROUND(G137*Valores!$C$2,2)</f>
        <v>0</v>
      </c>
      <c r="I137" s="191">
        <v>0</v>
      </c>
      <c r="J137" s="125">
        <f>ROUND(I137*Valores!$C$2,2)</f>
        <v>0</v>
      </c>
      <c r="K137" s="191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12868.5</v>
      </c>
      <c r="N137" s="125">
        <f t="shared" si="19"/>
        <v>0</v>
      </c>
      <c r="O137" s="125">
        <f>Valores!$C$16</f>
        <v>35154.38</v>
      </c>
      <c r="P137" s="125">
        <f>Valores!$D$5</f>
        <v>20796.54</v>
      </c>
      <c r="Q137" s="125">
        <v>0</v>
      </c>
      <c r="R137" s="125">
        <f>IF($F$4="NO",Valores!$C$44,Valores!$C$44/2)</f>
        <v>14447.16</v>
      </c>
      <c r="S137" s="125">
        <f>Valores!$C$19</f>
        <v>19351.52</v>
      </c>
      <c r="T137" s="125">
        <f t="shared" si="17"/>
        <v>19351.52</v>
      </c>
      <c r="U137" s="125">
        <v>0</v>
      </c>
      <c r="V137" s="125">
        <v>0</v>
      </c>
      <c r="W137" s="191">
        <v>0</v>
      </c>
      <c r="X137" s="125">
        <f>ROUND(W137*Valores!$C$2,2)</f>
        <v>0</v>
      </c>
      <c r="Y137" s="125">
        <v>0</v>
      </c>
      <c r="Z137" s="125">
        <f>Valores!$C$94</f>
        <v>28478.14</v>
      </c>
      <c r="AA137" s="125">
        <f>Valores!$C$25</f>
        <v>850.59</v>
      </c>
      <c r="AB137" s="210">
        <v>0</v>
      </c>
      <c r="AC137" s="125">
        <f t="shared" si="20"/>
        <v>0</v>
      </c>
      <c r="AD137" s="125">
        <f>Valores!$C$26</f>
        <v>850.59</v>
      </c>
      <c r="AE137" s="191">
        <v>0</v>
      </c>
      <c r="AF137" s="125">
        <f>ROUND(AE137*Valores!$C$2,2)</f>
        <v>0</v>
      </c>
      <c r="AG137" s="125">
        <f>ROUND(IF($F$4="NO",Valores!$C$63,Valores!$C$63/2),2)</f>
        <v>9724.47</v>
      </c>
      <c r="AH137" s="125">
        <f aca="true" t="shared" si="23" ref="AH137:AH200">SUM(F137,H137,J137,L137,M137,N137,O137,P137,Q137,R137,T137,U137,V137,X137,Y137,Z137,AA137,AC137,AD137,AF137,AG137)</f>
        <v>194513.23</v>
      </c>
      <c r="AI137" s="125">
        <f>Valores!$C$31</f>
        <v>0</v>
      </c>
      <c r="AJ137" s="125">
        <f>Valores!$C$87</f>
        <v>0</v>
      </c>
      <c r="AK137" s="125">
        <f>Valores!C$38*B137</f>
        <v>0</v>
      </c>
      <c r="AL137" s="125">
        <f>IF($F$3="NO",0,Valores!$C$56)</f>
        <v>0</v>
      </c>
      <c r="AM137" s="125">
        <f t="shared" si="21"/>
        <v>0</v>
      </c>
      <c r="AN137" s="125">
        <f>AH137*Valores!$C$71</f>
        <v>-21396.4553</v>
      </c>
      <c r="AO137" s="125">
        <f>AH137*-Valores!$C$72</f>
        <v>0</v>
      </c>
      <c r="AP137" s="125">
        <f>AH137*Valores!$C$73</f>
        <v>-8753.09535</v>
      </c>
      <c r="AQ137" s="125">
        <f>Valores!$C$100</f>
        <v>-554.86</v>
      </c>
      <c r="AR137" s="125">
        <f>IF($F$5=0,Valores!$C$101,(Valores!$C$101+$F$5*(Valores!$C$101)))</f>
        <v>-550</v>
      </c>
      <c r="AS137" s="125">
        <f aca="true" t="shared" si="24" ref="AS137:AS200">AH137+SUM(AM137:AR137)</f>
        <v>163258.81935</v>
      </c>
      <c r="AT137" s="125">
        <f t="shared" si="18"/>
        <v>-21396.4553</v>
      </c>
      <c r="AU137" s="125">
        <f>AH137*Valores!$C$74</f>
        <v>-5251.85721</v>
      </c>
      <c r="AV137" s="125">
        <f>AH137*Valores!$C$75</f>
        <v>-583.5396900000001</v>
      </c>
      <c r="AW137" s="125">
        <f t="shared" si="22"/>
        <v>167281.37780000002</v>
      </c>
      <c r="AX137" s="126">
        <v>12</v>
      </c>
      <c r="AY137" s="126">
        <v>15</v>
      </c>
      <c r="AZ137" s="123" t="s">
        <v>8</v>
      </c>
    </row>
    <row r="138" spans="1:52" s="110" customFormat="1" ht="11.25" customHeight="1">
      <c r="A138" s="123" t="s">
        <v>366</v>
      </c>
      <c r="B138" s="123">
        <v>1</v>
      </c>
      <c r="C138" s="126">
        <v>131</v>
      </c>
      <c r="D138" s="124" t="s">
        <v>367</v>
      </c>
      <c r="E138" s="191">
        <v>616</v>
      </c>
      <c r="F138" s="125">
        <f>ROUND(E138*Valores!$C$2,2)</f>
        <v>25059.99</v>
      </c>
      <c r="G138" s="191">
        <v>0</v>
      </c>
      <c r="H138" s="125">
        <f>ROUND(G138*Valores!$C$2,2)</f>
        <v>0</v>
      </c>
      <c r="I138" s="191">
        <v>0</v>
      </c>
      <c r="J138" s="125">
        <f>ROUND(I138*Valores!$C$2,2)</f>
        <v>0</v>
      </c>
      <c r="K138" s="191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8828.8</v>
      </c>
      <c r="N138" s="125">
        <f t="shared" si="19"/>
        <v>0</v>
      </c>
      <c r="O138" s="125">
        <f>Valores!$C$8</f>
        <v>50989.899999999994</v>
      </c>
      <c r="P138" s="125">
        <f>Valores!$D$5</f>
        <v>20796.54</v>
      </c>
      <c r="Q138" s="125">
        <f>Valores!$C$22</f>
        <v>18553.83</v>
      </c>
      <c r="R138" s="125">
        <f>IF($F$4="NO",Valores!$C$44,Valores!$C$44/2)</f>
        <v>14447.16</v>
      </c>
      <c r="S138" s="125">
        <f>Valores!$C$19</f>
        <v>19351.52</v>
      </c>
      <c r="T138" s="125">
        <f t="shared" si="17"/>
        <v>19351.52</v>
      </c>
      <c r="U138" s="125">
        <v>0</v>
      </c>
      <c r="V138" s="125">
        <v>0</v>
      </c>
      <c r="W138" s="191">
        <v>0</v>
      </c>
      <c r="X138" s="125">
        <f>ROUND(W138*Valores!$C$2,2)</f>
        <v>0</v>
      </c>
      <c r="Y138" s="125">
        <v>0</v>
      </c>
      <c r="Z138" s="125">
        <f>Valores!$C$94</f>
        <v>28478.14</v>
      </c>
      <c r="AA138" s="125">
        <f>Valores!$C$25</f>
        <v>850.59</v>
      </c>
      <c r="AB138" s="210">
        <v>0</v>
      </c>
      <c r="AC138" s="125">
        <f t="shared" si="20"/>
        <v>0</v>
      </c>
      <c r="AD138" s="125">
        <f>Valores!$C$26</f>
        <v>850.59</v>
      </c>
      <c r="AE138" s="191">
        <v>0</v>
      </c>
      <c r="AF138" s="125">
        <f>ROUND(AE138*Valores!$C$2,2)</f>
        <v>0</v>
      </c>
      <c r="AG138" s="125">
        <f>ROUND(IF($F$4="NO",Valores!$C$63,Valores!$C$63/2),2)</f>
        <v>9724.47</v>
      </c>
      <c r="AH138" s="125">
        <f t="shared" si="23"/>
        <v>197931.53</v>
      </c>
      <c r="AI138" s="125">
        <f>Valores!$C$31</f>
        <v>0</v>
      </c>
      <c r="AJ138" s="125">
        <f>Valores!$C$87</f>
        <v>0</v>
      </c>
      <c r="AK138" s="125">
        <f>Valores!C$38*B138</f>
        <v>0</v>
      </c>
      <c r="AL138" s="125">
        <f>IF($F$3="NO",0,Valores!$C$56)</f>
        <v>0</v>
      </c>
      <c r="AM138" s="125">
        <f t="shared" si="21"/>
        <v>0</v>
      </c>
      <c r="AN138" s="125">
        <f>AH138*Valores!$C$71</f>
        <v>-21772.4683</v>
      </c>
      <c r="AO138" s="125">
        <f>AH138*-Valores!$C$72</f>
        <v>0</v>
      </c>
      <c r="AP138" s="125">
        <f>AH138*Valores!$C$73</f>
        <v>-8906.91885</v>
      </c>
      <c r="AQ138" s="125">
        <f>Valores!$C$100</f>
        <v>-554.86</v>
      </c>
      <c r="AR138" s="125">
        <f>IF($F$5=0,Valores!$C$101,(Valores!$C$101+$F$5*(Valores!$C$101)))</f>
        <v>-550</v>
      </c>
      <c r="AS138" s="125">
        <f t="shared" si="24"/>
        <v>166147.28285</v>
      </c>
      <c r="AT138" s="125">
        <f t="shared" si="18"/>
        <v>-21772.4683</v>
      </c>
      <c r="AU138" s="125">
        <f>AH138*Valores!$C$74</f>
        <v>-5344.15131</v>
      </c>
      <c r="AV138" s="125">
        <f>AH138*Valores!$C$75</f>
        <v>-593.79459</v>
      </c>
      <c r="AW138" s="125">
        <f t="shared" si="22"/>
        <v>170221.1158</v>
      </c>
      <c r="AX138" s="126">
        <v>6</v>
      </c>
      <c r="AY138" s="126"/>
      <c r="AZ138" s="123" t="s">
        <v>4</v>
      </c>
    </row>
    <row r="139" spans="1:52" s="110" customFormat="1" ht="11.25" customHeight="1">
      <c r="A139" s="123" t="s">
        <v>368</v>
      </c>
      <c r="B139" s="123">
        <v>1</v>
      </c>
      <c r="C139" s="126">
        <v>132</v>
      </c>
      <c r="D139" s="124" t="s">
        <v>369</v>
      </c>
      <c r="E139" s="191">
        <v>1278</v>
      </c>
      <c r="F139" s="125">
        <f>ROUND(E139*Valores!$C$2,2)</f>
        <v>51991.34</v>
      </c>
      <c r="G139" s="191">
        <v>0</v>
      </c>
      <c r="H139" s="125">
        <f>ROUND(G139*Valores!$C$2,2)</f>
        <v>0</v>
      </c>
      <c r="I139" s="191">
        <v>0</v>
      </c>
      <c r="J139" s="125">
        <f>ROUND(I139*Valores!$C$2,2)</f>
        <v>0</v>
      </c>
      <c r="K139" s="191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12838.83</v>
      </c>
      <c r="N139" s="125">
        <f t="shared" si="19"/>
        <v>0</v>
      </c>
      <c r="O139" s="125">
        <f>Valores!$C$16</f>
        <v>35154.38</v>
      </c>
      <c r="P139" s="125">
        <f>Valores!$D$5</f>
        <v>20796.54</v>
      </c>
      <c r="Q139" s="125">
        <v>0</v>
      </c>
      <c r="R139" s="125">
        <f>IF($F$4="NO",Valores!$C$44,Valores!$C$44/2)</f>
        <v>14447.16</v>
      </c>
      <c r="S139" s="125">
        <f>Valores!$C$20</f>
        <v>19153.67</v>
      </c>
      <c r="T139" s="125">
        <f aca="true" t="shared" si="25" ref="T139:T202">ROUND(S139*(1+$H$2),2)</f>
        <v>19153.67</v>
      </c>
      <c r="U139" s="125">
        <v>0</v>
      </c>
      <c r="V139" s="125">
        <v>0</v>
      </c>
      <c r="W139" s="191">
        <v>0</v>
      </c>
      <c r="X139" s="125">
        <f>ROUND(W139*Valores!$C$2,2)</f>
        <v>0</v>
      </c>
      <c r="Y139" s="125">
        <v>0</v>
      </c>
      <c r="Z139" s="125">
        <f>Valores!$C$94</f>
        <v>28478.14</v>
      </c>
      <c r="AA139" s="125">
        <f>Valores!$C$25</f>
        <v>850.59</v>
      </c>
      <c r="AB139" s="210">
        <v>0</v>
      </c>
      <c r="AC139" s="125">
        <f t="shared" si="20"/>
        <v>0</v>
      </c>
      <c r="AD139" s="125">
        <f>Valores!$C$26</f>
        <v>850.59</v>
      </c>
      <c r="AE139" s="191">
        <v>0</v>
      </c>
      <c r="AF139" s="125">
        <f>ROUND(AE139*Valores!$C$2,2)</f>
        <v>0</v>
      </c>
      <c r="AG139" s="125">
        <f>ROUND(IF($F$4="NO",Valores!$C$63,Valores!$C$63/2),2)</f>
        <v>9724.47</v>
      </c>
      <c r="AH139" s="125">
        <f t="shared" si="23"/>
        <v>194285.71</v>
      </c>
      <c r="AI139" s="125">
        <f>Valores!$C$31</f>
        <v>0</v>
      </c>
      <c r="AJ139" s="125">
        <f>Valores!$C$87</f>
        <v>0</v>
      </c>
      <c r="AK139" s="125">
        <f>Valores!C$38*B139</f>
        <v>0</v>
      </c>
      <c r="AL139" s="125">
        <f>(IF($F$3="NO",0,Valores!$C$58))</f>
        <v>0</v>
      </c>
      <c r="AM139" s="125">
        <f t="shared" si="21"/>
        <v>0</v>
      </c>
      <c r="AN139" s="125">
        <f>AH139*Valores!$C$71</f>
        <v>-21371.4281</v>
      </c>
      <c r="AO139" s="125">
        <f>AH139*-Valores!$C$72</f>
        <v>0</v>
      </c>
      <c r="AP139" s="125">
        <f>AH139*Valores!$C$73</f>
        <v>-8742.85695</v>
      </c>
      <c r="AQ139" s="125">
        <f>Valores!$C$100</f>
        <v>-554.86</v>
      </c>
      <c r="AR139" s="125">
        <f>IF($F$5=0,Valores!$C$101,(Valores!$C$101+$F$5*(Valores!$C$101)))</f>
        <v>-550</v>
      </c>
      <c r="AS139" s="125">
        <f t="shared" si="24"/>
        <v>163066.56495</v>
      </c>
      <c r="AT139" s="125">
        <f t="shared" si="18"/>
        <v>-21371.4281</v>
      </c>
      <c r="AU139" s="125">
        <f>AH139*Valores!$C$74</f>
        <v>-5245.714169999999</v>
      </c>
      <c r="AV139" s="125">
        <f>AH139*Valores!$C$75</f>
        <v>-582.85713</v>
      </c>
      <c r="AW139" s="125">
        <f t="shared" si="22"/>
        <v>167085.7106</v>
      </c>
      <c r="AX139" s="126">
        <v>12</v>
      </c>
      <c r="AY139" s="126">
        <v>15</v>
      </c>
      <c r="AZ139" s="123" t="s">
        <v>4</v>
      </c>
    </row>
    <row r="140" spans="1:52" s="110" customFormat="1" ht="11.25" customHeight="1">
      <c r="A140" s="123" t="s">
        <v>370</v>
      </c>
      <c r="B140" s="123">
        <v>1</v>
      </c>
      <c r="C140" s="126">
        <v>133</v>
      </c>
      <c r="D140" s="124" t="s">
        <v>371</v>
      </c>
      <c r="E140" s="191">
        <v>1983</v>
      </c>
      <c r="F140" s="125">
        <f>ROUND(E140*Valores!$C$2,2)</f>
        <v>80672.01</v>
      </c>
      <c r="G140" s="191">
        <v>0</v>
      </c>
      <c r="H140" s="125">
        <f>ROUND(G140*Valores!$C$2,2)</f>
        <v>0</v>
      </c>
      <c r="I140" s="191">
        <v>0</v>
      </c>
      <c r="J140" s="125">
        <f>ROUND(I140*Valores!$C$2,2)</f>
        <v>0</v>
      </c>
      <c r="K140" s="191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17170.6</v>
      </c>
      <c r="N140" s="125">
        <f t="shared" si="19"/>
        <v>0</v>
      </c>
      <c r="O140" s="125">
        <f>Valores!$C$8</f>
        <v>50989.899999999994</v>
      </c>
      <c r="P140" s="125">
        <f>Valores!$D$5</f>
        <v>20796.54</v>
      </c>
      <c r="Q140" s="125">
        <f>Valores!$C$22</f>
        <v>18553.83</v>
      </c>
      <c r="R140" s="125">
        <f>IF($F$4="NO",Valores!$C$44,Valores!$C$44/2)</f>
        <v>14447.16</v>
      </c>
      <c r="S140" s="125">
        <f>Valores!$C$19</f>
        <v>19351.52</v>
      </c>
      <c r="T140" s="125">
        <f t="shared" si="25"/>
        <v>19351.52</v>
      </c>
      <c r="U140" s="125">
        <v>0</v>
      </c>
      <c r="V140" s="125">
        <v>0</v>
      </c>
      <c r="W140" s="191">
        <v>0</v>
      </c>
      <c r="X140" s="125">
        <f>ROUND(W140*Valores!$C$2,2)</f>
        <v>0</v>
      </c>
      <c r="Y140" s="125">
        <v>0</v>
      </c>
      <c r="Z140" s="125">
        <f>Valores!$C$94</f>
        <v>28478.14</v>
      </c>
      <c r="AA140" s="125">
        <f>Valores!$C$25</f>
        <v>850.59</v>
      </c>
      <c r="AB140" s="210">
        <v>0</v>
      </c>
      <c r="AC140" s="125">
        <f t="shared" si="20"/>
        <v>0</v>
      </c>
      <c r="AD140" s="125">
        <f>Valores!$C$26</f>
        <v>850.59</v>
      </c>
      <c r="AE140" s="191">
        <v>94</v>
      </c>
      <c r="AF140" s="125">
        <f>ROUND(AE140*Valores!$C$2,2)</f>
        <v>3824.09</v>
      </c>
      <c r="AG140" s="125">
        <f>ROUND(IF($F$4="NO",Valores!$C$63,Valores!$C$63/2),2)</f>
        <v>9724.47</v>
      </c>
      <c r="AH140" s="125">
        <f t="shared" si="23"/>
        <v>265709.44</v>
      </c>
      <c r="AI140" s="125">
        <f>Valores!$C$31</f>
        <v>0</v>
      </c>
      <c r="AJ140" s="125">
        <f>Valores!$C$87</f>
        <v>0</v>
      </c>
      <c r="AK140" s="125">
        <f>Valores!C$38*B140</f>
        <v>0</v>
      </c>
      <c r="AL140" s="125">
        <f>IF($F$3="NO",0,Valores!$C$56)</f>
        <v>0</v>
      </c>
      <c r="AM140" s="125">
        <f t="shared" si="21"/>
        <v>0</v>
      </c>
      <c r="AN140" s="125">
        <f>AH140*Valores!$C$71</f>
        <v>-29228.0384</v>
      </c>
      <c r="AO140" s="125">
        <f>AH140*-Valores!$C$72</f>
        <v>0</v>
      </c>
      <c r="AP140" s="125">
        <f>AH140*Valores!$C$73</f>
        <v>-11956.924799999999</v>
      </c>
      <c r="AQ140" s="125">
        <f>Valores!$C$100</f>
        <v>-554.86</v>
      </c>
      <c r="AR140" s="125">
        <f>IF($F$5=0,Valores!$C$101,(Valores!$C$101+$F$5*(Valores!$C$101)))</f>
        <v>-550</v>
      </c>
      <c r="AS140" s="125">
        <f t="shared" si="24"/>
        <v>223419.61680000002</v>
      </c>
      <c r="AT140" s="125">
        <f t="shared" si="18"/>
        <v>-29228.0384</v>
      </c>
      <c r="AU140" s="125">
        <f>AH140*Valores!$C$74</f>
        <v>-7174.15488</v>
      </c>
      <c r="AV140" s="125">
        <f>AH140*Valores!$C$75</f>
        <v>-797.12832</v>
      </c>
      <c r="AW140" s="125">
        <f t="shared" si="22"/>
        <v>228510.1184</v>
      </c>
      <c r="AX140" s="126"/>
      <c r="AY140" s="126"/>
      <c r="AZ140" s="123" t="s">
        <v>8</v>
      </c>
    </row>
    <row r="141" spans="1:52" s="110" customFormat="1" ht="11.25" customHeight="1">
      <c r="A141" s="123" t="s">
        <v>372</v>
      </c>
      <c r="B141" s="123">
        <v>1</v>
      </c>
      <c r="C141" s="126">
        <v>134</v>
      </c>
      <c r="D141" s="124" t="s">
        <v>373</v>
      </c>
      <c r="E141" s="191">
        <v>1378</v>
      </c>
      <c r="F141" s="125">
        <f>ROUND(E141*Valores!$C$2,2)</f>
        <v>56059.52</v>
      </c>
      <c r="G141" s="191">
        <v>0</v>
      </c>
      <c r="H141" s="125">
        <f>ROUND(G141*Valores!$C$2,2)</f>
        <v>0</v>
      </c>
      <c r="I141" s="191">
        <v>0</v>
      </c>
      <c r="J141" s="125">
        <f>ROUND(I141*Valores!$C$2,2)</f>
        <v>0</v>
      </c>
      <c r="K141" s="191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13449.05</v>
      </c>
      <c r="N141" s="125">
        <f t="shared" si="19"/>
        <v>0</v>
      </c>
      <c r="O141" s="125">
        <f>Valores!$C$16</f>
        <v>35154.38</v>
      </c>
      <c r="P141" s="125">
        <f>Valores!$D$5</f>
        <v>20796.54</v>
      </c>
      <c r="Q141" s="125">
        <f>Valores!$C$22</f>
        <v>18553.83</v>
      </c>
      <c r="R141" s="125">
        <f>IF($F$4="NO",Valores!$C$44,Valores!$C$44/2)</f>
        <v>14447.16</v>
      </c>
      <c r="S141" s="125">
        <f>Valores!$C$20</f>
        <v>19153.67</v>
      </c>
      <c r="T141" s="125">
        <f t="shared" si="25"/>
        <v>19153.67</v>
      </c>
      <c r="U141" s="125">
        <v>0</v>
      </c>
      <c r="V141" s="125">
        <v>0</v>
      </c>
      <c r="W141" s="191">
        <v>0</v>
      </c>
      <c r="X141" s="125">
        <f>ROUND(W141*Valores!$C$2,2)</f>
        <v>0</v>
      </c>
      <c r="Y141" s="125">
        <v>0</v>
      </c>
      <c r="Z141" s="125">
        <f>Valores!$C$94</f>
        <v>28478.14</v>
      </c>
      <c r="AA141" s="125">
        <f>Valores!$C$25</f>
        <v>850.59</v>
      </c>
      <c r="AB141" s="210">
        <v>0</v>
      </c>
      <c r="AC141" s="125">
        <f t="shared" si="20"/>
        <v>0</v>
      </c>
      <c r="AD141" s="125">
        <f>Valores!$C$26</f>
        <v>850.59</v>
      </c>
      <c r="AE141" s="191">
        <v>0</v>
      </c>
      <c r="AF141" s="125">
        <f>ROUND(AE141*Valores!$C$2,2)</f>
        <v>0</v>
      </c>
      <c r="AG141" s="125">
        <f>ROUND(IF($F$4="NO",Valores!$C$63,Valores!$C$63/2),2)</f>
        <v>9724.47</v>
      </c>
      <c r="AH141" s="125">
        <f t="shared" si="23"/>
        <v>217517.94000000003</v>
      </c>
      <c r="AI141" s="125">
        <f>Valores!$C$31</f>
        <v>0</v>
      </c>
      <c r="AJ141" s="125">
        <f>Valores!$C$87</f>
        <v>0</v>
      </c>
      <c r="AK141" s="125">
        <f>Valores!C$38*B141</f>
        <v>0</v>
      </c>
      <c r="AL141" s="125">
        <f>IF($F$3="NO",0,Valores!$C$56)</f>
        <v>0</v>
      </c>
      <c r="AM141" s="125">
        <f t="shared" si="21"/>
        <v>0</v>
      </c>
      <c r="AN141" s="125">
        <f>AH141*Valores!$C$71</f>
        <v>-23926.973400000003</v>
      </c>
      <c r="AO141" s="125">
        <f>AH141*-Valores!$C$72</f>
        <v>0</v>
      </c>
      <c r="AP141" s="125">
        <f>AH141*Valores!$C$73</f>
        <v>-9788.3073</v>
      </c>
      <c r="AQ141" s="125">
        <f>Valores!$C$100</f>
        <v>-554.86</v>
      </c>
      <c r="AR141" s="125">
        <f>IF($F$5=0,Valores!$C$101,(Valores!$C$101+$F$5*(Valores!$C$101)))</f>
        <v>-550</v>
      </c>
      <c r="AS141" s="125">
        <f t="shared" si="24"/>
        <v>182697.7993</v>
      </c>
      <c r="AT141" s="125">
        <f t="shared" si="18"/>
        <v>-23926.973400000003</v>
      </c>
      <c r="AU141" s="125">
        <f>AH141*Valores!$C$74</f>
        <v>-5872.984380000001</v>
      </c>
      <c r="AV141" s="125">
        <f>AH141*Valores!$C$75</f>
        <v>-652.5538200000001</v>
      </c>
      <c r="AW141" s="125">
        <f t="shared" si="22"/>
        <v>187065.42840000003</v>
      </c>
      <c r="AX141" s="126"/>
      <c r="AY141" s="126">
        <v>22</v>
      </c>
      <c r="AZ141" s="123" t="s">
        <v>4</v>
      </c>
    </row>
    <row r="142" spans="1:52" s="110" customFormat="1" ht="11.25" customHeight="1">
      <c r="A142" s="123" t="s">
        <v>374</v>
      </c>
      <c r="B142" s="123">
        <v>1</v>
      </c>
      <c r="C142" s="126">
        <v>135</v>
      </c>
      <c r="D142" s="124" t="s">
        <v>375</v>
      </c>
      <c r="E142" s="191">
        <v>1278</v>
      </c>
      <c r="F142" s="125">
        <f>ROUND(E142*Valores!$C$2,2)</f>
        <v>51991.34</v>
      </c>
      <c r="G142" s="191">
        <v>0</v>
      </c>
      <c r="H142" s="125">
        <f>ROUND(G142*Valores!$C$2,2)</f>
        <v>0</v>
      </c>
      <c r="I142" s="191">
        <v>0</v>
      </c>
      <c r="J142" s="125">
        <f>ROUND(I142*Valores!$C$2,2)</f>
        <v>0</v>
      </c>
      <c r="K142" s="191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12868.5</v>
      </c>
      <c r="N142" s="125">
        <f t="shared" si="19"/>
        <v>0</v>
      </c>
      <c r="O142" s="125">
        <f>Valores!$C$16</f>
        <v>35154.38</v>
      </c>
      <c r="P142" s="125">
        <f>Valores!$D$5</f>
        <v>20796.54</v>
      </c>
      <c r="Q142" s="125">
        <f>Valores!$C$22</f>
        <v>18553.83</v>
      </c>
      <c r="R142" s="125">
        <f>IF($F$4="NO",Valores!$C$44,Valores!$C$44/2)</f>
        <v>14447.16</v>
      </c>
      <c r="S142" s="125">
        <f>Valores!$C$19</f>
        <v>19351.52</v>
      </c>
      <c r="T142" s="125">
        <f t="shared" si="25"/>
        <v>19351.52</v>
      </c>
      <c r="U142" s="125">
        <v>0</v>
      </c>
      <c r="V142" s="125">
        <v>0</v>
      </c>
      <c r="W142" s="191">
        <v>0</v>
      </c>
      <c r="X142" s="125">
        <f>ROUND(W142*Valores!$C$2,2)</f>
        <v>0</v>
      </c>
      <c r="Y142" s="125">
        <v>0</v>
      </c>
      <c r="Z142" s="125">
        <f>Valores!$C$94</f>
        <v>28478.14</v>
      </c>
      <c r="AA142" s="125">
        <f>Valores!$C$25</f>
        <v>850.59</v>
      </c>
      <c r="AB142" s="210">
        <v>0</v>
      </c>
      <c r="AC142" s="125">
        <f t="shared" si="20"/>
        <v>0</v>
      </c>
      <c r="AD142" s="125">
        <f>Valores!$C$26</f>
        <v>850.59</v>
      </c>
      <c r="AE142" s="191">
        <v>0</v>
      </c>
      <c r="AF142" s="125">
        <f>ROUND(AE142*Valores!$C$2,2)</f>
        <v>0</v>
      </c>
      <c r="AG142" s="125">
        <f>ROUND(IF($F$4="NO",Valores!$C$63,Valores!$C$63/2),2)</f>
        <v>9724.47</v>
      </c>
      <c r="AH142" s="125">
        <f t="shared" si="23"/>
        <v>213067.06000000003</v>
      </c>
      <c r="AI142" s="125">
        <f>Valores!$C$31</f>
        <v>0</v>
      </c>
      <c r="AJ142" s="125">
        <f>Valores!$C$87</f>
        <v>0</v>
      </c>
      <c r="AK142" s="125">
        <f>Valores!C$38*B142</f>
        <v>0</v>
      </c>
      <c r="AL142" s="125">
        <f>IF($F$3="NO",0,Valores!$C$56)</f>
        <v>0</v>
      </c>
      <c r="AM142" s="125">
        <f t="shared" si="21"/>
        <v>0</v>
      </c>
      <c r="AN142" s="125">
        <f>AH142*Valores!$C$71</f>
        <v>-23437.376600000003</v>
      </c>
      <c r="AO142" s="125">
        <f>AH142*-Valores!$C$72</f>
        <v>0</v>
      </c>
      <c r="AP142" s="125">
        <f>AH142*Valores!$C$73</f>
        <v>-9588.0177</v>
      </c>
      <c r="AQ142" s="125">
        <f>Valores!$C$100</f>
        <v>-554.86</v>
      </c>
      <c r="AR142" s="125">
        <f>IF($F$5=0,Valores!$C$101,(Valores!$C$101+$F$5*(Valores!$C$101)))</f>
        <v>-550</v>
      </c>
      <c r="AS142" s="125">
        <f t="shared" si="24"/>
        <v>178936.80570000003</v>
      </c>
      <c r="AT142" s="125">
        <f t="shared" si="18"/>
        <v>-23437.376600000003</v>
      </c>
      <c r="AU142" s="125">
        <f>AH142*Valores!$C$74</f>
        <v>-5752.810620000001</v>
      </c>
      <c r="AV142" s="125">
        <f>AH142*Valores!$C$75</f>
        <v>-639.2011800000001</v>
      </c>
      <c r="AW142" s="125">
        <f t="shared" si="22"/>
        <v>183237.67160000003</v>
      </c>
      <c r="AX142" s="126"/>
      <c r="AY142" s="126">
        <v>22</v>
      </c>
      <c r="AZ142" s="123" t="s">
        <v>4</v>
      </c>
    </row>
    <row r="143" spans="1:52" s="110" customFormat="1" ht="11.25" customHeight="1">
      <c r="A143" s="123" t="s">
        <v>376</v>
      </c>
      <c r="B143" s="123">
        <v>1</v>
      </c>
      <c r="C143" s="126">
        <v>136</v>
      </c>
      <c r="D143" s="124" t="s">
        <v>377</v>
      </c>
      <c r="E143" s="191">
        <v>1278</v>
      </c>
      <c r="F143" s="125">
        <f>ROUND(E143*Valores!$C$2,2)</f>
        <v>51991.34</v>
      </c>
      <c r="G143" s="191">
        <v>0</v>
      </c>
      <c r="H143" s="125">
        <f>ROUND(G143*Valores!$C$2,2)</f>
        <v>0</v>
      </c>
      <c r="I143" s="191">
        <v>0</v>
      </c>
      <c r="J143" s="125">
        <f>ROUND(I143*Valores!$C$2,2)</f>
        <v>0</v>
      </c>
      <c r="K143" s="191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12868.5</v>
      </c>
      <c r="N143" s="125">
        <f t="shared" si="19"/>
        <v>0</v>
      </c>
      <c r="O143" s="125">
        <f>Valores!$C$16</f>
        <v>35154.38</v>
      </c>
      <c r="P143" s="125">
        <f>Valores!$D$5</f>
        <v>20796.54</v>
      </c>
      <c r="Q143" s="125">
        <f>Valores!$C$22</f>
        <v>18553.83</v>
      </c>
      <c r="R143" s="125">
        <f>IF($F$4="NO",Valores!$C$44,Valores!$C$44/2)</f>
        <v>14447.16</v>
      </c>
      <c r="S143" s="125">
        <f>Valores!$C$19</f>
        <v>19351.52</v>
      </c>
      <c r="T143" s="125">
        <f t="shared" si="25"/>
        <v>19351.52</v>
      </c>
      <c r="U143" s="125">
        <v>0</v>
      </c>
      <c r="V143" s="125">
        <v>0</v>
      </c>
      <c r="W143" s="191">
        <v>0</v>
      </c>
      <c r="X143" s="125">
        <f>ROUND(W143*Valores!$C$2,2)</f>
        <v>0</v>
      </c>
      <c r="Y143" s="125">
        <v>0</v>
      </c>
      <c r="Z143" s="125">
        <f>Valores!$C$94</f>
        <v>28478.14</v>
      </c>
      <c r="AA143" s="125">
        <f>Valores!$C$25</f>
        <v>850.59</v>
      </c>
      <c r="AB143" s="210">
        <v>0</v>
      </c>
      <c r="AC143" s="125">
        <f t="shared" si="20"/>
        <v>0</v>
      </c>
      <c r="AD143" s="125">
        <f>Valores!$C$26</f>
        <v>850.59</v>
      </c>
      <c r="AE143" s="191">
        <v>0</v>
      </c>
      <c r="AF143" s="125">
        <f>ROUND(AE143*Valores!$C$2,2)</f>
        <v>0</v>
      </c>
      <c r="AG143" s="125">
        <f>ROUND(IF($F$4="NO",Valores!$C$63,Valores!$C$63/2),2)</f>
        <v>9724.47</v>
      </c>
      <c r="AH143" s="125">
        <f t="shared" si="23"/>
        <v>213067.06000000003</v>
      </c>
      <c r="AI143" s="125">
        <f>Valores!$C$31</f>
        <v>0</v>
      </c>
      <c r="AJ143" s="125">
        <f>Valores!$C$87</f>
        <v>0</v>
      </c>
      <c r="AK143" s="125">
        <f>Valores!C$38*B143</f>
        <v>0</v>
      </c>
      <c r="AL143" s="125">
        <f>IF($F$3="NO",0,Valores!$C$56)</f>
        <v>0</v>
      </c>
      <c r="AM143" s="125">
        <f t="shared" si="21"/>
        <v>0</v>
      </c>
      <c r="AN143" s="125">
        <f>AH143*Valores!$C$71</f>
        <v>-23437.376600000003</v>
      </c>
      <c r="AO143" s="125">
        <f>AH143*-Valores!$C$72</f>
        <v>0</v>
      </c>
      <c r="AP143" s="125">
        <f>AH143*Valores!$C$73</f>
        <v>-9588.0177</v>
      </c>
      <c r="AQ143" s="125">
        <f>Valores!$C$100</f>
        <v>-554.86</v>
      </c>
      <c r="AR143" s="125">
        <f>IF($F$5=0,Valores!$C$101,(Valores!$C$101+$F$5*(Valores!$C$101)))</f>
        <v>-550</v>
      </c>
      <c r="AS143" s="125">
        <f t="shared" si="24"/>
        <v>178936.80570000003</v>
      </c>
      <c r="AT143" s="125">
        <f t="shared" si="18"/>
        <v>-23437.376600000003</v>
      </c>
      <c r="AU143" s="125">
        <f>AH143*Valores!$C$74</f>
        <v>-5752.810620000001</v>
      </c>
      <c r="AV143" s="125">
        <f>AH143*Valores!$C$75</f>
        <v>-639.2011800000001</v>
      </c>
      <c r="AW143" s="125">
        <f t="shared" si="22"/>
        <v>183237.67160000003</v>
      </c>
      <c r="AX143" s="126"/>
      <c r="AY143" s="126"/>
      <c r="AZ143" s="123" t="s">
        <v>4</v>
      </c>
    </row>
    <row r="144" spans="1:52" s="110" customFormat="1" ht="11.25" customHeight="1">
      <c r="A144" s="123" t="s">
        <v>378</v>
      </c>
      <c r="B144" s="123">
        <v>1</v>
      </c>
      <c r="C144" s="126">
        <v>137</v>
      </c>
      <c r="D144" s="124" t="s">
        <v>379</v>
      </c>
      <c r="E144" s="191">
        <v>1278</v>
      </c>
      <c r="F144" s="125">
        <f>ROUND(E144*Valores!$C$2,2)</f>
        <v>51991.34</v>
      </c>
      <c r="G144" s="191">
        <v>0</v>
      </c>
      <c r="H144" s="125">
        <f>ROUND(G144*Valores!$C$2,2)</f>
        <v>0</v>
      </c>
      <c r="I144" s="191">
        <v>0</v>
      </c>
      <c r="J144" s="125">
        <f>ROUND(I144*Valores!$C$2,2)</f>
        <v>0</v>
      </c>
      <c r="K144" s="191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12868.5</v>
      </c>
      <c r="N144" s="125">
        <f t="shared" si="19"/>
        <v>0</v>
      </c>
      <c r="O144" s="125">
        <f>Valores!$C$16</f>
        <v>35154.38</v>
      </c>
      <c r="P144" s="125">
        <f>Valores!$D$5</f>
        <v>20796.54</v>
      </c>
      <c r="Q144" s="125">
        <f>Valores!$C$22</f>
        <v>18553.83</v>
      </c>
      <c r="R144" s="125">
        <f>IF($F$4="NO",Valores!$C$44,Valores!$C$44/2)</f>
        <v>14447.16</v>
      </c>
      <c r="S144" s="125">
        <f>Valores!$C$19</f>
        <v>19351.52</v>
      </c>
      <c r="T144" s="125">
        <f t="shared" si="25"/>
        <v>19351.52</v>
      </c>
      <c r="U144" s="125">
        <v>0</v>
      </c>
      <c r="V144" s="125">
        <v>0</v>
      </c>
      <c r="W144" s="191">
        <v>0</v>
      </c>
      <c r="X144" s="125">
        <f>ROUND(W144*Valores!$C$2,2)</f>
        <v>0</v>
      </c>
      <c r="Y144" s="125">
        <v>0</v>
      </c>
      <c r="Z144" s="125">
        <f>Valores!$C$94</f>
        <v>28478.14</v>
      </c>
      <c r="AA144" s="125">
        <f>Valores!$C$25</f>
        <v>850.59</v>
      </c>
      <c r="AB144" s="210">
        <v>0</v>
      </c>
      <c r="AC144" s="125">
        <f t="shared" si="20"/>
        <v>0</v>
      </c>
      <c r="AD144" s="125">
        <f>Valores!$C$26</f>
        <v>850.59</v>
      </c>
      <c r="AE144" s="191">
        <v>0</v>
      </c>
      <c r="AF144" s="125">
        <f>ROUND(AE144*Valores!$C$2,2)</f>
        <v>0</v>
      </c>
      <c r="AG144" s="125">
        <f>ROUND(IF($F$4="NO",Valores!$C$63,Valores!$C$63/2),2)</f>
        <v>9724.47</v>
      </c>
      <c r="AH144" s="125">
        <f t="shared" si="23"/>
        <v>213067.06000000003</v>
      </c>
      <c r="AI144" s="125">
        <f>Valores!$C$31</f>
        <v>0</v>
      </c>
      <c r="AJ144" s="125">
        <f>Valores!$C$87</f>
        <v>0</v>
      </c>
      <c r="AK144" s="125">
        <f>Valores!C$38*B144</f>
        <v>0</v>
      </c>
      <c r="AL144" s="125">
        <f>IF($F$3="NO",0,Valores!$C$56)</f>
        <v>0</v>
      </c>
      <c r="AM144" s="125">
        <f t="shared" si="21"/>
        <v>0</v>
      </c>
      <c r="AN144" s="125">
        <f>AH144*Valores!$C$71</f>
        <v>-23437.376600000003</v>
      </c>
      <c r="AO144" s="125">
        <f>AH144*-Valores!$C$72</f>
        <v>0</v>
      </c>
      <c r="AP144" s="125">
        <f>AH144*Valores!$C$73</f>
        <v>-9588.0177</v>
      </c>
      <c r="AQ144" s="125">
        <f>Valores!$C$100</f>
        <v>-554.86</v>
      </c>
      <c r="AR144" s="125">
        <f>IF($F$5=0,Valores!$C$101,(Valores!$C$101+$F$5*(Valores!$C$101)))</f>
        <v>-550</v>
      </c>
      <c r="AS144" s="125">
        <f t="shared" si="24"/>
        <v>178936.80570000003</v>
      </c>
      <c r="AT144" s="125">
        <f t="shared" si="18"/>
        <v>-23437.376600000003</v>
      </c>
      <c r="AU144" s="125">
        <f>AH144*Valores!$C$74</f>
        <v>-5752.810620000001</v>
      </c>
      <c r="AV144" s="125">
        <f>AH144*Valores!$C$75</f>
        <v>-639.2011800000001</v>
      </c>
      <c r="AW144" s="125">
        <f t="shared" si="22"/>
        <v>183237.67160000003</v>
      </c>
      <c r="AX144" s="126"/>
      <c r="AY144" s="126">
        <v>20</v>
      </c>
      <c r="AZ144" s="123" t="s">
        <v>4</v>
      </c>
    </row>
    <row r="145" spans="1:52" s="110" customFormat="1" ht="11.25" customHeight="1">
      <c r="A145" s="123" t="s">
        <v>380</v>
      </c>
      <c r="B145" s="123">
        <v>1</v>
      </c>
      <c r="C145" s="126">
        <v>138</v>
      </c>
      <c r="D145" s="124" t="s">
        <v>381</v>
      </c>
      <c r="E145" s="191">
        <v>1278</v>
      </c>
      <c r="F145" s="125">
        <f>ROUND(E145*Valores!$C$2,2)</f>
        <v>51991.34</v>
      </c>
      <c r="G145" s="191">
        <v>0</v>
      </c>
      <c r="H145" s="125">
        <f>ROUND(G145*Valores!$C$2,2)</f>
        <v>0</v>
      </c>
      <c r="I145" s="191">
        <v>0</v>
      </c>
      <c r="J145" s="125">
        <f>ROUND(I145*Valores!$C$2,2)</f>
        <v>0</v>
      </c>
      <c r="K145" s="191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12868.5</v>
      </c>
      <c r="N145" s="125">
        <f t="shared" si="19"/>
        <v>0</v>
      </c>
      <c r="O145" s="125">
        <f>Valores!$C$16</f>
        <v>35154.38</v>
      </c>
      <c r="P145" s="125">
        <f>Valores!$D$5</f>
        <v>20796.54</v>
      </c>
      <c r="Q145" s="125">
        <f>Valores!$C$22</f>
        <v>18553.83</v>
      </c>
      <c r="R145" s="125">
        <f>IF($F$4="NO",Valores!$C$44,Valores!$C$44/2)</f>
        <v>14447.16</v>
      </c>
      <c r="S145" s="125">
        <f>Valores!$C$19</f>
        <v>19351.52</v>
      </c>
      <c r="T145" s="125">
        <f t="shared" si="25"/>
        <v>19351.52</v>
      </c>
      <c r="U145" s="125">
        <v>0</v>
      </c>
      <c r="V145" s="125">
        <v>0</v>
      </c>
      <c r="W145" s="191">
        <v>0</v>
      </c>
      <c r="X145" s="125">
        <f>ROUND(W145*Valores!$C$2,2)</f>
        <v>0</v>
      </c>
      <c r="Y145" s="125">
        <v>0</v>
      </c>
      <c r="Z145" s="125">
        <f>Valores!$C$94</f>
        <v>28478.14</v>
      </c>
      <c r="AA145" s="125">
        <f>Valores!$C$25</f>
        <v>850.59</v>
      </c>
      <c r="AB145" s="210">
        <v>0</v>
      </c>
      <c r="AC145" s="125">
        <f t="shared" si="20"/>
        <v>0</v>
      </c>
      <c r="AD145" s="125">
        <f>Valores!$C$26</f>
        <v>850.59</v>
      </c>
      <c r="AE145" s="191">
        <v>94</v>
      </c>
      <c r="AF145" s="125">
        <f>ROUND(AE145*Valores!$C$2,2)</f>
        <v>3824.09</v>
      </c>
      <c r="AG145" s="125">
        <f>ROUND(IF($F$4="NO",Valores!$C$63,Valores!$C$63/2),2)</f>
        <v>9724.47</v>
      </c>
      <c r="AH145" s="125">
        <f t="shared" si="23"/>
        <v>216891.15000000002</v>
      </c>
      <c r="AI145" s="125">
        <f>Valores!$C$31</f>
        <v>0</v>
      </c>
      <c r="AJ145" s="125">
        <f>Valores!$C$87</f>
        <v>0</v>
      </c>
      <c r="AK145" s="125">
        <f>Valores!C$38*B145</f>
        <v>0</v>
      </c>
      <c r="AL145" s="125">
        <f>IF($F$3="NO",0,Valores!$C$56)</f>
        <v>0</v>
      </c>
      <c r="AM145" s="125">
        <f t="shared" si="21"/>
        <v>0</v>
      </c>
      <c r="AN145" s="125">
        <f>AH145*Valores!$C$71</f>
        <v>-23858.026500000004</v>
      </c>
      <c r="AO145" s="125">
        <f>AH145*-Valores!$C$72</f>
        <v>0</v>
      </c>
      <c r="AP145" s="125">
        <f>AH145*Valores!$C$73</f>
        <v>-9760.10175</v>
      </c>
      <c r="AQ145" s="125">
        <f>Valores!$C$100</f>
        <v>-554.86</v>
      </c>
      <c r="AR145" s="125">
        <f>IF($F$5=0,Valores!$C$101,(Valores!$C$101+$F$5*(Valores!$C$101)))</f>
        <v>-550</v>
      </c>
      <c r="AS145" s="125">
        <f t="shared" si="24"/>
        <v>182168.16175000003</v>
      </c>
      <c r="AT145" s="125">
        <f t="shared" si="18"/>
        <v>-23858.026500000004</v>
      </c>
      <c r="AU145" s="125">
        <f>AH145*Valores!$C$74</f>
        <v>-5856.06105</v>
      </c>
      <c r="AV145" s="125">
        <f>AH145*Valores!$C$75</f>
        <v>-650.6734500000001</v>
      </c>
      <c r="AW145" s="125">
        <f t="shared" si="22"/>
        <v>186526.38900000002</v>
      </c>
      <c r="AX145" s="126"/>
      <c r="AY145" s="126">
        <v>20</v>
      </c>
      <c r="AZ145" s="123" t="s">
        <v>4</v>
      </c>
    </row>
    <row r="146" spans="1:52" s="110" customFormat="1" ht="11.25" customHeight="1">
      <c r="A146" s="123" t="s">
        <v>382</v>
      </c>
      <c r="B146" s="123">
        <v>1</v>
      </c>
      <c r="C146" s="126">
        <v>139</v>
      </c>
      <c r="D146" s="124" t="s">
        <v>383</v>
      </c>
      <c r="E146" s="191">
        <v>1278</v>
      </c>
      <c r="F146" s="125">
        <f>ROUND(E146*Valores!$C$2,2)</f>
        <v>51991.34</v>
      </c>
      <c r="G146" s="191">
        <v>0</v>
      </c>
      <c r="H146" s="125">
        <f>ROUND(G146*Valores!$C$2,2)</f>
        <v>0</v>
      </c>
      <c r="I146" s="191">
        <v>0</v>
      </c>
      <c r="J146" s="125">
        <f>ROUND(I146*Valores!$C$2,2)</f>
        <v>0</v>
      </c>
      <c r="K146" s="191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12868.5</v>
      </c>
      <c r="N146" s="125">
        <f t="shared" si="19"/>
        <v>0</v>
      </c>
      <c r="O146" s="125">
        <f>Valores!$C$16</f>
        <v>35154.38</v>
      </c>
      <c r="P146" s="125">
        <f>Valores!$D$5</f>
        <v>20796.54</v>
      </c>
      <c r="Q146" s="125">
        <f>Valores!$C$22</f>
        <v>18553.83</v>
      </c>
      <c r="R146" s="125">
        <f>IF($F$4="NO",Valores!$C$44,Valores!$C$44/2)</f>
        <v>14447.16</v>
      </c>
      <c r="S146" s="125">
        <f>Valores!$C$19</f>
        <v>19351.52</v>
      </c>
      <c r="T146" s="125">
        <f t="shared" si="25"/>
        <v>19351.52</v>
      </c>
      <c r="U146" s="125">
        <v>0</v>
      </c>
      <c r="V146" s="125">
        <v>0</v>
      </c>
      <c r="W146" s="191">
        <v>0</v>
      </c>
      <c r="X146" s="125">
        <f>ROUND(W146*Valores!$C$2,2)</f>
        <v>0</v>
      </c>
      <c r="Y146" s="125">
        <v>0</v>
      </c>
      <c r="Z146" s="125">
        <f>Valores!$C$94</f>
        <v>28478.14</v>
      </c>
      <c r="AA146" s="125">
        <f>Valores!$C$25</f>
        <v>850.59</v>
      </c>
      <c r="AB146" s="210">
        <v>0</v>
      </c>
      <c r="AC146" s="125">
        <f t="shared" si="20"/>
        <v>0</v>
      </c>
      <c r="AD146" s="125">
        <f>Valores!$C$26</f>
        <v>850.59</v>
      </c>
      <c r="AE146" s="191">
        <v>0</v>
      </c>
      <c r="AF146" s="125">
        <f>ROUND(AE146*Valores!$C$2,2)</f>
        <v>0</v>
      </c>
      <c r="AG146" s="125">
        <f>ROUND(IF($F$4="NO",Valores!$C$63,Valores!$C$63/2),2)</f>
        <v>9724.47</v>
      </c>
      <c r="AH146" s="125">
        <f t="shared" si="23"/>
        <v>213067.06000000003</v>
      </c>
      <c r="AI146" s="125">
        <f>Valores!$C$31</f>
        <v>0</v>
      </c>
      <c r="AJ146" s="125">
        <f>Valores!$C$87</f>
        <v>0</v>
      </c>
      <c r="AK146" s="125">
        <f>Valores!C$38*B146</f>
        <v>0</v>
      </c>
      <c r="AL146" s="125">
        <f>IF($F$3="NO",0,Valores!$C$56)</f>
        <v>0</v>
      </c>
      <c r="AM146" s="125">
        <f t="shared" si="21"/>
        <v>0</v>
      </c>
      <c r="AN146" s="125">
        <f>AH146*Valores!$C$71</f>
        <v>-23437.376600000003</v>
      </c>
      <c r="AO146" s="125">
        <f>AH146*-Valores!$C$72</f>
        <v>0</v>
      </c>
      <c r="AP146" s="125">
        <f>AH146*Valores!$C$73</f>
        <v>-9588.0177</v>
      </c>
      <c r="AQ146" s="125">
        <f>Valores!$C$100</f>
        <v>-554.86</v>
      </c>
      <c r="AR146" s="125">
        <f>IF($F$5=0,Valores!$C$101,(Valores!$C$101+$F$5*(Valores!$C$101)))</f>
        <v>-550</v>
      </c>
      <c r="AS146" s="125">
        <f t="shared" si="24"/>
        <v>178936.80570000003</v>
      </c>
      <c r="AT146" s="125">
        <f t="shared" si="18"/>
        <v>-23437.376600000003</v>
      </c>
      <c r="AU146" s="125">
        <f>AH146*Valores!$C$74</f>
        <v>-5752.810620000001</v>
      </c>
      <c r="AV146" s="125">
        <f>AH146*Valores!$C$75</f>
        <v>-639.2011800000001</v>
      </c>
      <c r="AW146" s="125">
        <f t="shared" si="22"/>
        <v>183237.67160000003</v>
      </c>
      <c r="AX146" s="126"/>
      <c r="AY146" s="126">
        <v>22</v>
      </c>
      <c r="AZ146" s="123" t="s">
        <v>4</v>
      </c>
    </row>
    <row r="147" spans="1:52" s="110" customFormat="1" ht="11.25" customHeight="1">
      <c r="A147" s="123" t="s">
        <v>384</v>
      </c>
      <c r="B147" s="123">
        <v>1</v>
      </c>
      <c r="C147" s="126">
        <v>140</v>
      </c>
      <c r="D147" s="124" t="s">
        <v>385</v>
      </c>
      <c r="E147" s="191">
        <v>1278</v>
      </c>
      <c r="F147" s="125">
        <f>ROUND(E147*Valores!$C$2,2)</f>
        <v>51991.34</v>
      </c>
      <c r="G147" s="191">
        <v>0</v>
      </c>
      <c r="H147" s="125">
        <f>ROUND(G147*Valores!$C$2,2)</f>
        <v>0</v>
      </c>
      <c r="I147" s="191">
        <v>0</v>
      </c>
      <c r="J147" s="125">
        <f>ROUND(I147*Valores!$C$2,2)</f>
        <v>0</v>
      </c>
      <c r="K147" s="191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12838.83</v>
      </c>
      <c r="N147" s="125">
        <f t="shared" si="19"/>
        <v>0</v>
      </c>
      <c r="O147" s="125">
        <f>Valores!$C$16</f>
        <v>35154.38</v>
      </c>
      <c r="P147" s="125">
        <f>Valores!$D$5</f>
        <v>20796.54</v>
      </c>
      <c r="Q147" s="125">
        <v>0</v>
      </c>
      <c r="R147" s="125">
        <f>IF($F$4="NO",Valores!$C$44,Valores!$C$44/2)</f>
        <v>14447.16</v>
      </c>
      <c r="S147" s="125">
        <f>Valores!$C$20</f>
        <v>19153.67</v>
      </c>
      <c r="T147" s="125">
        <f t="shared" si="25"/>
        <v>19153.67</v>
      </c>
      <c r="U147" s="125">
        <v>0</v>
      </c>
      <c r="V147" s="125">
        <v>0</v>
      </c>
      <c r="W147" s="191">
        <v>0</v>
      </c>
      <c r="X147" s="125">
        <f>ROUND(W147*Valores!$C$2,2)</f>
        <v>0</v>
      </c>
      <c r="Y147" s="125">
        <v>0</v>
      </c>
      <c r="Z147" s="125">
        <f>Valores!$C$94</f>
        <v>28478.14</v>
      </c>
      <c r="AA147" s="125">
        <f>Valores!$C$25</f>
        <v>850.59</v>
      </c>
      <c r="AB147" s="210">
        <v>0</v>
      </c>
      <c r="AC147" s="125">
        <f t="shared" si="20"/>
        <v>0</v>
      </c>
      <c r="AD147" s="125">
        <f>Valores!$C$26</f>
        <v>850.59</v>
      </c>
      <c r="AE147" s="191">
        <v>0</v>
      </c>
      <c r="AF147" s="125">
        <f>ROUND(AE147*Valores!$C$2,2)</f>
        <v>0</v>
      </c>
      <c r="AG147" s="125">
        <f>ROUND(IF($F$4="NO",Valores!$C$63,Valores!$C$63/2),2)</f>
        <v>9724.47</v>
      </c>
      <c r="AH147" s="125">
        <f t="shared" si="23"/>
        <v>194285.71</v>
      </c>
      <c r="AI147" s="125">
        <f>Valores!$C$31</f>
        <v>0</v>
      </c>
      <c r="AJ147" s="125">
        <f>Valores!$C$87</f>
        <v>0</v>
      </c>
      <c r="AK147" s="125">
        <f>Valores!C$38*B147</f>
        <v>0</v>
      </c>
      <c r="AL147" s="125">
        <f>IF($F$3="NO",0,Valores!$C$56)</f>
        <v>0</v>
      </c>
      <c r="AM147" s="125">
        <f t="shared" si="21"/>
        <v>0</v>
      </c>
      <c r="AN147" s="125">
        <f>AH147*Valores!$C$71</f>
        <v>-21371.4281</v>
      </c>
      <c r="AO147" s="125">
        <f>AH147*-Valores!$C$72</f>
        <v>0</v>
      </c>
      <c r="AP147" s="125">
        <f>AH147*Valores!$C$73</f>
        <v>-8742.85695</v>
      </c>
      <c r="AQ147" s="125">
        <f>Valores!$C$100</f>
        <v>-554.86</v>
      </c>
      <c r="AR147" s="125">
        <f>IF($F$5=0,Valores!$C$101,(Valores!$C$101+$F$5*(Valores!$C$101)))</f>
        <v>-550</v>
      </c>
      <c r="AS147" s="125">
        <f t="shared" si="24"/>
        <v>163066.56495</v>
      </c>
      <c r="AT147" s="125">
        <f t="shared" si="18"/>
        <v>-21371.4281</v>
      </c>
      <c r="AU147" s="125">
        <f>AH147*Valores!$C$74</f>
        <v>-5245.714169999999</v>
      </c>
      <c r="AV147" s="125">
        <f>AH147*Valores!$C$75</f>
        <v>-582.85713</v>
      </c>
      <c r="AW147" s="125">
        <f t="shared" si="22"/>
        <v>167085.7106</v>
      </c>
      <c r="AX147" s="126"/>
      <c r="AY147" s="126"/>
      <c r="AZ147" s="123" t="s">
        <v>8</v>
      </c>
    </row>
    <row r="148" spans="1:52" s="110" customFormat="1" ht="11.25" customHeight="1">
      <c r="A148" s="123" t="s">
        <v>386</v>
      </c>
      <c r="B148" s="123">
        <v>1</v>
      </c>
      <c r="C148" s="126">
        <v>141</v>
      </c>
      <c r="D148" s="124" t="s">
        <v>387</v>
      </c>
      <c r="E148" s="191">
        <v>1278</v>
      </c>
      <c r="F148" s="125">
        <f>ROUND(E148*Valores!$C$2,2)</f>
        <v>51991.34</v>
      </c>
      <c r="G148" s="191">
        <v>0</v>
      </c>
      <c r="H148" s="125">
        <f>ROUND(G148*Valores!$C$2,2)</f>
        <v>0</v>
      </c>
      <c r="I148" s="191">
        <v>0</v>
      </c>
      <c r="J148" s="125">
        <f>ROUND(I148*Valores!$C$2,2)</f>
        <v>0</v>
      </c>
      <c r="K148" s="191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12838.83</v>
      </c>
      <c r="N148" s="125">
        <f t="shared" si="19"/>
        <v>0</v>
      </c>
      <c r="O148" s="125">
        <f>Valores!$C$16</f>
        <v>35154.38</v>
      </c>
      <c r="P148" s="125">
        <f>Valores!$D$5</f>
        <v>20796.54</v>
      </c>
      <c r="Q148" s="125">
        <v>0</v>
      </c>
      <c r="R148" s="125">
        <f>IF($F$4="NO",Valores!$C$44,Valores!$C$44/2)</f>
        <v>14447.16</v>
      </c>
      <c r="S148" s="125">
        <f>Valores!$C$20</f>
        <v>19153.67</v>
      </c>
      <c r="T148" s="125">
        <f t="shared" si="25"/>
        <v>19153.67</v>
      </c>
      <c r="U148" s="125">
        <v>0</v>
      </c>
      <c r="V148" s="125">
        <v>0</v>
      </c>
      <c r="W148" s="191">
        <v>0</v>
      </c>
      <c r="X148" s="125">
        <f>ROUND(W148*Valores!$C$2,2)</f>
        <v>0</v>
      </c>
      <c r="Y148" s="125">
        <v>0</v>
      </c>
      <c r="Z148" s="125">
        <f>Valores!$C$94</f>
        <v>28478.14</v>
      </c>
      <c r="AA148" s="125">
        <f>Valores!$C$25</f>
        <v>850.59</v>
      </c>
      <c r="AB148" s="210">
        <v>0</v>
      </c>
      <c r="AC148" s="125">
        <f t="shared" si="20"/>
        <v>0</v>
      </c>
      <c r="AD148" s="125">
        <f>Valores!$C$26</f>
        <v>850.59</v>
      </c>
      <c r="AE148" s="191">
        <v>0</v>
      </c>
      <c r="AF148" s="125">
        <f>ROUND(AE148*Valores!$C$2,2)</f>
        <v>0</v>
      </c>
      <c r="AG148" s="125">
        <f>ROUND(IF($F$4="NO",Valores!$C$63,Valores!$C$63/2),2)</f>
        <v>9724.47</v>
      </c>
      <c r="AH148" s="125">
        <f t="shared" si="23"/>
        <v>194285.71</v>
      </c>
      <c r="AI148" s="125">
        <f>Valores!$C$31</f>
        <v>0</v>
      </c>
      <c r="AJ148" s="125">
        <f>Valores!$C$87</f>
        <v>0</v>
      </c>
      <c r="AK148" s="125">
        <f>Valores!C$38*B148</f>
        <v>0</v>
      </c>
      <c r="AL148" s="125">
        <f>IF($F$3="NO",0,Valores!$C$56)</f>
        <v>0</v>
      </c>
      <c r="AM148" s="125">
        <f t="shared" si="21"/>
        <v>0</v>
      </c>
      <c r="AN148" s="125">
        <f>AH148*Valores!$C$71</f>
        <v>-21371.4281</v>
      </c>
      <c r="AO148" s="125">
        <f>AH148*-Valores!$C$72</f>
        <v>0</v>
      </c>
      <c r="AP148" s="125">
        <f>AH148*Valores!$C$73</f>
        <v>-8742.85695</v>
      </c>
      <c r="AQ148" s="125">
        <f>Valores!$C$100</f>
        <v>-554.86</v>
      </c>
      <c r="AR148" s="125">
        <f>IF($F$5=0,Valores!$C$101,(Valores!$C$101+$F$5*(Valores!$C$101)))</f>
        <v>-550</v>
      </c>
      <c r="AS148" s="125">
        <f t="shared" si="24"/>
        <v>163066.56495</v>
      </c>
      <c r="AT148" s="125">
        <f t="shared" si="18"/>
        <v>-21371.4281</v>
      </c>
      <c r="AU148" s="125">
        <f>AH148*Valores!$C$74</f>
        <v>-5245.714169999999</v>
      </c>
      <c r="AV148" s="125">
        <f>AH148*Valores!$C$75</f>
        <v>-582.85713</v>
      </c>
      <c r="AW148" s="125">
        <f t="shared" si="22"/>
        <v>167085.7106</v>
      </c>
      <c r="AX148" s="126"/>
      <c r="AY148" s="126"/>
      <c r="AZ148" s="123" t="s">
        <v>8</v>
      </c>
    </row>
    <row r="149" spans="1:52" s="110" customFormat="1" ht="11.25" customHeight="1">
      <c r="A149" s="123" t="s">
        <v>388</v>
      </c>
      <c r="B149" s="123">
        <v>1</v>
      </c>
      <c r="C149" s="126">
        <v>142</v>
      </c>
      <c r="D149" s="124" t="s">
        <v>389</v>
      </c>
      <c r="E149" s="191">
        <v>1060</v>
      </c>
      <c r="F149" s="125">
        <f>ROUND(E149*Valores!$C$2,2)</f>
        <v>43122.71</v>
      </c>
      <c r="G149" s="191">
        <v>0</v>
      </c>
      <c r="H149" s="125">
        <f>ROUND(G149*Valores!$C$2,2)</f>
        <v>0</v>
      </c>
      <c r="I149" s="191">
        <v>0</v>
      </c>
      <c r="J149" s="125">
        <f>ROUND(I149*Valores!$C$2,2)</f>
        <v>0</v>
      </c>
      <c r="K149" s="191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11538.21</v>
      </c>
      <c r="N149" s="125">
        <f t="shared" si="19"/>
        <v>0</v>
      </c>
      <c r="O149" s="125">
        <f>Valores!$C$16</f>
        <v>35154.38</v>
      </c>
      <c r="P149" s="125">
        <f>Valores!$D$5</f>
        <v>20796.54</v>
      </c>
      <c r="Q149" s="125">
        <f>Valores!$C$22</f>
        <v>18553.83</v>
      </c>
      <c r="R149" s="125">
        <f>IF($F$4="NO",Valores!$C$44,Valores!$C$44/2)</f>
        <v>14447.16</v>
      </c>
      <c r="S149" s="125">
        <f>Valores!$C$19</f>
        <v>19351.52</v>
      </c>
      <c r="T149" s="125">
        <f t="shared" si="25"/>
        <v>19351.52</v>
      </c>
      <c r="U149" s="125">
        <v>0</v>
      </c>
      <c r="V149" s="125">
        <v>0</v>
      </c>
      <c r="W149" s="191">
        <v>0</v>
      </c>
      <c r="X149" s="125">
        <f>ROUND(W149*Valores!$C$2,2)</f>
        <v>0</v>
      </c>
      <c r="Y149" s="125">
        <v>0</v>
      </c>
      <c r="Z149" s="125">
        <f>Valores!$C$94</f>
        <v>28478.14</v>
      </c>
      <c r="AA149" s="125">
        <f>Valores!$C$25</f>
        <v>850.59</v>
      </c>
      <c r="AB149" s="210">
        <v>0</v>
      </c>
      <c r="AC149" s="125">
        <f t="shared" si="20"/>
        <v>0</v>
      </c>
      <c r="AD149" s="125">
        <f>Valores!$C$26</f>
        <v>850.59</v>
      </c>
      <c r="AE149" s="191">
        <v>0</v>
      </c>
      <c r="AF149" s="125">
        <f>ROUND(AE149*Valores!$C$2,2)</f>
        <v>0</v>
      </c>
      <c r="AG149" s="125">
        <f>ROUND(IF($F$4="NO",Valores!$C$63,Valores!$C$63/2),2)</f>
        <v>9724.47</v>
      </c>
      <c r="AH149" s="125">
        <f t="shared" si="23"/>
        <v>202868.13999999998</v>
      </c>
      <c r="AI149" s="125">
        <f>Valores!$C$31</f>
        <v>0</v>
      </c>
      <c r="AJ149" s="125">
        <f>Valores!$C$87</f>
        <v>0</v>
      </c>
      <c r="AK149" s="125">
        <f>Valores!C$38*B149</f>
        <v>0</v>
      </c>
      <c r="AL149" s="125">
        <f>IF($F$3="NO",0,Valores!$C$56)</f>
        <v>0</v>
      </c>
      <c r="AM149" s="125">
        <f t="shared" si="21"/>
        <v>0</v>
      </c>
      <c r="AN149" s="125">
        <f>AH149*Valores!$C$71</f>
        <v>-22315.4954</v>
      </c>
      <c r="AO149" s="125">
        <f>AH149*-Valores!$C$72</f>
        <v>0</v>
      </c>
      <c r="AP149" s="125">
        <f>AH149*Valores!$C$73</f>
        <v>-9129.066299999999</v>
      </c>
      <c r="AQ149" s="125">
        <f>Valores!$C$100</f>
        <v>-554.86</v>
      </c>
      <c r="AR149" s="125">
        <f>IF($F$5=0,Valores!$C$101,(Valores!$C$101+$F$5*(Valores!$C$101)))</f>
        <v>-550</v>
      </c>
      <c r="AS149" s="125">
        <f t="shared" si="24"/>
        <v>170318.71829999998</v>
      </c>
      <c r="AT149" s="125">
        <f t="shared" si="18"/>
        <v>-22315.4954</v>
      </c>
      <c r="AU149" s="125">
        <f>AH149*Valores!$C$74</f>
        <v>-5477.43978</v>
      </c>
      <c r="AV149" s="125">
        <f>AH149*Valores!$C$75</f>
        <v>-608.60442</v>
      </c>
      <c r="AW149" s="125">
        <f t="shared" si="22"/>
        <v>174466.6004</v>
      </c>
      <c r="AX149" s="126"/>
      <c r="AY149" s="126"/>
      <c r="AZ149" s="123" t="s">
        <v>4</v>
      </c>
    </row>
    <row r="150" spans="1:52" s="110" customFormat="1" ht="11.25" customHeight="1">
      <c r="A150" s="123" t="s">
        <v>390</v>
      </c>
      <c r="B150" s="123">
        <v>1</v>
      </c>
      <c r="C150" s="126">
        <v>143</v>
      </c>
      <c r="D150" s="124" t="s">
        <v>391</v>
      </c>
      <c r="E150" s="191">
        <v>1278</v>
      </c>
      <c r="F150" s="125">
        <f>ROUND(E150*Valores!$C$2,2)</f>
        <v>51991.34</v>
      </c>
      <c r="G150" s="191">
        <v>0</v>
      </c>
      <c r="H150" s="125">
        <f>ROUND(G150*Valores!$C$2,2)</f>
        <v>0</v>
      </c>
      <c r="I150" s="191">
        <v>0</v>
      </c>
      <c r="J150" s="125">
        <f>ROUND(I150*Valores!$C$2,2)</f>
        <v>0</v>
      </c>
      <c r="K150" s="191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12838.83</v>
      </c>
      <c r="N150" s="125">
        <f t="shared" si="19"/>
        <v>0</v>
      </c>
      <c r="O150" s="125">
        <f>Valores!$C$16</f>
        <v>35154.38</v>
      </c>
      <c r="P150" s="125">
        <f>Valores!$D$5</f>
        <v>20796.54</v>
      </c>
      <c r="Q150" s="125">
        <f>Valores!$C$22</f>
        <v>18553.83</v>
      </c>
      <c r="R150" s="125">
        <f>IF($F$4="NO",Valores!$C$44,Valores!$C$44/2)</f>
        <v>14447.16</v>
      </c>
      <c r="S150" s="125">
        <f>Valores!$C$20</f>
        <v>19153.67</v>
      </c>
      <c r="T150" s="125">
        <f t="shared" si="25"/>
        <v>19153.67</v>
      </c>
      <c r="U150" s="125">
        <v>0</v>
      </c>
      <c r="V150" s="125">
        <v>0</v>
      </c>
      <c r="W150" s="191">
        <v>0</v>
      </c>
      <c r="X150" s="125">
        <f>ROUND(W150*Valores!$C$2,2)</f>
        <v>0</v>
      </c>
      <c r="Y150" s="125">
        <v>0</v>
      </c>
      <c r="Z150" s="125">
        <f>Valores!$C$94</f>
        <v>28478.14</v>
      </c>
      <c r="AA150" s="125">
        <f>Valores!$C$25</f>
        <v>850.59</v>
      </c>
      <c r="AB150" s="210">
        <v>0</v>
      </c>
      <c r="AC150" s="125">
        <f t="shared" si="20"/>
        <v>0</v>
      </c>
      <c r="AD150" s="125">
        <f>Valores!$C$26</f>
        <v>850.59</v>
      </c>
      <c r="AE150" s="191">
        <v>0</v>
      </c>
      <c r="AF150" s="125">
        <f>ROUND(AE150*Valores!$C$2,2)</f>
        <v>0</v>
      </c>
      <c r="AG150" s="125">
        <f>ROUND(IF($F$4="NO",Valores!$C$63,Valores!$C$63/2),2)</f>
        <v>9724.47</v>
      </c>
      <c r="AH150" s="125">
        <f t="shared" si="23"/>
        <v>212839.54</v>
      </c>
      <c r="AI150" s="125">
        <f>Valores!$C$31</f>
        <v>0</v>
      </c>
      <c r="AJ150" s="125">
        <f>Valores!$C$87</f>
        <v>0</v>
      </c>
      <c r="AK150" s="125">
        <f>Valores!C$38*B150</f>
        <v>0</v>
      </c>
      <c r="AL150" s="125">
        <f>IF($F$3="NO",0,Valores!$C$56)</f>
        <v>0</v>
      </c>
      <c r="AM150" s="125">
        <f t="shared" si="21"/>
        <v>0</v>
      </c>
      <c r="AN150" s="125">
        <f>AH150*Valores!$C$71</f>
        <v>-23412.349400000003</v>
      </c>
      <c r="AO150" s="125">
        <f>AH150*-Valores!$C$72</f>
        <v>0</v>
      </c>
      <c r="AP150" s="125">
        <f>AH150*Valores!$C$73</f>
        <v>-9577.7793</v>
      </c>
      <c r="AQ150" s="125">
        <f>Valores!$C$100</f>
        <v>-554.86</v>
      </c>
      <c r="AR150" s="125">
        <f>IF($F$5=0,Valores!$C$101,(Valores!$C$101+$F$5*(Valores!$C$101)))</f>
        <v>-550</v>
      </c>
      <c r="AS150" s="125">
        <f t="shared" si="24"/>
        <v>178744.5513</v>
      </c>
      <c r="AT150" s="125">
        <f t="shared" si="18"/>
        <v>-23412.349400000003</v>
      </c>
      <c r="AU150" s="125">
        <f>AH150*Valores!$C$74</f>
        <v>-5746.66758</v>
      </c>
      <c r="AV150" s="125">
        <f>AH150*Valores!$C$75</f>
        <v>-638.51862</v>
      </c>
      <c r="AW150" s="125">
        <f t="shared" si="22"/>
        <v>183042.0044</v>
      </c>
      <c r="AX150" s="126"/>
      <c r="AY150" s="126">
        <v>22</v>
      </c>
      <c r="AZ150" s="123" t="s">
        <v>4</v>
      </c>
    </row>
    <row r="151" spans="1:52" s="110" customFormat="1" ht="11.25" customHeight="1">
      <c r="A151" s="123" t="s">
        <v>392</v>
      </c>
      <c r="B151" s="123">
        <v>1</v>
      </c>
      <c r="C151" s="126">
        <v>144</v>
      </c>
      <c r="D151" s="124" t="s">
        <v>393</v>
      </c>
      <c r="E151" s="191">
        <v>1278</v>
      </c>
      <c r="F151" s="125">
        <f>ROUND(E151*Valores!$C$2,2)</f>
        <v>51991.34</v>
      </c>
      <c r="G151" s="191">
        <v>0</v>
      </c>
      <c r="H151" s="125">
        <f>ROUND(G151*Valores!$C$2,2)</f>
        <v>0</v>
      </c>
      <c r="I151" s="191">
        <v>0</v>
      </c>
      <c r="J151" s="125">
        <f>ROUND(I151*Valores!$C$2,2)</f>
        <v>0</v>
      </c>
      <c r="K151" s="191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12868.5</v>
      </c>
      <c r="N151" s="125">
        <f t="shared" si="19"/>
        <v>0</v>
      </c>
      <c r="O151" s="125">
        <f>Valores!$C$16</f>
        <v>35154.38</v>
      </c>
      <c r="P151" s="125">
        <f>Valores!$D$5</f>
        <v>20796.54</v>
      </c>
      <c r="Q151" s="125">
        <f>Valores!$C$22</f>
        <v>18553.83</v>
      </c>
      <c r="R151" s="125">
        <f>IF($F$4="NO",Valores!$C$44,Valores!$C$44/2)</f>
        <v>14447.16</v>
      </c>
      <c r="S151" s="125">
        <f>Valores!$C$19</f>
        <v>19351.52</v>
      </c>
      <c r="T151" s="125">
        <f t="shared" si="25"/>
        <v>19351.52</v>
      </c>
      <c r="U151" s="125">
        <v>0</v>
      </c>
      <c r="V151" s="125">
        <v>0</v>
      </c>
      <c r="W151" s="191">
        <v>0</v>
      </c>
      <c r="X151" s="125">
        <f>ROUND(W151*Valores!$C$2,2)</f>
        <v>0</v>
      </c>
      <c r="Y151" s="125">
        <v>0</v>
      </c>
      <c r="Z151" s="125">
        <f>Valores!$C$94</f>
        <v>28478.14</v>
      </c>
      <c r="AA151" s="125">
        <f>Valores!$C$25</f>
        <v>850.59</v>
      </c>
      <c r="AB151" s="210">
        <v>0</v>
      </c>
      <c r="AC151" s="125">
        <f t="shared" si="20"/>
        <v>0</v>
      </c>
      <c r="AD151" s="125">
        <f>Valores!$C$26</f>
        <v>850.59</v>
      </c>
      <c r="AE151" s="191">
        <v>0</v>
      </c>
      <c r="AF151" s="125">
        <f>ROUND(AE151*Valores!$C$2,2)</f>
        <v>0</v>
      </c>
      <c r="AG151" s="125">
        <f>ROUND(IF($F$4="NO",Valores!$C$63,Valores!$C$63/2),2)</f>
        <v>9724.47</v>
      </c>
      <c r="AH151" s="125">
        <f t="shared" si="23"/>
        <v>213067.06000000003</v>
      </c>
      <c r="AI151" s="125">
        <f>Valores!$C$31</f>
        <v>0</v>
      </c>
      <c r="AJ151" s="125">
        <f>Valores!$C$87</f>
        <v>0</v>
      </c>
      <c r="AK151" s="125">
        <f>Valores!C$38*B151</f>
        <v>0</v>
      </c>
      <c r="AL151" s="125">
        <f>IF($F$3="NO",0,Valores!$C$56)</f>
        <v>0</v>
      </c>
      <c r="AM151" s="125">
        <f t="shared" si="21"/>
        <v>0</v>
      </c>
      <c r="AN151" s="125">
        <f>AH151*Valores!$C$71</f>
        <v>-23437.376600000003</v>
      </c>
      <c r="AO151" s="125">
        <f>AH151*-Valores!$C$72</f>
        <v>0</v>
      </c>
      <c r="AP151" s="125">
        <f>AH151*Valores!$C$73</f>
        <v>-9588.0177</v>
      </c>
      <c r="AQ151" s="125">
        <f>Valores!$C$100</f>
        <v>-554.86</v>
      </c>
      <c r="AR151" s="125">
        <f>IF($F$5=0,Valores!$C$101,(Valores!$C$101+$F$5*(Valores!$C$101)))</f>
        <v>-550</v>
      </c>
      <c r="AS151" s="125">
        <f t="shared" si="24"/>
        <v>178936.80570000003</v>
      </c>
      <c r="AT151" s="125">
        <f t="shared" si="18"/>
        <v>-23437.376600000003</v>
      </c>
      <c r="AU151" s="125">
        <f>AH151*Valores!$C$74</f>
        <v>-5752.810620000001</v>
      </c>
      <c r="AV151" s="125">
        <f>AH151*Valores!$C$75</f>
        <v>-639.2011800000001</v>
      </c>
      <c r="AW151" s="125">
        <f t="shared" si="22"/>
        <v>183237.67160000003</v>
      </c>
      <c r="AX151" s="126"/>
      <c r="AY151" s="126">
        <v>25</v>
      </c>
      <c r="AZ151" s="123" t="s">
        <v>4</v>
      </c>
    </row>
    <row r="152" spans="1:52" s="110" customFormat="1" ht="11.25" customHeight="1">
      <c r="A152" s="123" t="s">
        <v>394</v>
      </c>
      <c r="B152" s="123">
        <v>1</v>
      </c>
      <c r="C152" s="126">
        <v>145</v>
      </c>
      <c r="D152" s="124" t="s">
        <v>395</v>
      </c>
      <c r="E152" s="191">
        <v>1065</v>
      </c>
      <c r="F152" s="125">
        <f>ROUND(E152*Valores!$C$2,2)</f>
        <v>43326.12</v>
      </c>
      <c r="G152" s="191">
        <v>0</v>
      </c>
      <c r="H152" s="125">
        <f>ROUND(G152*Valores!$C$2,2)</f>
        <v>0</v>
      </c>
      <c r="I152" s="191">
        <v>0</v>
      </c>
      <c r="J152" s="125">
        <f>ROUND(I152*Valores!$C$2,2)</f>
        <v>0</v>
      </c>
      <c r="K152" s="191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11446.62</v>
      </c>
      <c r="N152" s="125">
        <f t="shared" si="19"/>
        <v>0</v>
      </c>
      <c r="O152" s="125">
        <f>Valores!$C$16</f>
        <v>35154.38</v>
      </c>
      <c r="P152" s="125">
        <f>Valores!$D$5</f>
        <v>20796.54</v>
      </c>
      <c r="Q152" s="125">
        <f>Valores!$C$23</f>
        <v>17268.68</v>
      </c>
      <c r="R152" s="125">
        <f>IF($F$4="NO",Valores!$C$43,Valores!$C$43/2)</f>
        <v>13633.16</v>
      </c>
      <c r="S152" s="125">
        <f>Valores!$C$19</f>
        <v>19351.52</v>
      </c>
      <c r="T152" s="125">
        <f t="shared" si="25"/>
        <v>19351.52</v>
      </c>
      <c r="U152" s="125">
        <v>0</v>
      </c>
      <c r="V152" s="125">
        <v>0</v>
      </c>
      <c r="W152" s="191">
        <v>0</v>
      </c>
      <c r="X152" s="125">
        <f>ROUND(W152*Valores!$C$2,2)</f>
        <v>0</v>
      </c>
      <c r="Y152" s="125">
        <v>0</v>
      </c>
      <c r="Z152" s="125">
        <f>Valores!$C$94</f>
        <v>28478.14</v>
      </c>
      <c r="AA152" s="125">
        <f>Valores!$C$25</f>
        <v>850.59</v>
      </c>
      <c r="AB152" s="210">
        <v>0</v>
      </c>
      <c r="AC152" s="125">
        <f t="shared" si="20"/>
        <v>0</v>
      </c>
      <c r="AD152" s="125">
        <f>Valores!$C$26</f>
        <v>850.59</v>
      </c>
      <c r="AE152" s="191">
        <v>0</v>
      </c>
      <c r="AF152" s="125">
        <f>ROUND(AE152*Valores!$C$2,2)</f>
        <v>0</v>
      </c>
      <c r="AG152" s="125">
        <f>ROUND(IF($F$4="NO",Valores!$C$63,Valores!$C$63/2),2)</f>
        <v>9724.47</v>
      </c>
      <c r="AH152" s="125">
        <f t="shared" si="23"/>
        <v>200880.80999999997</v>
      </c>
      <c r="AI152" s="125">
        <f>Valores!$C$31</f>
        <v>0</v>
      </c>
      <c r="AJ152" s="125">
        <f>Valores!$C$87</f>
        <v>0</v>
      </c>
      <c r="AK152" s="125">
        <f>Valores!C$38*B152</f>
        <v>0</v>
      </c>
      <c r="AL152" s="125">
        <f>IF($F$3="NO",0,Valores!$C$56)</f>
        <v>0</v>
      </c>
      <c r="AM152" s="125">
        <f t="shared" si="21"/>
        <v>0</v>
      </c>
      <c r="AN152" s="125">
        <f>AH152*Valores!$C$71</f>
        <v>-22096.889099999997</v>
      </c>
      <c r="AO152" s="125">
        <f>AH152*-Valores!$C$72</f>
        <v>0</v>
      </c>
      <c r="AP152" s="125">
        <f>AH152*Valores!$C$73</f>
        <v>-9039.636449999998</v>
      </c>
      <c r="AQ152" s="125">
        <f>Valores!$C$100</f>
        <v>-554.86</v>
      </c>
      <c r="AR152" s="125">
        <f>IF($F$5=0,Valores!$C$101,(Valores!$C$101+$F$5*(Valores!$C$101)))</f>
        <v>-550</v>
      </c>
      <c r="AS152" s="125">
        <f t="shared" si="24"/>
        <v>168639.42444999996</v>
      </c>
      <c r="AT152" s="125">
        <f t="shared" si="18"/>
        <v>-22096.889099999997</v>
      </c>
      <c r="AU152" s="125">
        <f>AH152*Valores!$C$74</f>
        <v>-5423.781869999999</v>
      </c>
      <c r="AV152" s="125">
        <f>AH152*Valores!$C$75</f>
        <v>-602.6424299999999</v>
      </c>
      <c r="AW152" s="125">
        <f t="shared" si="22"/>
        <v>172757.49659999998</v>
      </c>
      <c r="AX152" s="126"/>
      <c r="AY152" s="126">
        <v>25</v>
      </c>
      <c r="AZ152" s="123" t="s">
        <v>4</v>
      </c>
    </row>
    <row r="153" spans="1:52" s="110" customFormat="1" ht="11.25" customHeight="1">
      <c r="A153" s="123" t="s">
        <v>396</v>
      </c>
      <c r="B153" s="123">
        <v>1</v>
      </c>
      <c r="C153" s="126">
        <v>146</v>
      </c>
      <c r="D153" s="124" t="s">
        <v>397</v>
      </c>
      <c r="E153" s="191">
        <v>947</v>
      </c>
      <c r="F153" s="125">
        <f>ROUND(E153*Valores!$C$2,2)</f>
        <v>38525.66</v>
      </c>
      <c r="G153" s="191">
        <v>0</v>
      </c>
      <c r="H153" s="125">
        <f>ROUND(G153*Valores!$C$2,2)</f>
        <v>0</v>
      </c>
      <c r="I153" s="191">
        <v>0</v>
      </c>
      <c r="J153" s="125">
        <f>ROUND(I153*Valores!$C$2,2)</f>
        <v>0</v>
      </c>
      <c r="K153" s="191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10726.55</v>
      </c>
      <c r="N153" s="125">
        <f t="shared" si="19"/>
        <v>0</v>
      </c>
      <c r="O153" s="125">
        <f>Valores!$C$16</f>
        <v>35154.38</v>
      </c>
      <c r="P153" s="125">
        <f>Valores!$D$5</f>
        <v>20796.54</v>
      </c>
      <c r="Q153" s="125">
        <f>Valores!$C$23</f>
        <v>17268.68</v>
      </c>
      <c r="R153" s="125">
        <f>IF($F$4="NO",Valores!$C$43,Valores!$C$43/2)</f>
        <v>13633.16</v>
      </c>
      <c r="S153" s="125">
        <f>Valores!$C$19</f>
        <v>19351.52</v>
      </c>
      <c r="T153" s="125">
        <f t="shared" si="25"/>
        <v>19351.52</v>
      </c>
      <c r="U153" s="125">
        <v>0</v>
      </c>
      <c r="V153" s="125">
        <v>0</v>
      </c>
      <c r="W153" s="191">
        <v>0</v>
      </c>
      <c r="X153" s="125">
        <f>ROUND(W153*Valores!$C$2,2)</f>
        <v>0</v>
      </c>
      <c r="Y153" s="125">
        <v>0</v>
      </c>
      <c r="Z153" s="125">
        <f>Valores!$C$94</f>
        <v>28478.14</v>
      </c>
      <c r="AA153" s="125">
        <f>Valores!$C$25</f>
        <v>850.59</v>
      </c>
      <c r="AB153" s="210">
        <v>0</v>
      </c>
      <c r="AC153" s="125">
        <f t="shared" si="20"/>
        <v>0</v>
      </c>
      <c r="AD153" s="125">
        <f>Valores!$C$26</f>
        <v>850.59</v>
      </c>
      <c r="AE153" s="191">
        <v>0</v>
      </c>
      <c r="AF153" s="125">
        <f>ROUND(AE153*Valores!$C$2,2)</f>
        <v>0</v>
      </c>
      <c r="AG153" s="125">
        <f>ROUND(IF($F$4="NO",Valores!$C$63,Valores!$C$63/2),2)</f>
        <v>9724.47</v>
      </c>
      <c r="AH153" s="125">
        <f t="shared" si="23"/>
        <v>195360.28</v>
      </c>
      <c r="AI153" s="125">
        <f>Valores!$C$31</f>
        <v>0</v>
      </c>
      <c r="AJ153" s="125">
        <f>Valores!$C$87</f>
        <v>0</v>
      </c>
      <c r="AK153" s="125">
        <f>Valores!C$38*B153</f>
        <v>0</v>
      </c>
      <c r="AL153" s="125">
        <f>IF($F$3="NO",0,Valores!$C$56)</f>
        <v>0</v>
      </c>
      <c r="AM153" s="125">
        <f t="shared" si="21"/>
        <v>0</v>
      </c>
      <c r="AN153" s="125">
        <f>AH153*Valores!$C$71</f>
        <v>-21489.6308</v>
      </c>
      <c r="AO153" s="125">
        <f>AH153*-Valores!$C$72</f>
        <v>0</v>
      </c>
      <c r="AP153" s="125">
        <f>AH153*Valores!$C$73</f>
        <v>-8791.212599999999</v>
      </c>
      <c r="AQ153" s="125">
        <f>Valores!$C$100</f>
        <v>-554.86</v>
      </c>
      <c r="AR153" s="125">
        <f>IF($F$5=0,Valores!$C$101,(Valores!$C$101+$F$5*(Valores!$C$101)))</f>
        <v>-550</v>
      </c>
      <c r="AS153" s="125">
        <f t="shared" si="24"/>
        <v>163974.5766</v>
      </c>
      <c r="AT153" s="125">
        <f t="shared" si="18"/>
        <v>-21489.6308</v>
      </c>
      <c r="AU153" s="125">
        <f>AH153*Valores!$C$74</f>
        <v>-5274.72756</v>
      </c>
      <c r="AV153" s="125">
        <f>AH153*Valores!$C$75</f>
        <v>-586.08084</v>
      </c>
      <c r="AW153" s="125">
        <f t="shared" si="22"/>
        <v>168009.8408</v>
      </c>
      <c r="AX153" s="126"/>
      <c r="AY153" s="126">
        <v>22</v>
      </c>
      <c r="AZ153" s="123" t="s">
        <v>4</v>
      </c>
    </row>
    <row r="154" spans="1:52" s="110" customFormat="1" ht="11.25" customHeight="1">
      <c r="A154" s="123" t="s">
        <v>398</v>
      </c>
      <c r="B154" s="123">
        <v>1</v>
      </c>
      <c r="C154" s="126">
        <v>147</v>
      </c>
      <c r="D154" s="124" t="s">
        <v>399</v>
      </c>
      <c r="E154" s="191">
        <v>1800</v>
      </c>
      <c r="F154" s="125">
        <f>ROUND(E154*Valores!$C$2,2)</f>
        <v>73227.24</v>
      </c>
      <c r="G154" s="191">
        <v>0</v>
      </c>
      <c r="H154" s="125">
        <f>ROUND(G154*Valores!$C$2,2)</f>
        <v>0</v>
      </c>
      <c r="I154" s="191">
        <v>0</v>
      </c>
      <c r="J154" s="125">
        <f>ROUND(I154*Valores!$C$2,2)</f>
        <v>0</v>
      </c>
      <c r="K154" s="191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17147.93</v>
      </c>
      <c r="N154" s="125">
        <f t="shared" si="19"/>
        <v>0</v>
      </c>
      <c r="O154" s="125">
        <f>Valores!$C$8</f>
        <v>50989.899999999994</v>
      </c>
      <c r="P154" s="125">
        <f>Valores!$D$5</f>
        <v>20796.54</v>
      </c>
      <c r="Q154" s="125">
        <f>Valores!$C$22</f>
        <v>18553.83</v>
      </c>
      <c r="R154" s="125">
        <f>IF($F$4="NO",Valores!$C$47,Valores!$C$47/2)</f>
        <v>21740.79</v>
      </c>
      <c r="S154" s="125">
        <f>Valores!$C$19</f>
        <v>19351.52</v>
      </c>
      <c r="T154" s="125">
        <f t="shared" si="25"/>
        <v>19351.52</v>
      </c>
      <c r="U154" s="125">
        <v>0</v>
      </c>
      <c r="V154" s="125">
        <v>0</v>
      </c>
      <c r="W154" s="191">
        <v>0</v>
      </c>
      <c r="X154" s="125">
        <f>ROUND(W154*Valores!$C$2,2)</f>
        <v>0</v>
      </c>
      <c r="Y154" s="125">
        <v>0</v>
      </c>
      <c r="Z154" s="125">
        <f>Valores!$C$96</f>
        <v>56956.28</v>
      </c>
      <c r="AA154" s="125">
        <f>Valores!$C$25</f>
        <v>850.59</v>
      </c>
      <c r="AB154" s="210">
        <v>0</v>
      </c>
      <c r="AC154" s="125">
        <f t="shared" si="20"/>
        <v>0</v>
      </c>
      <c r="AD154" s="125">
        <f>Valores!$C$26</f>
        <v>850.59</v>
      </c>
      <c r="AE154" s="191">
        <v>0</v>
      </c>
      <c r="AF154" s="125">
        <f>ROUND(AE154*Valores!$C$2,2)</f>
        <v>0</v>
      </c>
      <c r="AG154" s="125">
        <f>ROUND(IF($F$4="NO",Valores!$C$63,Valores!$C$63/2),2)</f>
        <v>9724.47</v>
      </c>
      <c r="AH154" s="125">
        <f t="shared" si="23"/>
        <v>290189.68000000005</v>
      </c>
      <c r="AI154" s="125">
        <f>Valores!$C$31</f>
        <v>0</v>
      </c>
      <c r="AJ154" s="125">
        <f>Valores!$C$89</f>
        <v>0</v>
      </c>
      <c r="AK154" s="125">
        <f>Valores!C$38*B154</f>
        <v>0</v>
      </c>
      <c r="AL154" s="125">
        <f>IF($F$3="NO",0,Valores!$C$56)</f>
        <v>0</v>
      </c>
      <c r="AM154" s="125">
        <f t="shared" si="21"/>
        <v>0</v>
      </c>
      <c r="AN154" s="125">
        <f>AH154*Valores!$C$71</f>
        <v>-31920.864800000007</v>
      </c>
      <c r="AO154" s="125">
        <f>AH154*-Valores!$C$72</f>
        <v>0</v>
      </c>
      <c r="AP154" s="125">
        <f>AH154*Valores!$C$73</f>
        <v>-13058.535600000001</v>
      </c>
      <c r="AQ154" s="125">
        <f>Valores!$C$100</f>
        <v>-554.86</v>
      </c>
      <c r="AR154" s="125">
        <f>IF($F$5=0,Valores!$C$101,(Valores!$C$101+$F$5*(Valores!$C$101)))</f>
        <v>-550</v>
      </c>
      <c r="AS154" s="125">
        <f t="shared" si="24"/>
        <v>244105.41960000005</v>
      </c>
      <c r="AT154" s="125">
        <f t="shared" si="18"/>
        <v>-31920.864800000007</v>
      </c>
      <c r="AU154" s="125">
        <f>AH154*Valores!$C$74</f>
        <v>-7835.121360000001</v>
      </c>
      <c r="AV154" s="125">
        <f>AH154*Valores!$C$75</f>
        <v>-870.5690400000002</v>
      </c>
      <c r="AW154" s="125">
        <f t="shared" si="22"/>
        <v>249563.12480000005</v>
      </c>
      <c r="AX154" s="126"/>
      <c r="AY154" s="126"/>
      <c r="AZ154" s="123" t="s">
        <v>4</v>
      </c>
    </row>
    <row r="155" spans="1:52" s="110" customFormat="1" ht="11.25" customHeight="1">
      <c r="A155" s="123" t="s">
        <v>400</v>
      </c>
      <c r="B155" s="123">
        <v>1</v>
      </c>
      <c r="C155" s="126">
        <v>148</v>
      </c>
      <c r="D155" s="124" t="s">
        <v>401</v>
      </c>
      <c r="E155" s="191">
        <v>1278</v>
      </c>
      <c r="F155" s="125">
        <f>ROUND(E155*Valores!$C$2,2)</f>
        <v>51991.34</v>
      </c>
      <c r="G155" s="191">
        <v>0</v>
      </c>
      <c r="H155" s="125">
        <f>ROUND(G155*Valores!$C$2,2)</f>
        <v>0</v>
      </c>
      <c r="I155" s="191">
        <v>0</v>
      </c>
      <c r="J155" s="125">
        <f>ROUND(I155*Valores!$C$2,2)</f>
        <v>0</v>
      </c>
      <c r="K155" s="191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12868.5</v>
      </c>
      <c r="N155" s="125">
        <f t="shared" si="19"/>
        <v>0</v>
      </c>
      <c r="O155" s="125">
        <f>Valores!$C$8</f>
        <v>50989.899999999994</v>
      </c>
      <c r="P155" s="125">
        <f>Valores!$D$5</f>
        <v>20796.54</v>
      </c>
      <c r="Q155" s="125">
        <f>Valores!$C$22</f>
        <v>18553.83</v>
      </c>
      <c r="R155" s="125">
        <f>IF($F$4="NO",Valores!$C$44,Valores!$C$44/2)</f>
        <v>14447.16</v>
      </c>
      <c r="S155" s="125">
        <f>Valores!$C$19</f>
        <v>19351.52</v>
      </c>
      <c r="T155" s="125">
        <f t="shared" si="25"/>
        <v>19351.52</v>
      </c>
      <c r="U155" s="125">
        <v>0</v>
      </c>
      <c r="V155" s="125">
        <v>0</v>
      </c>
      <c r="W155" s="191">
        <v>0</v>
      </c>
      <c r="X155" s="125">
        <f>ROUND(W155*Valores!$C$2,2)</f>
        <v>0</v>
      </c>
      <c r="Y155" s="125">
        <v>0</v>
      </c>
      <c r="Z155" s="125">
        <f>Valores!$C$94</f>
        <v>28478.14</v>
      </c>
      <c r="AA155" s="125">
        <f>Valores!$C$25</f>
        <v>850.59</v>
      </c>
      <c r="AB155" s="210">
        <v>0</v>
      </c>
      <c r="AC155" s="125">
        <f t="shared" si="20"/>
        <v>0</v>
      </c>
      <c r="AD155" s="125">
        <f>Valores!$C$26</f>
        <v>850.59</v>
      </c>
      <c r="AE155" s="191">
        <v>0</v>
      </c>
      <c r="AF155" s="125">
        <f>ROUND(AE155*Valores!$C$2,2)</f>
        <v>0</v>
      </c>
      <c r="AG155" s="125">
        <f>ROUND(IF($F$4="NO",Valores!$C$63,Valores!$C$63/2),2)</f>
        <v>9724.47</v>
      </c>
      <c r="AH155" s="125">
        <f t="shared" si="23"/>
        <v>228902.58</v>
      </c>
      <c r="AI155" s="125">
        <f>Valores!$C$31</f>
        <v>0</v>
      </c>
      <c r="AJ155" s="125">
        <f>Valores!$C$87</f>
        <v>0</v>
      </c>
      <c r="AK155" s="125">
        <f>Valores!C$38*B155</f>
        <v>0</v>
      </c>
      <c r="AL155" s="125">
        <f>IF($F$3="NO",0,Valores!$C$56)</f>
        <v>0</v>
      </c>
      <c r="AM155" s="125">
        <f t="shared" si="21"/>
        <v>0</v>
      </c>
      <c r="AN155" s="125">
        <f>AH155*Valores!$C$71</f>
        <v>-25179.283799999997</v>
      </c>
      <c r="AO155" s="125">
        <f>AH155*-Valores!$C$72</f>
        <v>0</v>
      </c>
      <c r="AP155" s="125">
        <f>AH155*Valores!$C$73</f>
        <v>-10300.6161</v>
      </c>
      <c r="AQ155" s="125">
        <f>Valores!$C$100</f>
        <v>-554.86</v>
      </c>
      <c r="AR155" s="125">
        <f>IF($F$5=0,Valores!$C$101,(Valores!$C$101+$F$5*(Valores!$C$101)))</f>
        <v>-550</v>
      </c>
      <c r="AS155" s="125">
        <f t="shared" si="24"/>
        <v>192317.82009999998</v>
      </c>
      <c r="AT155" s="125">
        <f t="shared" si="18"/>
        <v>-25179.283799999997</v>
      </c>
      <c r="AU155" s="125">
        <f>AH155*Valores!$C$74</f>
        <v>-6180.369659999999</v>
      </c>
      <c r="AV155" s="125">
        <f>AH155*Valores!$C$75</f>
        <v>-686.70774</v>
      </c>
      <c r="AW155" s="125">
        <f t="shared" si="22"/>
        <v>196856.21879999997</v>
      </c>
      <c r="AX155" s="126"/>
      <c r="AY155" s="126">
        <v>27</v>
      </c>
      <c r="AZ155" s="123" t="s">
        <v>4</v>
      </c>
    </row>
    <row r="156" spans="1:52" s="110" customFormat="1" ht="11.25" customHeight="1">
      <c r="A156" s="123" t="s">
        <v>402</v>
      </c>
      <c r="B156" s="123">
        <v>1</v>
      </c>
      <c r="C156" s="126">
        <v>149</v>
      </c>
      <c r="D156" s="124" t="s">
        <v>403</v>
      </c>
      <c r="E156" s="191">
        <v>1214</v>
      </c>
      <c r="F156" s="125">
        <f>ROUND(E156*Valores!$C$2,2)</f>
        <v>49387.71</v>
      </c>
      <c r="G156" s="191">
        <v>0</v>
      </c>
      <c r="H156" s="125">
        <f>ROUND(G156*Valores!$C$2,2)</f>
        <v>0</v>
      </c>
      <c r="I156" s="191">
        <v>0</v>
      </c>
      <c r="J156" s="125">
        <f>ROUND(I156*Valores!$C$2,2)</f>
        <v>0</v>
      </c>
      <c r="K156" s="191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12477.96</v>
      </c>
      <c r="N156" s="125">
        <f t="shared" si="19"/>
        <v>0</v>
      </c>
      <c r="O156" s="125">
        <f>Valores!$C$16</f>
        <v>35154.38</v>
      </c>
      <c r="P156" s="125">
        <f>Valores!$D$5</f>
        <v>20796.54</v>
      </c>
      <c r="Q156" s="125">
        <f>Valores!$C$22</f>
        <v>18553.83</v>
      </c>
      <c r="R156" s="125">
        <f>IF($F$4="NO",Valores!$C$44,Valores!$C$44/2)</f>
        <v>14447.16</v>
      </c>
      <c r="S156" s="125">
        <f>Valores!$C$19</f>
        <v>19351.52</v>
      </c>
      <c r="T156" s="125">
        <f t="shared" si="25"/>
        <v>19351.52</v>
      </c>
      <c r="U156" s="125">
        <v>0</v>
      </c>
      <c r="V156" s="125">
        <v>0</v>
      </c>
      <c r="W156" s="191">
        <v>0</v>
      </c>
      <c r="X156" s="125">
        <f>ROUND(W156*Valores!$C$2,2)</f>
        <v>0</v>
      </c>
      <c r="Y156" s="125">
        <v>0</v>
      </c>
      <c r="Z156" s="125">
        <f>Valores!$C$94</f>
        <v>28478.14</v>
      </c>
      <c r="AA156" s="125">
        <f>Valores!$C$25</f>
        <v>850.59</v>
      </c>
      <c r="AB156" s="210">
        <v>0</v>
      </c>
      <c r="AC156" s="125">
        <f t="shared" si="20"/>
        <v>0</v>
      </c>
      <c r="AD156" s="125">
        <f>Valores!$C$26</f>
        <v>850.59</v>
      </c>
      <c r="AE156" s="191">
        <v>0</v>
      </c>
      <c r="AF156" s="125">
        <f>ROUND(AE156*Valores!$C$2,2)</f>
        <v>0</v>
      </c>
      <c r="AG156" s="125">
        <f>ROUND(IF($F$4="NO",Valores!$C$63,Valores!$C$63/2),2)</f>
        <v>9724.47</v>
      </c>
      <c r="AH156" s="125">
        <f t="shared" si="23"/>
        <v>210072.88999999998</v>
      </c>
      <c r="AI156" s="125">
        <f>Valores!$C$31</f>
        <v>0</v>
      </c>
      <c r="AJ156" s="125">
        <f>Valores!$C$87</f>
        <v>0</v>
      </c>
      <c r="AK156" s="125">
        <f>Valores!C$38*B156</f>
        <v>0</v>
      </c>
      <c r="AL156" s="125">
        <f>IF($F$3="NO",0,Valores!$C$56)</f>
        <v>0</v>
      </c>
      <c r="AM156" s="125">
        <f t="shared" si="21"/>
        <v>0</v>
      </c>
      <c r="AN156" s="125">
        <f>AH156*Valores!$C$71</f>
        <v>-23108.0179</v>
      </c>
      <c r="AO156" s="125">
        <f>AH156*-Valores!$C$72</f>
        <v>0</v>
      </c>
      <c r="AP156" s="125">
        <f>AH156*Valores!$C$73</f>
        <v>-9453.28005</v>
      </c>
      <c r="AQ156" s="125">
        <f>Valores!$C$100</f>
        <v>-554.86</v>
      </c>
      <c r="AR156" s="125">
        <f>IF($F$5=0,Valores!$C$101,(Valores!$C$101+$F$5*(Valores!$C$101)))</f>
        <v>-550</v>
      </c>
      <c r="AS156" s="125">
        <f t="shared" si="24"/>
        <v>176406.73205</v>
      </c>
      <c r="AT156" s="125">
        <f t="shared" si="18"/>
        <v>-23108.0179</v>
      </c>
      <c r="AU156" s="125">
        <f>AH156*Valores!$C$74</f>
        <v>-5671.968029999999</v>
      </c>
      <c r="AV156" s="125">
        <f>AH156*Valores!$C$75</f>
        <v>-630.21867</v>
      </c>
      <c r="AW156" s="125">
        <f t="shared" si="22"/>
        <v>180662.6854</v>
      </c>
      <c r="AX156" s="126"/>
      <c r="AY156" s="126"/>
      <c r="AZ156" s="123" t="s">
        <v>4</v>
      </c>
    </row>
    <row r="157" spans="1:52" s="110" customFormat="1" ht="11.25" customHeight="1">
      <c r="A157" s="123" t="s">
        <v>404</v>
      </c>
      <c r="B157" s="123">
        <v>1</v>
      </c>
      <c r="C157" s="126">
        <v>150</v>
      </c>
      <c r="D157" s="124" t="s">
        <v>405</v>
      </c>
      <c r="E157" s="191">
        <f>1106+78</f>
        <v>1184</v>
      </c>
      <c r="F157" s="125">
        <f>ROUND(E157*Valores!$C$2,2)</f>
        <v>48167.25</v>
      </c>
      <c r="G157" s="191">
        <v>0</v>
      </c>
      <c r="H157" s="125">
        <f>ROUND(G157*Valores!$C$2,2)</f>
        <v>0</v>
      </c>
      <c r="I157" s="191">
        <v>0</v>
      </c>
      <c r="J157" s="125">
        <f>ROUND(I157*Valores!$C$2,2)</f>
        <v>0</v>
      </c>
      <c r="K157" s="191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12265.21</v>
      </c>
      <c r="N157" s="125">
        <f t="shared" si="19"/>
        <v>0</v>
      </c>
      <c r="O157" s="125">
        <f>Valores!$C$16</f>
        <v>35154.38</v>
      </c>
      <c r="P157" s="125">
        <f>Valores!$D$5</f>
        <v>20796.54</v>
      </c>
      <c r="Q157" s="125">
        <v>0</v>
      </c>
      <c r="R157" s="125">
        <f>IF($F$4="NO",Valores!$C$44,Valores!$C$44/2)</f>
        <v>14447.16</v>
      </c>
      <c r="S157" s="125">
        <f>Valores!$C$20</f>
        <v>19153.67</v>
      </c>
      <c r="T157" s="125">
        <f t="shared" si="25"/>
        <v>19153.67</v>
      </c>
      <c r="U157" s="125">
        <v>0</v>
      </c>
      <c r="V157" s="125">
        <v>0</v>
      </c>
      <c r="W157" s="191">
        <v>0</v>
      </c>
      <c r="X157" s="125">
        <f>ROUND(W157*Valores!$C$2,2)</f>
        <v>0</v>
      </c>
      <c r="Y157" s="125">
        <v>0</v>
      </c>
      <c r="Z157" s="125">
        <f>Valores!$C$94</f>
        <v>28478.14</v>
      </c>
      <c r="AA157" s="125">
        <f>Valores!$C$25</f>
        <v>850.59</v>
      </c>
      <c r="AB157" s="210">
        <v>0</v>
      </c>
      <c r="AC157" s="125">
        <f t="shared" si="20"/>
        <v>0</v>
      </c>
      <c r="AD157" s="125">
        <f>Valores!$C$26</f>
        <v>850.59</v>
      </c>
      <c r="AE157" s="191">
        <v>0</v>
      </c>
      <c r="AF157" s="125">
        <f>ROUND(AE157*Valores!$C$2,2)</f>
        <v>0</v>
      </c>
      <c r="AG157" s="125">
        <f>ROUND(IF($F$4="NO",Valores!$C$63,Valores!$C$63/2),2)</f>
        <v>9724.47</v>
      </c>
      <c r="AH157" s="125">
        <f t="shared" si="23"/>
        <v>189888.00000000003</v>
      </c>
      <c r="AI157" s="125">
        <f>Valores!$C$31</f>
        <v>0</v>
      </c>
      <c r="AJ157" s="125">
        <f>Valores!$C$87</f>
        <v>0</v>
      </c>
      <c r="AK157" s="125">
        <f>Valores!C$38*B157</f>
        <v>0</v>
      </c>
      <c r="AL157" s="125">
        <f>IF($F$3="NO",0,Valores!$C$56)</f>
        <v>0</v>
      </c>
      <c r="AM157" s="125">
        <f t="shared" si="21"/>
        <v>0</v>
      </c>
      <c r="AN157" s="125">
        <f>AH157*Valores!$C$71</f>
        <v>-20887.680000000004</v>
      </c>
      <c r="AO157" s="125">
        <f>AH157*-Valores!$C$72</f>
        <v>0</v>
      </c>
      <c r="AP157" s="125">
        <f>AH157*Valores!$C$73</f>
        <v>-8544.960000000001</v>
      </c>
      <c r="AQ157" s="125">
        <f>Valores!$C$100</f>
        <v>-554.86</v>
      </c>
      <c r="AR157" s="125">
        <f>IF($F$5=0,Valores!$C$101,(Valores!$C$101+$F$5*(Valores!$C$101)))</f>
        <v>-550</v>
      </c>
      <c r="AS157" s="125">
        <f t="shared" si="24"/>
        <v>159350.50000000003</v>
      </c>
      <c r="AT157" s="125">
        <f t="shared" si="18"/>
        <v>-20887.680000000004</v>
      </c>
      <c r="AU157" s="125">
        <f>AH157*Valores!$C$74</f>
        <v>-5126.976000000001</v>
      </c>
      <c r="AV157" s="125">
        <f>AH157*Valores!$C$75</f>
        <v>-569.6640000000001</v>
      </c>
      <c r="AW157" s="125">
        <f t="shared" si="22"/>
        <v>163303.68000000002</v>
      </c>
      <c r="AX157" s="126"/>
      <c r="AY157" s="126"/>
      <c r="AZ157" s="123" t="s">
        <v>8</v>
      </c>
    </row>
    <row r="158" spans="1:52" s="110" customFormat="1" ht="11.25" customHeight="1">
      <c r="A158" s="123" t="s">
        <v>406</v>
      </c>
      <c r="B158" s="123">
        <v>1</v>
      </c>
      <c r="C158" s="126">
        <v>151</v>
      </c>
      <c r="D158" s="124" t="s">
        <v>407</v>
      </c>
      <c r="E158" s="191">
        <v>971</v>
      </c>
      <c r="F158" s="125">
        <f>ROUND(E158*Valores!$C$2,2)</f>
        <v>39502.03</v>
      </c>
      <c r="G158" s="191">
        <v>0</v>
      </c>
      <c r="H158" s="125">
        <f>ROUND(G158*Valores!$C$2,2)</f>
        <v>0</v>
      </c>
      <c r="I158" s="191">
        <v>0</v>
      </c>
      <c r="J158" s="125">
        <f>ROUND(I158*Valores!$C$2,2)</f>
        <v>0</v>
      </c>
      <c r="K158" s="191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10873.01</v>
      </c>
      <c r="N158" s="125">
        <f t="shared" si="19"/>
        <v>0</v>
      </c>
      <c r="O158" s="125">
        <f>Valores!$C$16</f>
        <v>35154.38</v>
      </c>
      <c r="P158" s="125">
        <f>Valores!$D$5</f>
        <v>20796.54</v>
      </c>
      <c r="Q158" s="125">
        <f>Valores!$C$23</f>
        <v>17268.68</v>
      </c>
      <c r="R158" s="125">
        <f>IF($F$4="NO",Valores!$C$43,Valores!$C$43/2)</f>
        <v>13633.16</v>
      </c>
      <c r="S158" s="125">
        <f>Valores!$C$19</f>
        <v>19351.52</v>
      </c>
      <c r="T158" s="125">
        <f t="shared" si="25"/>
        <v>19351.52</v>
      </c>
      <c r="U158" s="125">
        <v>0</v>
      </c>
      <c r="V158" s="125">
        <v>0</v>
      </c>
      <c r="W158" s="191">
        <v>0</v>
      </c>
      <c r="X158" s="125">
        <f>ROUND(W158*Valores!$C$2,2)</f>
        <v>0</v>
      </c>
      <c r="Y158" s="125">
        <v>0</v>
      </c>
      <c r="Z158" s="125">
        <f>Valores!$C$94</f>
        <v>28478.14</v>
      </c>
      <c r="AA158" s="125">
        <f>Valores!$C$25</f>
        <v>850.59</v>
      </c>
      <c r="AB158" s="210">
        <v>0</v>
      </c>
      <c r="AC158" s="125">
        <f t="shared" si="20"/>
        <v>0</v>
      </c>
      <c r="AD158" s="125">
        <f>Valores!$C$25</f>
        <v>850.59</v>
      </c>
      <c r="AE158" s="191">
        <v>0</v>
      </c>
      <c r="AF158" s="125">
        <f>ROUND(AE158*Valores!$C$2,2)</f>
        <v>0</v>
      </c>
      <c r="AG158" s="125">
        <f>ROUND(IF($F$4="NO",Valores!$C$63,Valores!$C$63/2),2)</f>
        <v>9724.47</v>
      </c>
      <c r="AH158" s="125">
        <f t="shared" si="23"/>
        <v>196483.10999999996</v>
      </c>
      <c r="AI158" s="125">
        <f>Valores!$C$31</f>
        <v>0</v>
      </c>
      <c r="AJ158" s="125">
        <f>Valores!$C$87</f>
        <v>0</v>
      </c>
      <c r="AK158" s="125">
        <f>Valores!C$38*B158</f>
        <v>0</v>
      </c>
      <c r="AL158" s="125">
        <f>(IF($F$3="NO",0,Valores!$C$58))</f>
        <v>0</v>
      </c>
      <c r="AM158" s="125">
        <f t="shared" si="21"/>
        <v>0</v>
      </c>
      <c r="AN158" s="125">
        <f>AH158*Valores!$C$71</f>
        <v>-21613.142099999994</v>
      </c>
      <c r="AO158" s="125">
        <f>AH158*-Valores!$C$72</f>
        <v>0</v>
      </c>
      <c r="AP158" s="125">
        <f>AH158*Valores!$C$73</f>
        <v>-8841.739949999997</v>
      </c>
      <c r="AQ158" s="125">
        <f>Valores!$C$100</f>
        <v>-554.86</v>
      </c>
      <c r="AR158" s="125">
        <f>IF($F$5=0,Valores!$C$101,(Valores!$C$101+$F$5*(Valores!$C$101)))</f>
        <v>-550</v>
      </c>
      <c r="AS158" s="125">
        <f t="shared" si="24"/>
        <v>164923.36794999996</v>
      </c>
      <c r="AT158" s="125">
        <f t="shared" si="18"/>
        <v>-21613.142099999994</v>
      </c>
      <c r="AU158" s="125">
        <f>AH158*Valores!$C$74</f>
        <v>-5305.043969999999</v>
      </c>
      <c r="AV158" s="125">
        <f>AH158*Valores!$C$75</f>
        <v>-589.4493299999999</v>
      </c>
      <c r="AW158" s="125">
        <f t="shared" si="22"/>
        <v>168975.47459999996</v>
      </c>
      <c r="AX158" s="126">
        <v>12</v>
      </c>
      <c r="AY158" s="126">
        <v>12</v>
      </c>
      <c r="AZ158" s="123" t="s">
        <v>4</v>
      </c>
    </row>
    <row r="159" spans="1:52" s="110" customFormat="1" ht="11.25" customHeight="1">
      <c r="A159" s="123" t="s">
        <v>406</v>
      </c>
      <c r="B159" s="123">
        <v>1</v>
      </c>
      <c r="C159" s="126">
        <v>152</v>
      </c>
      <c r="D159" s="124" t="s">
        <v>408</v>
      </c>
      <c r="E159" s="191">
        <v>971</v>
      </c>
      <c r="F159" s="125">
        <f>ROUND(E159*Valores!$C$2,2)</f>
        <v>39502.03</v>
      </c>
      <c r="G159" s="191">
        <v>0</v>
      </c>
      <c r="H159" s="125">
        <f>ROUND(G159*Valores!$C$2,2)</f>
        <v>0</v>
      </c>
      <c r="I159" s="191">
        <v>0</v>
      </c>
      <c r="J159" s="125">
        <f>ROUND(I159*Valores!$C$2,2)</f>
        <v>0</v>
      </c>
      <c r="K159" s="191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14530.06</v>
      </c>
      <c r="N159" s="125">
        <f t="shared" si="19"/>
        <v>0</v>
      </c>
      <c r="O159" s="125">
        <f>Valores!$C$16</f>
        <v>35154.38</v>
      </c>
      <c r="P159" s="125">
        <f>Valores!$D$5</f>
        <v>20796.54</v>
      </c>
      <c r="Q159" s="125">
        <f>Valores!$C$23</f>
        <v>17268.68</v>
      </c>
      <c r="R159" s="125">
        <f>IF($F$4="NO",Valores!$C$47,Valores!$C$47/2)</f>
        <v>21740.79</v>
      </c>
      <c r="S159" s="125">
        <f>Valores!$C$19</f>
        <v>19351.52</v>
      </c>
      <c r="T159" s="125">
        <f t="shared" si="25"/>
        <v>19351.52</v>
      </c>
      <c r="U159" s="125">
        <v>0</v>
      </c>
      <c r="V159" s="125">
        <v>0</v>
      </c>
      <c r="W159" s="191">
        <v>400</v>
      </c>
      <c r="X159" s="125">
        <f>ROUND(W159*Valores!$C$2,2)</f>
        <v>16272.72</v>
      </c>
      <c r="Y159" s="125">
        <f>ROUND(SUM(J159,H159,F159,R159)*Valores!$C$3,2)</f>
        <v>9186.42</v>
      </c>
      <c r="Z159" s="125">
        <f>Valores!$C$94</f>
        <v>28478.14</v>
      </c>
      <c r="AA159" s="125">
        <f>Valores!$C$25</f>
        <v>850.59</v>
      </c>
      <c r="AB159" s="210">
        <v>0</v>
      </c>
      <c r="AC159" s="125">
        <f t="shared" si="20"/>
        <v>0</v>
      </c>
      <c r="AD159" s="125">
        <f>Valores!$C$25</f>
        <v>850.59</v>
      </c>
      <c r="AE159" s="191">
        <v>94</v>
      </c>
      <c r="AF159" s="125">
        <f>ROUND(AE159*Valores!$C$2,2)</f>
        <v>3824.09</v>
      </c>
      <c r="AG159" s="125">
        <f>ROUND(IF($F$4="NO",Valores!$C$63,Valores!$C$63/2),2)</f>
        <v>9724.47</v>
      </c>
      <c r="AH159" s="125">
        <f t="shared" si="23"/>
        <v>237531.02000000002</v>
      </c>
      <c r="AI159" s="125">
        <f>Valores!$C$31</f>
        <v>0</v>
      </c>
      <c r="AJ159" s="125">
        <f>Valores!$C$87</f>
        <v>0</v>
      </c>
      <c r="AK159" s="125">
        <f>Valores!C$38*B159</f>
        <v>0</v>
      </c>
      <c r="AL159" s="125">
        <f>(IF($F$3="NO",0,Valores!$C$58))</f>
        <v>0</v>
      </c>
      <c r="AM159" s="125">
        <f t="shared" si="21"/>
        <v>0</v>
      </c>
      <c r="AN159" s="125">
        <f>AH159*Valores!$C$71</f>
        <v>-26128.412200000002</v>
      </c>
      <c r="AO159" s="125">
        <f>AH159*-Valores!$C$72</f>
        <v>0</v>
      </c>
      <c r="AP159" s="125">
        <f>AH159*Valores!$C$73</f>
        <v>-10688.895900000001</v>
      </c>
      <c r="AQ159" s="125">
        <f>Valores!$C$100</f>
        <v>-554.86</v>
      </c>
      <c r="AR159" s="125">
        <f>IF($F$5=0,Valores!$C$101,(Valores!$C$101+$F$5*(Valores!$C$101)))</f>
        <v>-550</v>
      </c>
      <c r="AS159" s="125">
        <f t="shared" si="24"/>
        <v>199608.8519</v>
      </c>
      <c r="AT159" s="125">
        <f t="shared" si="18"/>
        <v>-26128.412200000002</v>
      </c>
      <c r="AU159" s="125">
        <f>AH159*Valores!$C$74</f>
        <v>-6413.33754</v>
      </c>
      <c r="AV159" s="125">
        <f>AH159*Valores!$C$75</f>
        <v>-712.59306</v>
      </c>
      <c r="AW159" s="125">
        <f t="shared" si="22"/>
        <v>204276.6772</v>
      </c>
      <c r="AX159" s="126">
        <v>12</v>
      </c>
      <c r="AY159" s="126">
        <v>18</v>
      </c>
      <c r="AZ159" s="123" t="s">
        <v>4</v>
      </c>
    </row>
    <row r="160" spans="1:52" s="110" customFormat="1" ht="11.25" customHeight="1">
      <c r="A160" s="123" t="s">
        <v>409</v>
      </c>
      <c r="B160" s="123">
        <v>1</v>
      </c>
      <c r="C160" s="126">
        <v>153</v>
      </c>
      <c r="D160" s="124" t="s">
        <v>410</v>
      </c>
      <c r="E160" s="191">
        <v>810</v>
      </c>
      <c r="F160" s="125">
        <f>ROUND(E160*Valores!$C$2,2)</f>
        <v>32952.26</v>
      </c>
      <c r="G160" s="191">
        <v>0</v>
      </c>
      <c r="H160" s="125">
        <f>ROUND(G160*Valores!$C$2,2)</f>
        <v>0</v>
      </c>
      <c r="I160" s="191">
        <v>0</v>
      </c>
      <c r="J160" s="125">
        <f>ROUND(I160*Valores!$C$2,2)</f>
        <v>0</v>
      </c>
      <c r="K160" s="191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9860.86</v>
      </c>
      <c r="N160" s="125">
        <f t="shared" si="19"/>
        <v>0</v>
      </c>
      <c r="O160" s="125">
        <f>Valores!$C$16</f>
        <v>35154.38</v>
      </c>
      <c r="P160" s="125">
        <f>Valores!$D$5</f>
        <v>20796.54</v>
      </c>
      <c r="Q160" s="125">
        <f>Valores!$C$23</f>
        <v>17268.68</v>
      </c>
      <c r="R160" s="125">
        <f>IF($F$4="NO",Valores!$C$43,Valores!$C$43/2)</f>
        <v>13633.16</v>
      </c>
      <c r="S160" s="125">
        <f>Valores!$C$20</f>
        <v>19153.67</v>
      </c>
      <c r="T160" s="125">
        <f t="shared" si="25"/>
        <v>19153.67</v>
      </c>
      <c r="U160" s="125">
        <v>0</v>
      </c>
      <c r="V160" s="125">
        <v>0</v>
      </c>
      <c r="W160" s="191">
        <v>0</v>
      </c>
      <c r="X160" s="125">
        <f>ROUND(W160*Valores!$C$2,2)</f>
        <v>0</v>
      </c>
      <c r="Y160" s="125">
        <v>0</v>
      </c>
      <c r="Z160" s="125">
        <f>Valores!$C$94</f>
        <v>28478.14</v>
      </c>
      <c r="AA160" s="125">
        <f>Valores!$C$25</f>
        <v>850.59</v>
      </c>
      <c r="AB160" s="210">
        <v>0</v>
      </c>
      <c r="AC160" s="125">
        <f t="shared" si="20"/>
        <v>0</v>
      </c>
      <c r="AD160" s="125">
        <f>Valores!$C$26</f>
        <v>850.59</v>
      </c>
      <c r="AE160" s="191">
        <v>0</v>
      </c>
      <c r="AF160" s="125">
        <f>ROUND(AE160*Valores!$C$2,2)</f>
        <v>0</v>
      </c>
      <c r="AG160" s="125">
        <f>ROUND(IF($F$4="NO",Valores!$C$63,Valores!$C$63/2),2)</f>
        <v>9724.47</v>
      </c>
      <c r="AH160" s="125">
        <f t="shared" si="23"/>
        <v>188723.34</v>
      </c>
      <c r="AI160" s="125">
        <f>Valores!$C$31</f>
        <v>0</v>
      </c>
      <c r="AJ160" s="125">
        <f>Valores!$C$87</f>
        <v>0</v>
      </c>
      <c r="AK160" s="125">
        <f>Valores!C$38*B160</f>
        <v>0</v>
      </c>
      <c r="AL160" s="125">
        <f>IF($F$3="NO",0,Valores!$C$56)</f>
        <v>0</v>
      </c>
      <c r="AM160" s="125">
        <f t="shared" si="21"/>
        <v>0</v>
      </c>
      <c r="AN160" s="125">
        <f>AH160*Valores!$C$71</f>
        <v>-20759.5674</v>
      </c>
      <c r="AO160" s="125">
        <f>AH160*-Valores!$C$72</f>
        <v>0</v>
      </c>
      <c r="AP160" s="125">
        <f>AH160*Valores!$C$73</f>
        <v>-8492.550299999999</v>
      </c>
      <c r="AQ160" s="125">
        <f>Valores!$C$100</f>
        <v>-554.86</v>
      </c>
      <c r="AR160" s="125">
        <f>IF($F$5=0,Valores!$C$101,(Valores!$C$101+$F$5*(Valores!$C$101)))</f>
        <v>-550</v>
      </c>
      <c r="AS160" s="125">
        <f t="shared" si="24"/>
        <v>158366.3623</v>
      </c>
      <c r="AT160" s="125">
        <f t="shared" si="18"/>
        <v>-20759.5674</v>
      </c>
      <c r="AU160" s="125">
        <f>AH160*Valores!$C$74</f>
        <v>-5095.53018</v>
      </c>
      <c r="AV160" s="125">
        <f>AH160*Valores!$C$75</f>
        <v>-566.17002</v>
      </c>
      <c r="AW160" s="125">
        <f t="shared" si="22"/>
        <v>162302.0724</v>
      </c>
      <c r="AX160" s="126"/>
      <c r="AY160" s="126"/>
      <c r="AZ160" s="123" t="s">
        <v>4</v>
      </c>
    </row>
    <row r="161" spans="1:52" s="110" customFormat="1" ht="11.25" customHeight="1">
      <c r="A161" s="123" t="s">
        <v>411</v>
      </c>
      <c r="B161" s="123">
        <v>1</v>
      </c>
      <c r="C161" s="126">
        <v>154</v>
      </c>
      <c r="D161" s="124" t="s">
        <v>412</v>
      </c>
      <c r="E161" s="191">
        <v>1065</v>
      </c>
      <c r="F161" s="125">
        <f>ROUND(E161*Valores!$C$2,2)</f>
        <v>43326.12</v>
      </c>
      <c r="G161" s="191">
        <v>0</v>
      </c>
      <c r="H161" s="125">
        <f>ROUND(G161*Valores!$C$2,2)</f>
        <v>0</v>
      </c>
      <c r="I161" s="191">
        <v>0</v>
      </c>
      <c r="J161" s="125">
        <f>ROUND(I161*Valores!$C$2,2)</f>
        <v>0</v>
      </c>
      <c r="K161" s="191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11446.62</v>
      </c>
      <c r="N161" s="125">
        <f t="shared" si="19"/>
        <v>0</v>
      </c>
      <c r="O161" s="125">
        <f>Valores!$C$16</f>
        <v>35154.38</v>
      </c>
      <c r="P161" s="125">
        <f>Valores!$D$5</f>
        <v>20796.54</v>
      </c>
      <c r="Q161" s="125">
        <f>Valores!$C$23</f>
        <v>17268.68</v>
      </c>
      <c r="R161" s="125">
        <f>IF($F$4="NO",Valores!$C$43,Valores!$C$43/2)</f>
        <v>13633.16</v>
      </c>
      <c r="S161" s="125">
        <f>Valores!$C$19</f>
        <v>19351.52</v>
      </c>
      <c r="T161" s="125">
        <f t="shared" si="25"/>
        <v>19351.52</v>
      </c>
      <c r="U161" s="125">
        <v>0</v>
      </c>
      <c r="V161" s="125">
        <v>0</v>
      </c>
      <c r="W161" s="191">
        <v>0</v>
      </c>
      <c r="X161" s="125">
        <f>ROUND(W161*Valores!$C$2,2)</f>
        <v>0</v>
      </c>
      <c r="Y161" s="125">
        <v>0</v>
      </c>
      <c r="Z161" s="125">
        <f>Valores!$C$94</f>
        <v>28478.14</v>
      </c>
      <c r="AA161" s="125">
        <f>Valores!$C$25</f>
        <v>850.59</v>
      </c>
      <c r="AB161" s="210">
        <v>0</v>
      </c>
      <c r="AC161" s="125">
        <f t="shared" si="20"/>
        <v>0</v>
      </c>
      <c r="AD161" s="125">
        <f>Valores!$C$26</f>
        <v>850.59</v>
      </c>
      <c r="AE161" s="191">
        <v>0</v>
      </c>
      <c r="AF161" s="125">
        <f>ROUND(AE161*Valores!$C$2,2)</f>
        <v>0</v>
      </c>
      <c r="AG161" s="125">
        <f>ROUND(IF($F$4="NO",Valores!$C$63,Valores!$C$63/2),2)</f>
        <v>9724.47</v>
      </c>
      <c r="AH161" s="125">
        <f t="shared" si="23"/>
        <v>200880.80999999997</v>
      </c>
      <c r="AI161" s="125">
        <f>Valores!$C$31</f>
        <v>0</v>
      </c>
      <c r="AJ161" s="125">
        <f>Valores!$C$87</f>
        <v>0</v>
      </c>
      <c r="AK161" s="125">
        <f>Valores!C$38*B161</f>
        <v>0</v>
      </c>
      <c r="AL161" s="125">
        <f>IF($F$3="NO",0,Valores!$C$56)</f>
        <v>0</v>
      </c>
      <c r="AM161" s="125">
        <f t="shared" si="21"/>
        <v>0</v>
      </c>
      <c r="AN161" s="125">
        <f>AH161*Valores!$C$71</f>
        <v>-22096.889099999997</v>
      </c>
      <c r="AO161" s="125">
        <f>AH161*-Valores!$C$72</f>
        <v>0</v>
      </c>
      <c r="AP161" s="125">
        <f>AH161*Valores!$C$73</f>
        <v>-9039.636449999998</v>
      </c>
      <c r="AQ161" s="125">
        <f>Valores!$C$100</f>
        <v>-554.86</v>
      </c>
      <c r="AR161" s="125">
        <f>IF($F$5=0,Valores!$C$101,(Valores!$C$101+$F$5*(Valores!$C$101)))</f>
        <v>-550</v>
      </c>
      <c r="AS161" s="125">
        <f t="shared" si="24"/>
        <v>168639.42444999996</v>
      </c>
      <c r="AT161" s="125">
        <f t="shared" si="18"/>
        <v>-22096.889099999997</v>
      </c>
      <c r="AU161" s="125">
        <f>AH161*Valores!$C$74</f>
        <v>-5423.781869999999</v>
      </c>
      <c r="AV161" s="125">
        <f>AH161*Valores!$C$75</f>
        <v>-602.6424299999999</v>
      </c>
      <c r="AW161" s="125">
        <f t="shared" si="22"/>
        <v>172757.49659999998</v>
      </c>
      <c r="AX161" s="126"/>
      <c r="AY161" s="126">
        <v>27</v>
      </c>
      <c r="AZ161" s="123" t="s">
        <v>4</v>
      </c>
    </row>
    <row r="162" spans="1:52" s="110" customFormat="1" ht="11.25" customHeight="1">
      <c r="A162" s="123" t="s">
        <v>411</v>
      </c>
      <c r="B162" s="123">
        <v>1</v>
      </c>
      <c r="C162" s="126">
        <v>155</v>
      </c>
      <c r="D162" s="124" t="s">
        <v>413</v>
      </c>
      <c r="E162" s="191">
        <v>1065</v>
      </c>
      <c r="F162" s="125">
        <f>ROUND(E162*Valores!$C$2,2)</f>
        <v>43326.12</v>
      </c>
      <c r="G162" s="191">
        <v>0</v>
      </c>
      <c r="H162" s="125">
        <f>ROUND(G162*Valores!$C$2,2)</f>
        <v>0</v>
      </c>
      <c r="I162" s="191">
        <v>0</v>
      </c>
      <c r="J162" s="125">
        <f>ROUND(I162*Valores!$C$2,2)</f>
        <v>0</v>
      </c>
      <c r="K162" s="191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11446.62</v>
      </c>
      <c r="N162" s="125">
        <f t="shared" si="19"/>
        <v>0</v>
      </c>
      <c r="O162" s="125">
        <f>Valores!$C$16</f>
        <v>35154.38</v>
      </c>
      <c r="P162" s="125">
        <f>Valores!$D$5</f>
        <v>20796.54</v>
      </c>
      <c r="Q162" s="125">
        <f>Valores!$C$23</f>
        <v>17268.68</v>
      </c>
      <c r="R162" s="125">
        <f>IF($F$4="NO",Valores!$C$43,Valores!$C$43/2)</f>
        <v>13633.16</v>
      </c>
      <c r="S162" s="125">
        <f>Valores!$C$19</f>
        <v>19351.52</v>
      </c>
      <c r="T162" s="125">
        <f t="shared" si="25"/>
        <v>19351.52</v>
      </c>
      <c r="U162" s="125">
        <v>0</v>
      </c>
      <c r="V162" s="125">
        <v>0</v>
      </c>
      <c r="W162" s="191">
        <v>0</v>
      </c>
      <c r="X162" s="125">
        <f>ROUND(W162*Valores!$C$2,2)</f>
        <v>0</v>
      </c>
      <c r="Y162" s="125">
        <v>0</v>
      </c>
      <c r="Z162" s="125">
        <f>Valores!$C$94</f>
        <v>28478.14</v>
      </c>
      <c r="AA162" s="125">
        <f>Valores!$C$25</f>
        <v>850.59</v>
      </c>
      <c r="AB162" s="210">
        <v>0</v>
      </c>
      <c r="AC162" s="125">
        <f t="shared" si="20"/>
        <v>0</v>
      </c>
      <c r="AD162" s="125">
        <f>Valores!$C$26</f>
        <v>850.59</v>
      </c>
      <c r="AE162" s="191">
        <v>94</v>
      </c>
      <c r="AF162" s="125">
        <f>ROUND(AE162*Valores!$C$2,2)</f>
        <v>3824.09</v>
      </c>
      <c r="AG162" s="125">
        <f>ROUND(IF($F$4="NO",Valores!$C$63,Valores!$C$63/2),2)</f>
        <v>9724.47</v>
      </c>
      <c r="AH162" s="125">
        <f t="shared" si="23"/>
        <v>204704.89999999997</v>
      </c>
      <c r="AI162" s="125">
        <f>Valores!$C$31</f>
        <v>0</v>
      </c>
      <c r="AJ162" s="125">
        <f>Valores!$C$87</f>
        <v>0</v>
      </c>
      <c r="AK162" s="125">
        <f>Valores!C$38*B162</f>
        <v>0</v>
      </c>
      <c r="AL162" s="125">
        <f>IF($F$3="NO",0,Valores!$C$56)</f>
        <v>0</v>
      </c>
      <c r="AM162" s="125">
        <f t="shared" si="21"/>
        <v>0</v>
      </c>
      <c r="AN162" s="125">
        <f>AH162*Valores!$C$71</f>
        <v>-22517.538999999997</v>
      </c>
      <c r="AO162" s="125">
        <f>AH162*-Valores!$C$72</f>
        <v>0</v>
      </c>
      <c r="AP162" s="125">
        <f>AH162*Valores!$C$73</f>
        <v>-9211.720499999998</v>
      </c>
      <c r="AQ162" s="125">
        <f>Valores!$C$100</f>
        <v>-554.86</v>
      </c>
      <c r="AR162" s="125">
        <f>IF($F$5=0,Valores!$C$101,(Valores!$C$101+$F$5*(Valores!$C$101)))</f>
        <v>-550</v>
      </c>
      <c r="AS162" s="125">
        <f t="shared" si="24"/>
        <v>171870.78049999996</v>
      </c>
      <c r="AT162" s="125">
        <f t="shared" si="18"/>
        <v>-22517.538999999997</v>
      </c>
      <c r="AU162" s="125">
        <f>AH162*Valores!$C$74</f>
        <v>-5527.032299999999</v>
      </c>
      <c r="AV162" s="125">
        <f>AH162*Valores!$C$75</f>
        <v>-614.1146999999999</v>
      </c>
      <c r="AW162" s="125">
        <f t="shared" si="22"/>
        <v>176046.21399999998</v>
      </c>
      <c r="AX162" s="126"/>
      <c r="AY162" s="126">
        <v>27</v>
      </c>
      <c r="AZ162" s="123" t="s">
        <v>4</v>
      </c>
    </row>
    <row r="163" spans="1:52" s="110" customFormat="1" ht="11.25" customHeight="1">
      <c r="A163" s="123" t="s">
        <v>414</v>
      </c>
      <c r="B163" s="123">
        <v>1</v>
      </c>
      <c r="C163" s="126">
        <v>156</v>
      </c>
      <c r="D163" s="124" t="s">
        <v>415</v>
      </c>
      <c r="E163" s="191">
        <v>98</v>
      </c>
      <c r="F163" s="125">
        <f>ROUND(E163*Valores!$C$2,2)</f>
        <v>3986.82</v>
      </c>
      <c r="G163" s="191">
        <v>2686</v>
      </c>
      <c r="H163" s="125">
        <f>ROUND(G163*Valores!$C$2,2)</f>
        <v>109271.31</v>
      </c>
      <c r="I163" s="191">
        <v>0</v>
      </c>
      <c r="J163" s="125">
        <f>ROUND(I163*Valores!$C$2,2)</f>
        <v>0</v>
      </c>
      <c r="K163" s="191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27424.16</v>
      </c>
      <c r="N163" s="125">
        <f t="shared" si="19"/>
        <v>0</v>
      </c>
      <c r="O163" s="125">
        <f>Valores!$C$8</f>
        <v>50989.899999999994</v>
      </c>
      <c r="P163" s="125">
        <f>Valores!$D$5</f>
        <v>20796.54</v>
      </c>
      <c r="Q163" s="125">
        <f>Valores!$C$22</f>
        <v>18553.83</v>
      </c>
      <c r="R163" s="125">
        <f>IF($F$4="NO",Valores!$C$47,Valores!$C$47/2)</f>
        <v>21740.79</v>
      </c>
      <c r="S163" s="125">
        <f>Valores!$C$19</f>
        <v>19351.52</v>
      </c>
      <c r="T163" s="125">
        <f t="shared" si="25"/>
        <v>19351.52</v>
      </c>
      <c r="U163" s="125">
        <v>0</v>
      </c>
      <c r="V163" s="125">
        <v>0</v>
      </c>
      <c r="W163" s="191">
        <v>700</v>
      </c>
      <c r="X163" s="125">
        <f>ROUND(W163*Valores!$C$2,2)</f>
        <v>28477.26</v>
      </c>
      <c r="Y163" s="125">
        <f>ROUND(SUM(J163,H163,F163,R163)*Valores!$C$3,2)</f>
        <v>20249.84</v>
      </c>
      <c r="Z163" s="125">
        <f>Valores!$C$96</f>
        <v>56956.28</v>
      </c>
      <c r="AA163" s="125">
        <f>Valores!$C$25</f>
        <v>850.59</v>
      </c>
      <c r="AB163" s="210">
        <v>0</v>
      </c>
      <c r="AC163" s="125">
        <f t="shared" si="20"/>
        <v>0</v>
      </c>
      <c r="AD163" s="125">
        <f>Valores!$C$26</f>
        <v>850.59</v>
      </c>
      <c r="AE163" s="191">
        <v>94</v>
      </c>
      <c r="AF163" s="125">
        <f>ROUND(AE163*Valores!$C$2,2)</f>
        <v>3824.09</v>
      </c>
      <c r="AG163" s="125">
        <f>ROUND(IF($F$4="NO",Valores!$C$63,Valores!$C$63/2),2)</f>
        <v>9724.47</v>
      </c>
      <c r="AH163" s="125">
        <f t="shared" si="23"/>
        <v>393047.99000000005</v>
      </c>
      <c r="AI163" s="125">
        <f>Valores!$C$31</f>
        <v>0</v>
      </c>
      <c r="AJ163" s="125">
        <f>Valores!$C$89</f>
        <v>0</v>
      </c>
      <c r="AK163" s="125">
        <f>Valores!C$38*B163</f>
        <v>0</v>
      </c>
      <c r="AL163" s="125">
        <f>IF($F$3="NO",0,224.5)</f>
        <v>0</v>
      </c>
      <c r="AM163" s="125">
        <f t="shared" si="21"/>
        <v>0</v>
      </c>
      <c r="AN163" s="125">
        <f>AH163*Valores!$C$71</f>
        <v>-43235.278900000005</v>
      </c>
      <c r="AO163" s="125">
        <f>AH163*-Valores!$C$72</f>
        <v>0</v>
      </c>
      <c r="AP163" s="125">
        <f>AH163*Valores!$C$73</f>
        <v>-17687.15955</v>
      </c>
      <c r="AQ163" s="125">
        <f>Valores!$C$100</f>
        <v>-554.86</v>
      </c>
      <c r="AR163" s="125">
        <f>IF($F$5=0,Valores!$C$101,(Valores!$C$101+$F$5*(Valores!$C$101)))</f>
        <v>-550</v>
      </c>
      <c r="AS163" s="125">
        <f t="shared" si="24"/>
        <v>331020.69155000005</v>
      </c>
      <c r="AT163" s="125">
        <f t="shared" si="18"/>
        <v>-43235.278900000005</v>
      </c>
      <c r="AU163" s="125">
        <f>AH163*Valores!$C$74</f>
        <v>-10612.295730000002</v>
      </c>
      <c r="AV163" s="125">
        <f>AH163*Valores!$C$75</f>
        <v>-1179.14397</v>
      </c>
      <c r="AW163" s="125">
        <f t="shared" si="22"/>
        <v>338021.2714</v>
      </c>
      <c r="AX163" s="126"/>
      <c r="AY163" s="126">
        <v>45</v>
      </c>
      <c r="AZ163" s="123" t="s">
        <v>4</v>
      </c>
    </row>
    <row r="164" spans="1:52" s="110" customFormat="1" ht="11.25" customHeight="1">
      <c r="A164" s="123" t="s">
        <v>416</v>
      </c>
      <c r="B164" s="123">
        <v>1</v>
      </c>
      <c r="C164" s="126">
        <v>157</v>
      </c>
      <c r="D164" s="124" t="s">
        <v>417</v>
      </c>
      <c r="E164" s="191">
        <v>93</v>
      </c>
      <c r="F164" s="125">
        <f>ROUND(E164*Valores!$C$2,2)</f>
        <v>3783.41</v>
      </c>
      <c r="G164" s="191">
        <v>2547</v>
      </c>
      <c r="H164" s="125">
        <f>ROUND(G164*Valores!$C$2,2)</f>
        <v>103616.54</v>
      </c>
      <c r="I164" s="191">
        <v>0</v>
      </c>
      <c r="J164" s="125">
        <f>ROUND(I164*Valores!$C$2,2)</f>
        <v>0</v>
      </c>
      <c r="K164" s="191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26545.43</v>
      </c>
      <c r="N164" s="125">
        <f t="shared" si="19"/>
        <v>0</v>
      </c>
      <c r="O164" s="125">
        <f>Valores!$C$16</f>
        <v>35154.38</v>
      </c>
      <c r="P164" s="125">
        <f>Valores!$D$5</f>
        <v>20796.54</v>
      </c>
      <c r="Q164" s="125">
        <f>Valores!$C$22</f>
        <v>18553.83</v>
      </c>
      <c r="R164" s="125">
        <f>IF($F$4="NO",Valores!$C$47,Valores!$C$47/2)</f>
        <v>21740.79</v>
      </c>
      <c r="S164" s="125">
        <f>Valores!$C$19</f>
        <v>19351.52</v>
      </c>
      <c r="T164" s="125">
        <f t="shared" si="25"/>
        <v>19351.52</v>
      </c>
      <c r="U164" s="125">
        <v>0</v>
      </c>
      <c r="V164" s="125">
        <v>0</v>
      </c>
      <c r="W164" s="191">
        <v>700</v>
      </c>
      <c r="X164" s="125">
        <f>ROUND(W164*Valores!$C$2,2)</f>
        <v>28477.26</v>
      </c>
      <c r="Y164" s="125">
        <f>ROUND(SUM(J164,H164,F164,R164)*Valores!$C$3,2)</f>
        <v>19371.11</v>
      </c>
      <c r="Z164" s="125">
        <f>Valores!$C$96</f>
        <v>56956.28</v>
      </c>
      <c r="AA164" s="125">
        <f>Valores!$C$25</f>
        <v>850.59</v>
      </c>
      <c r="AB164" s="210">
        <v>0</v>
      </c>
      <c r="AC164" s="125">
        <f t="shared" si="20"/>
        <v>0</v>
      </c>
      <c r="AD164" s="125">
        <f>Valores!$C$26</f>
        <v>850.59</v>
      </c>
      <c r="AE164" s="191">
        <v>94</v>
      </c>
      <c r="AF164" s="125">
        <f>ROUND(AE164*Valores!$C$2,2)</f>
        <v>3824.09</v>
      </c>
      <c r="AG164" s="125">
        <f>ROUND(IF($F$4="NO",Valores!$C$63,Valores!$C$63/2),2)</f>
        <v>9724.47</v>
      </c>
      <c r="AH164" s="125">
        <f t="shared" si="23"/>
        <v>369596.83</v>
      </c>
      <c r="AI164" s="125">
        <f>Valores!$C$31</f>
        <v>0</v>
      </c>
      <c r="AJ164" s="125">
        <f>Valores!$C$89</f>
        <v>0</v>
      </c>
      <c r="AK164" s="125">
        <f>Valores!C$38*B164</f>
        <v>0</v>
      </c>
      <c r="AL164" s="125">
        <f>IF($F$3="NO",0,224.5)</f>
        <v>0</v>
      </c>
      <c r="AM164" s="125">
        <f t="shared" si="21"/>
        <v>0</v>
      </c>
      <c r="AN164" s="125">
        <f>AH164*Valores!$C$71</f>
        <v>-40655.651300000005</v>
      </c>
      <c r="AO164" s="125">
        <f>AH164*-Valores!$C$72</f>
        <v>0</v>
      </c>
      <c r="AP164" s="125">
        <f>AH164*Valores!$C$73</f>
        <v>-16631.85735</v>
      </c>
      <c r="AQ164" s="125">
        <f>Valores!$C$100</f>
        <v>-554.86</v>
      </c>
      <c r="AR164" s="125">
        <f>IF($F$5=0,Valores!$C$101,(Valores!$C$101+$F$5*(Valores!$C$101)))</f>
        <v>-550</v>
      </c>
      <c r="AS164" s="125">
        <f t="shared" si="24"/>
        <v>311204.46135</v>
      </c>
      <c r="AT164" s="125">
        <f t="shared" si="18"/>
        <v>-40655.651300000005</v>
      </c>
      <c r="AU164" s="125">
        <f>AH164*Valores!$C$74</f>
        <v>-9979.11441</v>
      </c>
      <c r="AV164" s="125">
        <f>AH164*Valores!$C$75</f>
        <v>-1108.79049</v>
      </c>
      <c r="AW164" s="125">
        <f t="shared" si="22"/>
        <v>317853.2738</v>
      </c>
      <c r="AX164" s="126"/>
      <c r="AY164" s="126">
        <v>45</v>
      </c>
      <c r="AZ164" s="123" t="s">
        <v>4</v>
      </c>
    </row>
    <row r="165" spans="1:52" s="110" customFormat="1" ht="11.25" customHeight="1">
      <c r="A165" s="123" t="s">
        <v>418</v>
      </c>
      <c r="B165" s="123">
        <v>1</v>
      </c>
      <c r="C165" s="126">
        <v>158</v>
      </c>
      <c r="D165" s="124" t="s">
        <v>419</v>
      </c>
      <c r="E165" s="191">
        <v>89</v>
      </c>
      <c r="F165" s="125">
        <f>ROUND(E165*Valores!$C$2,2)</f>
        <v>3620.68</v>
      </c>
      <c r="G165" s="191">
        <v>2251</v>
      </c>
      <c r="H165" s="125">
        <f>ROUND(G165*Valores!$C$2,2)</f>
        <v>91574.73</v>
      </c>
      <c r="I165" s="191">
        <v>0</v>
      </c>
      <c r="J165" s="125">
        <f>ROUND(I165*Valores!$C$2,2)</f>
        <v>0</v>
      </c>
      <c r="K165" s="191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24714.75</v>
      </c>
      <c r="N165" s="125">
        <f t="shared" si="19"/>
        <v>0</v>
      </c>
      <c r="O165" s="125">
        <f>Valores!$C$16</f>
        <v>35154.38</v>
      </c>
      <c r="P165" s="125">
        <f>Valores!$D$5</f>
        <v>20796.54</v>
      </c>
      <c r="Q165" s="125">
        <f>Valores!$C$22</f>
        <v>18553.83</v>
      </c>
      <c r="R165" s="125">
        <f>IF($F$4="NO",Valores!$C$47,Valores!$C$47/2)</f>
        <v>21740.79</v>
      </c>
      <c r="S165" s="125">
        <f>Valores!$C$19</f>
        <v>19351.52</v>
      </c>
      <c r="T165" s="125">
        <f t="shared" si="25"/>
        <v>19351.52</v>
      </c>
      <c r="U165" s="125">
        <v>0</v>
      </c>
      <c r="V165" s="125">
        <v>0</v>
      </c>
      <c r="W165" s="191">
        <v>700</v>
      </c>
      <c r="X165" s="125">
        <f>ROUND(W165*Valores!$C$2,2)</f>
        <v>28477.26</v>
      </c>
      <c r="Y165" s="125">
        <f>ROUND(SUM(J165,H165,F165,R165)*Valores!$C$3,2)</f>
        <v>17540.43</v>
      </c>
      <c r="Z165" s="125">
        <f>Valores!$C$96</f>
        <v>56956.28</v>
      </c>
      <c r="AA165" s="125">
        <f>Valores!$C$25</f>
        <v>850.59</v>
      </c>
      <c r="AB165" s="210">
        <v>0</v>
      </c>
      <c r="AC165" s="125">
        <f t="shared" si="20"/>
        <v>0</v>
      </c>
      <c r="AD165" s="125">
        <f>Valores!$C$26</f>
        <v>850.59</v>
      </c>
      <c r="AE165" s="191">
        <v>94</v>
      </c>
      <c r="AF165" s="125">
        <f>ROUND(AE165*Valores!$C$2,2)</f>
        <v>3824.09</v>
      </c>
      <c r="AG165" s="125">
        <f>ROUND(IF($F$4="NO",Valores!$C$63,Valores!$C$63/2),2)</f>
        <v>9724.47</v>
      </c>
      <c r="AH165" s="125">
        <f t="shared" si="23"/>
        <v>353730.93</v>
      </c>
      <c r="AI165" s="125">
        <f>Valores!$C$31</f>
        <v>0</v>
      </c>
      <c r="AJ165" s="125">
        <f>Valores!$C$89</f>
        <v>0</v>
      </c>
      <c r="AK165" s="125">
        <f>Valores!C$38*B165</f>
        <v>0</v>
      </c>
      <c r="AL165" s="125">
        <f>IF($F$3="NO",0,224.5)</f>
        <v>0</v>
      </c>
      <c r="AM165" s="125">
        <f t="shared" si="21"/>
        <v>0</v>
      </c>
      <c r="AN165" s="125">
        <f>AH165*Valores!$C$71</f>
        <v>-38910.4023</v>
      </c>
      <c r="AO165" s="125">
        <f>AH165*-Valores!$C$72</f>
        <v>0</v>
      </c>
      <c r="AP165" s="125">
        <f>AH165*Valores!$C$73</f>
        <v>-15917.89185</v>
      </c>
      <c r="AQ165" s="125">
        <f>Valores!$C$100</f>
        <v>-554.86</v>
      </c>
      <c r="AR165" s="125">
        <f>IF($F$5=0,Valores!$C$101,(Valores!$C$101+$F$5*(Valores!$C$101)))</f>
        <v>-550</v>
      </c>
      <c r="AS165" s="125">
        <f t="shared" si="24"/>
        <v>297797.77585</v>
      </c>
      <c r="AT165" s="125">
        <f t="shared" si="18"/>
        <v>-38910.4023</v>
      </c>
      <c r="AU165" s="125">
        <f>AH165*Valores!$C$74</f>
        <v>-9550.73511</v>
      </c>
      <c r="AV165" s="125">
        <f>AH165*Valores!$C$75</f>
        <v>-1061.19279</v>
      </c>
      <c r="AW165" s="125">
        <f t="shared" si="22"/>
        <v>304208.59979999997</v>
      </c>
      <c r="AX165" s="126"/>
      <c r="AY165" s="126">
        <v>45</v>
      </c>
      <c r="AZ165" s="123" t="s">
        <v>4</v>
      </c>
    </row>
    <row r="166" spans="1:52" s="110" customFormat="1" ht="11.25" customHeight="1">
      <c r="A166" s="123" t="s">
        <v>420</v>
      </c>
      <c r="B166" s="123">
        <v>1</v>
      </c>
      <c r="C166" s="126">
        <v>159</v>
      </c>
      <c r="D166" s="124" t="s">
        <v>421</v>
      </c>
      <c r="E166" s="191">
        <v>83</v>
      </c>
      <c r="F166" s="125">
        <f>ROUND(E166*Valores!$C$2,2)</f>
        <v>3376.59</v>
      </c>
      <c r="G166" s="191">
        <v>2352</v>
      </c>
      <c r="H166" s="125">
        <f>ROUND(G166*Valores!$C$2,2)</f>
        <v>95683.59</v>
      </c>
      <c r="I166" s="191">
        <v>0</v>
      </c>
      <c r="J166" s="125">
        <f>ROUND(I166*Valores!$C$2,2)</f>
        <v>0</v>
      </c>
      <c r="K166" s="191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25294.46</v>
      </c>
      <c r="N166" s="125">
        <f t="shared" si="19"/>
        <v>0</v>
      </c>
      <c r="O166" s="125">
        <f>Valores!$C$16</f>
        <v>35154.38</v>
      </c>
      <c r="P166" s="125">
        <f>Valores!$D$5</f>
        <v>20796.54</v>
      </c>
      <c r="Q166" s="125">
        <v>0</v>
      </c>
      <c r="R166" s="125">
        <f>IF($F$4="NO",Valores!$C$47,Valores!$C$47/2)</f>
        <v>21740.79</v>
      </c>
      <c r="S166" s="125">
        <f>Valores!$C$19</f>
        <v>19351.52</v>
      </c>
      <c r="T166" s="125">
        <f t="shared" si="25"/>
        <v>19351.52</v>
      </c>
      <c r="U166" s="125">
        <v>0</v>
      </c>
      <c r="V166" s="125">
        <v>0</v>
      </c>
      <c r="W166" s="191">
        <v>700</v>
      </c>
      <c r="X166" s="125">
        <f>ROUND(W166*Valores!$C$2,2)</f>
        <v>28477.26</v>
      </c>
      <c r="Y166" s="125">
        <f>ROUND(SUM(J166,H166,F166,R166)*Valores!$C$3,2)</f>
        <v>18120.15</v>
      </c>
      <c r="Z166" s="125">
        <f>Valores!$C$96</f>
        <v>56956.28</v>
      </c>
      <c r="AA166" s="125">
        <f>Valores!$C$25</f>
        <v>850.59</v>
      </c>
      <c r="AB166" s="210">
        <v>0</v>
      </c>
      <c r="AC166" s="125">
        <f t="shared" si="20"/>
        <v>0</v>
      </c>
      <c r="AD166" s="125">
        <f>Valores!$C$26</f>
        <v>850.59</v>
      </c>
      <c r="AE166" s="191">
        <v>94</v>
      </c>
      <c r="AF166" s="125">
        <f>ROUND(AE166*Valores!$C$2,2)</f>
        <v>3824.09</v>
      </c>
      <c r="AG166" s="125">
        <f>ROUND(IF($F$4="NO",Valores!$C$63,Valores!$C$63/2),2)</f>
        <v>9724.47</v>
      </c>
      <c r="AH166" s="125">
        <f t="shared" si="23"/>
        <v>340201.3000000001</v>
      </c>
      <c r="AI166" s="125">
        <f>Valores!$C$31</f>
        <v>0</v>
      </c>
      <c r="AJ166" s="125">
        <f>Valores!$C$89</f>
        <v>0</v>
      </c>
      <c r="AK166" s="125">
        <f>Valores!C$38*B166</f>
        <v>0</v>
      </c>
      <c r="AL166" s="125">
        <v>0</v>
      </c>
      <c r="AM166" s="125">
        <f t="shared" si="21"/>
        <v>0</v>
      </c>
      <c r="AN166" s="125">
        <f>AH166*Valores!$C$71</f>
        <v>-37422.14300000001</v>
      </c>
      <c r="AO166" s="125">
        <f>AH166*-Valores!$C$72</f>
        <v>0</v>
      </c>
      <c r="AP166" s="125">
        <f>AH166*Valores!$C$73</f>
        <v>-15309.058500000005</v>
      </c>
      <c r="AQ166" s="125">
        <f>Valores!$C$100</f>
        <v>-554.86</v>
      </c>
      <c r="AR166" s="125">
        <f>IF($F$5=0,Valores!$C$101,(Valores!$C$101+$F$5*(Valores!$C$101)))</f>
        <v>-550</v>
      </c>
      <c r="AS166" s="125">
        <f t="shared" si="24"/>
        <v>286365.2385000001</v>
      </c>
      <c r="AT166" s="125">
        <f t="shared" si="18"/>
        <v>-37422.14300000001</v>
      </c>
      <c r="AU166" s="125">
        <f>AH166*Valores!$C$74</f>
        <v>-9185.435100000002</v>
      </c>
      <c r="AV166" s="125">
        <f>AH166*Valores!$C$75</f>
        <v>-1020.6039000000003</v>
      </c>
      <c r="AW166" s="125">
        <f t="shared" si="22"/>
        <v>292573.1180000001</v>
      </c>
      <c r="AX166" s="126"/>
      <c r="AY166" s="126">
        <v>45</v>
      </c>
      <c r="AZ166" s="123" t="s">
        <v>8</v>
      </c>
    </row>
    <row r="167" spans="1:52" s="110" customFormat="1" ht="11.25" customHeight="1">
      <c r="A167" s="123" t="s">
        <v>422</v>
      </c>
      <c r="B167" s="123">
        <v>1</v>
      </c>
      <c r="C167" s="126">
        <v>160</v>
      </c>
      <c r="D167" s="124" t="s">
        <v>423</v>
      </c>
      <c r="E167" s="191">
        <v>83</v>
      </c>
      <c r="F167" s="125">
        <f>ROUND(E167*Valores!$C$2,2)</f>
        <v>3376.59</v>
      </c>
      <c r="G167" s="191">
        <v>2092</v>
      </c>
      <c r="H167" s="125">
        <f>ROUND(G167*Valores!$C$2,2)</f>
        <v>85106.33</v>
      </c>
      <c r="I167" s="191">
        <v>0</v>
      </c>
      <c r="J167" s="125">
        <f>ROUND(I167*Valores!$C$2,2)</f>
        <v>0</v>
      </c>
      <c r="K167" s="191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23707.87</v>
      </c>
      <c r="N167" s="125">
        <f t="shared" si="19"/>
        <v>0</v>
      </c>
      <c r="O167" s="125">
        <f>Valores!$C$16</f>
        <v>35154.38</v>
      </c>
      <c r="P167" s="125">
        <f>Valores!$D$5</f>
        <v>20796.54</v>
      </c>
      <c r="Q167" s="125">
        <v>0</v>
      </c>
      <c r="R167" s="125">
        <f>IF($F$4="NO",Valores!$C$47,Valores!$C$47/2)</f>
        <v>21740.79</v>
      </c>
      <c r="S167" s="125">
        <f>Valores!$C$19</f>
        <v>19351.52</v>
      </c>
      <c r="T167" s="125">
        <f t="shared" si="25"/>
        <v>19351.52</v>
      </c>
      <c r="U167" s="125">
        <v>0</v>
      </c>
      <c r="V167" s="125">
        <v>0</v>
      </c>
      <c r="W167" s="191">
        <v>700</v>
      </c>
      <c r="X167" s="125">
        <f>ROUND(W167*Valores!$C$2,2)</f>
        <v>28477.26</v>
      </c>
      <c r="Y167" s="125">
        <f>ROUND(SUM(J167,H167,F167,R167)*Valores!$C$3,2)</f>
        <v>16533.56</v>
      </c>
      <c r="Z167" s="125">
        <f>Valores!$C$96</f>
        <v>56956.28</v>
      </c>
      <c r="AA167" s="125">
        <f>Valores!$C$25</f>
        <v>850.59</v>
      </c>
      <c r="AB167" s="210">
        <v>0</v>
      </c>
      <c r="AC167" s="125">
        <f t="shared" si="20"/>
        <v>0</v>
      </c>
      <c r="AD167" s="125">
        <f>Valores!$C$26</f>
        <v>850.59</v>
      </c>
      <c r="AE167" s="191">
        <v>94</v>
      </c>
      <c r="AF167" s="125">
        <f>ROUND(AE167*Valores!$C$2,2)</f>
        <v>3824.09</v>
      </c>
      <c r="AG167" s="125">
        <f>ROUND(IF($F$4="NO",Valores!$C$63,Valores!$C$63/2),2)</f>
        <v>9724.47</v>
      </c>
      <c r="AH167" s="125">
        <f t="shared" si="23"/>
        <v>326450.86000000004</v>
      </c>
      <c r="AI167" s="125">
        <f>Valores!$C$31</f>
        <v>0</v>
      </c>
      <c r="AJ167" s="125">
        <f>Valores!$C$89</f>
        <v>0</v>
      </c>
      <c r="AK167" s="125">
        <f>Valores!C$38*B167</f>
        <v>0</v>
      </c>
      <c r="AL167" s="125">
        <v>0</v>
      </c>
      <c r="AM167" s="125">
        <f t="shared" si="21"/>
        <v>0</v>
      </c>
      <c r="AN167" s="125">
        <f>AH167*Valores!$C$71</f>
        <v>-35909.594600000004</v>
      </c>
      <c r="AO167" s="125">
        <f>AH167*-Valores!$C$72</f>
        <v>0</v>
      </c>
      <c r="AP167" s="125">
        <f>AH167*Valores!$C$73</f>
        <v>-14690.288700000001</v>
      </c>
      <c r="AQ167" s="125">
        <f>Valores!$C$100</f>
        <v>-554.86</v>
      </c>
      <c r="AR167" s="125">
        <f>IF($F$5=0,Valores!$C$101,(Valores!$C$101+$F$5*(Valores!$C$101)))</f>
        <v>-550</v>
      </c>
      <c r="AS167" s="125">
        <f t="shared" si="24"/>
        <v>274746.1167</v>
      </c>
      <c r="AT167" s="125">
        <f t="shared" si="18"/>
        <v>-35909.594600000004</v>
      </c>
      <c r="AU167" s="125">
        <f>AH167*Valores!$C$74</f>
        <v>-8814.17322</v>
      </c>
      <c r="AV167" s="125">
        <f>AH167*Valores!$C$75</f>
        <v>-979.3525800000001</v>
      </c>
      <c r="AW167" s="125">
        <f t="shared" si="22"/>
        <v>280747.73960000003</v>
      </c>
      <c r="AX167" s="126"/>
      <c r="AY167" s="126">
        <v>45</v>
      </c>
      <c r="AZ167" s="123" t="s">
        <v>8</v>
      </c>
    </row>
    <row r="168" spans="1:52" s="110" customFormat="1" ht="11.25" customHeight="1">
      <c r="A168" s="123" t="s">
        <v>424</v>
      </c>
      <c r="B168" s="123">
        <v>1</v>
      </c>
      <c r="C168" s="126">
        <v>161</v>
      </c>
      <c r="D168" s="124" t="s">
        <v>425</v>
      </c>
      <c r="E168" s="191">
        <v>82</v>
      </c>
      <c r="F168" s="125">
        <f>ROUND(E168*Valores!$C$2,2)</f>
        <v>3335.91</v>
      </c>
      <c r="G168" s="191">
        <v>1941</v>
      </c>
      <c r="H168" s="125">
        <f>ROUND(G168*Valores!$C$2,2)</f>
        <v>78963.37</v>
      </c>
      <c r="I168" s="191">
        <v>0</v>
      </c>
      <c r="J168" s="125">
        <f>ROUND(I168*Valores!$C$2,2)</f>
        <v>0</v>
      </c>
      <c r="K168" s="191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22780.33</v>
      </c>
      <c r="N168" s="125">
        <f t="shared" si="19"/>
        <v>0</v>
      </c>
      <c r="O168" s="125">
        <f>Valores!$C$16</f>
        <v>35154.38</v>
      </c>
      <c r="P168" s="125">
        <f>Valores!$D$5</f>
        <v>20796.54</v>
      </c>
      <c r="Q168" s="125">
        <v>0</v>
      </c>
      <c r="R168" s="125">
        <f>IF($F$4="NO",Valores!$C$47,Valores!$C$47/2)</f>
        <v>21740.79</v>
      </c>
      <c r="S168" s="125">
        <f>Valores!$C$19</f>
        <v>19351.52</v>
      </c>
      <c r="T168" s="125">
        <f t="shared" si="25"/>
        <v>19351.52</v>
      </c>
      <c r="U168" s="125">
        <v>0</v>
      </c>
      <c r="V168" s="125">
        <v>0</v>
      </c>
      <c r="W168" s="191">
        <v>700</v>
      </c>
      <c r="X168" s="125">
        <f>ROUND(W168*Valores!$C$2,2)</f>
        <v>28477.26</v>
      </c>
      <c r="Y168" s="125">
        <f>ROUND(SUM(J168,H168,F168,R168)*Valores!$C$3,2)</f>
        <v>15606.01</v>
      </c>
      <c r="Z168" s="125">
        <f>Valores!$C$96</f>
        <v>56956.28</v>
      </c>
      <c r="AA168" s="125">
        <f>Valores!$C$25</f>
        <v>850.59</v>
      </c>
      <c r="AB168" s="210">
        <v>0</v>
      </c>
      <c r="AC168" s="125">
        <f t="shared" si="20"/>
        <v>0</v>
      </c>
      <c r="AD168" s="125">
        <f>Valores!$C$26</f>
        <v>850.59</v>
      </c>
      <c r="AE168" s="191">
        <v>94</v>
      </c>
      <c r="AF168" s="125">
        <f>ROUND(AE168*Valores!$C$2,2)</f>
        <v>3824.09</v>
      </c>
      <c r="AG168" s="125">
        <f>ROUND(IF($F$4="NO",Valores!$C$63,Valores!$C$63/2),2)</f>
        <v>9724.47</v>
      </c>
      <c r="AH168" s="125">
        <f t="shared" si="23"/>
        <v>318412.13000000006</v>
      </c>
      <c r="AI168" s="125">
        <f>Valores!$C$31</f>
        <v>0</v>
      </c>
      <c r="AJ168" s="125">
        <f>Valores!$C$89</f>
        <v>0</v>
      </c>
      <c r="AK168" s="125">
        <f>Valores!C$38*B168</f>
        <v>0</v>
      </c>
      <c r="AL168" s="125">
        <v>0</v>
      </c>
      <c r="AM168" s="125">
        <f t="shared" si="21"/>
        <v>0</v>
      </c>
      <c r="AN168" s="125">
        <f>AH168*Valores!$C$71</f>
        <v>-35025.33430000001</v>
      </c>
      <c r="AO168" s="125">
        <f>AH168*-Valores!$C$72</f>
        <v>0</v>
      </c>
      <c r="AP168" s="125">
        <f>AH168*Valores!$C$73</f>
        <v>-14328.545850000002</v>
      </c>
      <c r="AQ168" s="125">
        <f>Valores!$C$100</f>
        <v>-554.86</v>
      </c>
      <c r="AR168" s="125">
        <f>IF($F$5=0,Valores!$C$101,(Valores!$C$101+$F$5*(Valores!$C$101)))</f>
        <v>-550</v>
      </c>
      <c r="AS168" s="125">
        <f t="shared" si="24"/>
        <v>267953.38985000004</v>
      </c>
      <c r="AT168" s="125">
        <f t="shared" si="18"/>
        <v>-35025.33430000001</v>
      </c>
      <c r="AU168" s="125">
        <f>AH168*Valores!$C$74</f>
        <v>-8597.127510000002</v>
      </c>
      <c r="AV168" s="125">
        <f>AH168*Valores!$C$75</f>
        <v>-955.2363900000003</v>
      </c>
      <c r="AW168" s="125">
        <f t="shared" si="22"/>
        <v>273834.4318000001</v>
      </c>
      <c r="AX168" s="126"/>
      <c r="AY168" s="126">
        <v>45</v>
      </c>
      <c r="AZ168" s="123" t="s">
        <v>8</v>
      </c>
    </row>
    <row r="169" spans="1:52" s="110" customFormat="1" ht="11.25" customHeight="1">
      <c r="A169" s="123" t="s">
        <v>426</v>
      </c>
      <c r="B169" s="123">
        <v>1</v>
      </c>
      <c r="C169" s="126">
        <v>162</v>
      </c>
      <c r="D169" s="124" t="s">
        <v>427</v>
      </c>
      <c r="E169" s="191">
        <v>79</v>
      </c>
      <c r="F169" s="125">
        <f>ROUND(E169*Valores!$C$2,2)</f>
        <v>3213.86</v>
      </c>
      <c r="G169" s="191">
        <v>2161</v>
      </c>
      <c r="H169" s="125">
        <f>ROUND(G169*Valores!$C$2,2)</f>
        <v>87913.37</v>
      </c>
      <c r="I169" s="191">
        <v>0</v>
      </c>
      <c r="J169" s="125">
        <f>ROUND(I169*Valores!$C$2,2)</f>
        <v>0</v>
      </c>
      <c r="K169" s="191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24104.52</v>
      </c>
      <c r="N169" s="125">
        <f t="shared" si="19"/>
        <v>0</v>
      </c>
      <c r="O169" s="125">
        <f>Valores!$C$16</f>
        <v>35154.38</v>
      </c>
      <c r="P169" s="125">
        <f>Valores!$D$5</f>
        <v>20796.54</v>
      </c>
      <c r="Q169" s="125">
        <v>0</v>
      </c>
      <c r="R169" s="125">
        <f>IF($F$4="NO",Valores!$C$47,Valores!$C$47/2)</f>
        <v>21740.79</v>
      </c>
      <c r="S169" s="125">
        <f>Valores!$C$19</f>
        <v>19351.52</v>
      </c>
      <c r="T169" s="125">
        <f t="shared" si="25"/>
        <v>19351.52</v>
      </c>
      <c r="U169" s="125">
        <v>0</v>
      </c>
      <c r="V169" s="125">
        <v>0</v>
      </c>
      <c r="W169" s="191">
        <v>700</v>
      </c>
      <c r="X169" s="125">
        <f>ROUND(W169*Valores!$C$2,2)</f>
        <v>28477.26</v>
      </c>
      <c r="Y169" s="125">
        <f>ROUND(SUM(J169,H169,F169,R169)*Valores!$C$3,2)</f>
        <v>16930.2</v>
      </c>
      <c r="Z169" s="125">
        <f>Valores!$C$96</f>
        <v>56956.28</v>
      </c>
      <c r="AA169" s="125">
        <f>Valores!$C$25</f>
        <v>850.59</v>
      </c>
      <c r="AB169" s="210">
        <v>0</v>
      </c>
      <c r="AC169" s="125">
        <f t="shared" si="20"/>
        <v>0</v>
      </c>
      <c r="AD169" s="125">
        <f>Valores!$C$26</f>
        <v>850.59</v>
      </c>
      <c r="AE169" s="191">
        <v>94</v>
      </c>
      <c r="AF169" s="125">
        <f>ROUND(AE169*Valores!$C$2,2)</f>
        <v>3824.09</v>
      </c>
      <c r="AG169" s="125">
        <f>ROUND(IF($F$4="NO",Valores!$C$63,Valores!$C$63/2),2)</f>
        <v>9724.47</v>
      </c>
      <c r="AH169" s="125">
        <f t="shared" si="23"/>
        <v>329888.4600000001</v>
      </c>
      <c r="AI169" s="125">
        <f>Valores!$C$31</f>
        <v>0</v>
      </c>
      <c r="AJ169" s="125">
        <f>Valores!$C$89</f>
        <v>0</v>
      </c>
      <c r="AK169" s="125">
        <f>Valores!C$38*B169</f>
        <v>0</v>
      </c>
      <c r="AL169" s="125">
        <v>0</v>
      </c>
      <c r="AM169" s="125">
        <f t="shared" si="21"/>
        <v>0</v>
      </c>
      <c r="AN169" s="125">
        <f>AH169*Valores!$C$71</f>
        <v>-36287.73060000001</v>
      </c>
      <c r="AO169" s="125">
        <f>AH169*-Valores!$C$72</f>
        <v>0</v>
      </c>
      <c r="AP169" s="125">
        <f>AH169*Valores!$C$73</f>
        <v>-14844.980700000004</v>
      </c>
      <c r="AQ169" s="125">
        <f>Valores!$C$100</f>
        <v>-554.86</v>
      </c>
      <c r="AR169" s="125">
        <f>IF($F$5=0,Valores!$C$101,(Valores!$C$101+$F$5*(Valores!$C$101)))</f>
        <v>-550</v>
      </c>
      <c r="AS169" s="125">
        <f t="shared" si="24"/>
        <v>277650.88870000007</v>
      </c>
      <c r="AT169" s="125">
        <f t="shared" si="18"/>
        <v>-36287.73060000001</v>
      </c>
      <c r="AU169" s="125">
        <f>AH169*Valores!$C$74</f>
        <v>-8906.988420000001</v>
      </c>
      <c r="AV169" s="125">
        <f>AH169*Valores!$C$75</f>
        <v>-989.6653800000003</v>
      </c>
      <c r="AW169" s="125">
        <f t="shared" si="22"/>
        <v>283704.0756000001</v>
      </c>
      <c r="AX169" s="126"/>
      <c r="AY169" s="126">
        <v>45</v>
      </c>
      <c r="AZ169" s="123" t="s">
        <v>8</v>
      </c>
    </row>
    <row r="170" spans="1:52" s="110" customFormat="1" ht="11.25" customHeight="1">
      <c r="A170" s="123" t="s">
        <v>428</v>
      </c>
      <c r="B170" s="123">
        <v>1</v>
      </c>
      <c r="C170" s="126">
        <v>163</v>
      </c>
      <c r="D170" s="124" t="s">
        <v>429</v>
      </c>
      <c r="E170" s="191">
        <v>98</v>
      </c>
      <c r="F170" s="125">
        <f>ROUND(E170*Valores!$C$2,2)</f>
        <v>3986.82</v>
      </c>
      <c r="G170" s="191">
        <v>2686</v>
      </c>
      <c r="H170" s="125">
        <f>ROUND(G170*Valores!$C$2,2)</f>
        <v>109271.31</v>
      </c>
      <c r="I170" s="191">
        <v>0</v>
      </c>
      <c r="J170" s="125">
        <f>ROUND(I170*Valores!$C$2,2)</f>
        <v>0</v>
      </c>
      <c r="K170" s="191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27424.16</v>
      </c>
      <c r="N170" s="125">
        <f t="shared" si="19"/>
        <v>0</v>
      </c>
      <c r="O170" s="125">
        <f>Valores!$C$16</f>
        <v>35154.38</v>
      </c>
      <c r="P170" s="125">
        <f>Valores!$D$5</f>
        <v>20796.54</v>
      </c>
      <c r="Q170" s="125">
        <v>0</v>
      </c>
      <c r="R170" s="125">
        <f>IF($F$4="NO",Valores!$C$47,Valores!$C$47/2)</f>
        <v>21740.79</v>
      </c>
      <c r="S170" s="125">
        <f>Valores!$C$19</f>
        <v>19351.52</v>
      </c>
      <c r="T170" s="125">
        <f t="shared" si="25"/>
        <v>19351.52</v>
      </c>
      <c r="U170" s="125">
        <v>0</v>
      </c>
      <c r="V170" s="125">
        <v>0</v>
      </c>
      <c r="W170" s="191">
        <v>700</v>
      </c>
      <c r="X170" s="125">
        <f>ROUND(W170*Valores!$C$2,2)</f>
        <v>28477.26</v>
      </c>
      <c r="Y170" s="125">
        <f>ROUND(SUM(J170,H170,F170,R170)*Valores!$C$3,2)</f>
        <v>20249.84</v>
      </c>
      <c r="Z170" s="125">
        <f>Valores!$C$96</f>
        <v>56956.28</v>
      </c>
      <c r="AA170" s="125">
        <f>Valores!$C$25</f>
        <v>850.59</v>
      </c>
      <c r="AB170" s="210">
        <v>0</v>
      </c>
      <c r="AC170" s="125">
        <f t="shared" si="20"/>
        <v>0</v>
      </c>
      <c r="AD170" s="125">
        <f>Valores!$C$26</f>
        <v>850.59</v>
      </c>
      <c r="AE170" s="191">
        <v>0</v>
      </c>
      <c r="AF170" s="125">
        <f>ROUND(AE170*Valores!$C$2,2)</f>
        <v>0</v>
      </c>
      <c r="AG170" s="125">
        <f>ROUND(IF($F$4="NO",Valores!$C$63,Valores!$C$63/2),2)</f>
        <v>9724.47</v>
      </c>
      <c r="AH170" s="125">
        <f t="shared" si="23"/>
        <v>354834.55000000005</v>
      </c>
      <c r="AI170" s="125">
        <f>Valores!$C$31</f>
        <v>0</v>
      </c>
      <c r="AJ170" s="125">
        <f>Valores!$C$89</f>
        <v>0</v>
      </c>
      <c r="AK170" s="125">
        <f>Valores!C$38*B170</f>
        <v>0</v>
      </c>
      <c r="AL170" s="125">
        <v>0</v>
      </c>
      <c r="AM170" s="125">
        <f t="shared" si="21"/>
        <v>0</v>
      </c>
      <c r="AN170" s="125">
        <f>AH170*Valores!$C$71</f>
        <v>-39031.800500000005</v>
      </c>
      <c r="AO170" s="125">
        <f>AH170*-Valores!$C$72</f>
        <v>0</v>
      </c>
      <c r="AP170" s="125">
        <f>AH170*Valores!$C$73</f>
        <v>-15967.554750000001</v>
      </c>
      <c r="AQ170" s="125">
        <f>Valores!$C$100</f>
        <v>-554.86</v>
      </c>
      <c r="AR170" s="125">
        <f>IF($F$5=0,Valores!$C$101,(Valores!$C$101+$F$5*(Valores!$C$101)))</f>
        <v>-550</v>
      </c>
      <c r="AS170" s="125">
        <f t="shared" si="24"/>
        <v>298730.33475000004</v>
      </c>
      <c r="AT170" s="125">
        <f t="shared" si="18"/>
        <v>-39031.800500000005</v>
      </c>
      <c r="AU170" s="125">
        <f>AH170*Valores!$C$74</f>
        <v>-9580.532850000001</v>
      </c>
      <c r="AV170" s="125">
        <f>AH170*Valores!$C$75</f>
        <v>-1064.50365</v>
      </c>
      <c r="AW170" s="125">
        <f t="shared" si="22"/>
        <v>305157.71300000005</v>
      </c>
      <c r="AX170" s="126"/>
      <c r="AY170" s="126"/>
      <c r="AZ170" s="123" t="s">
        <v>8</v>
      </c>
    </row>
    <row r="171" spans="1:52" s="110" customFormat="1" ht="11.25" customHeight="1">
      <c r="A171" s="123" t="s">
        <v>430</v>
      </c>
      <c r="B171" s="123">
        <v>1</v>
      </c>
      <c r="C171" s="126">
        <v>164</v>
      </c>
      <c r="D171" s="124" t="s">
        <v>431</v>
      </c>
      <c r="E171" s="191">
        <v>93</v>
      </c>
      <c r="F171" s="125">
        <f>ROUND(E171*Valores!$C$2,2)</f>
        <v>3783.41</v>
      </c>
      <c r="G171" s="191">
        <v>2547</v>
      </c>
      <c r="H171" s="125">
        <f>ROUND(G171*Valores!$C$2,2)</f>
        <v>103616.54</v>
      </c>
      <c r="I171" s="191">
        <v>0</v>
      </c>
      <c r="J171" s="125">
        <f>ROUND(I171*Valores!$C$2,2)</f>
        <v>0</v>
      </c>
      <c r="K171" s="191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26545.43</v>
      </c>
      <c r="N171" s="125">
        <f t="shared" si="19"/>
        <v>0</v>
      </c>
      <c r="O171" s="125">
        <f>Valores!$C$16</f>
        <v>35154.38</v>
      </c>
      <c r="P171" s="125">
        <f>Valores!$D$5</f>
        <v>20796.54</v>
      </c>
      <c r="Q171" s="125">
        <v>0</v>
      </c>
      <c r="R171" s="125">
        <f>IF($F$4="NO",Valores!$C$47,Valores!$C$47/2)</f>
        <v>21740.79</v>
      </c>
      <c r="S171" s="125">
        <f>Valores!$C$19</f>
        <v>19351.52</v>
      </c>
      <c r="T171" s="125">
        <f t="shared" si="25"/>
        <v>19351.52</v>
      </c>
      <c r="U171" s="125">
        <v>0</v>
      </c>
      <c r="V171" s="125">
        <v>0</v>
      </c>
      <c r="W171" s="191">
        <v>700</v>
      </c>
      <c r="X171" s="125">
        <f>ROUND(W171*Valores!$C$2,2)</f>
        <v>28477.26</v>
      </c>
      <c r="Y171" s="125">
        <f>ROUND(SUM(J171,H171,F171,R171)*Valores!$C$3,2)</f>
        <v>19371.11</v>
      </c>
      <c r="Z171" s="125">
        <f>Valores!$C$96</f>
        <v>56956.28</v>
      </c>
      <c r="AA171" s="125">
        <f>Valores!$C$25</f>
        <v>850.59</v>
      </c>
      <c r="AB171" s="210">
        <v>0</v>
      </c>
      <c r="AC171" s="125">
        <f t="shared" si="20"/>
        <v>0</v>
      </c>
      <c r="AD171" s="125">
        <f>Valores!$C$26</f>
        <v>850.59</v>
      </c>
      <c r="AE171" s="191">
        <v>0</v>
      </c>
      <c r="AF171" s="125">
        <f>ROUND(AE171*Valores!$C$2,2)</f>
        <v>0</v>
      </c>
      <c r="AG171" s="125">
        <f>ROUND(IF($F$4="NO",Valores!$C$63,Valores!$C$63/2),2)</f>
        <v>9724.47</v>
      </c>
      <c r="AH171" s="125">
        <f t="shared" si="23"/>
        <v>347218.91000000003</v>
      </c>
      <c r="AI171" s="125">
        <f>Valores!$C$31</f>
        <v>0</v>
      </c>
      <c r="AJ171" s="125">
        <f>Valores!$C$89</f>
        <v>0</v>
      </c>
      <c r="AK171" s="125">
        <f>Valores!C$38*B171</f>
        <v>0</v>
      </c>
      <c r="AL171" s="125">
        <v>0</v>
      </c>
      <c r="AM171" s="125">
        <f t="shared" si="21"/>
        <v>0</v>
      </c>
      <c r="AN171" s="125">
        <f>AH171*Valores!$C$71</f>
        <v>-38194.08010000001</v>
      </c>
      <c r="AO171" s="125">
        <f>AH171*-Valores!$C$72</f>
        <v>0</v>
      </c>
      <c r="AP171" s="125">
        <f>AH171*Valores!$C$73</f>
        <v>-15624.85095</v>
      </c>
      <c r="AQ171" s="125">
        <f>Valores!$C$100</f>
        <v>-554.86</v>
      </c>
      <c r="AR171" s="125">
        <f>IF($F$5=0,Valores!$C$101,(Valores!$C$101+$F$5*(Valores!$C$101)))</f>
        <v>-550</v>
      </c>
      <c r="AS171" s="125">
        <f t="shared" si="24"/>
        <v>292295.11895000003</v>
      </c>
      <c r="AT171" s="125">
        <f t="shared" si="18"/>
        <v>-38194.08010000001</v>
      </c>
      <c r="AU171" s="125">
        <f>AH171*Valores!$C$74</f>
        <v>-9374.91057</v>
      </c>
      <c r="AV171" s="125">
        <f>AH171*Valores!$C$75</f>
        <v>-1041.6567300000002</v>
      </c>
      <c r="AW171" s="125">
        <f t="shared" si="22"/>
        <v>298608.2626</v>
      </c>
      <c r="AX171" s="126"/>
      <c r="AY171" s="126"/>
      <c r="AZ171" s="123" t="s">
        <v>4</v>
      </c>
    </row>
    <row r="172" spans="1:52" s="110" customFormat="1" ht="11.25" customHeight="1">
      <c r="A172" s="123" t="s">
        <v>432</v>
      </c>
      <c r="B172" s="123">
        <v>1</v>
      </c>
      <c r="C172" s="126">
        <v>165</v>
      </c>
      <c r="D172" s="124" t="s">
        <v>433</v>
      </c>
      <c r="E172" s="191">
        <v>1278</v>
      </c>
      <c r="F172" s="125">
        <f>ROUND(E172*Valores!$C$2,2)</f>
        <v>51991.34</v>
      </c>
      <c r="G172" s="191">
        <v>0</v>
      </c>
      <c r="H172" s="125">
        <f>ROUND(G172*Valores!$C$2,2)</f>
        <v>0</v>
      </c>
      <c r="I172" s="191">
        <v>0</v>
      </c>
      <c r="J172" s="125">
        <f>ROUND(I172*Valores!$C$2,2)</f>
        <v>0</v>
      </c>
      <c r="K172" s="191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19454.59</v>
      </c>
      <c r="N172" s="125">
        <f t="shared" si="19"/>
        <v>0</v>
      </c>
      <c r="O172" s="125">
        <f>Valores!$C$16</f>
        <v>35154.38</v>
      </c>
      <c r="P172" s="125">
        <f>Valores!$D$5</f>
        <v>20796.54</v>
      </c>
      <c r="Q172" s="125">
        <v>0</v>
      </c>
      <c r="R172" s="125">
        <f>IF($F$4="NO",Valores!$C$47,Valores!$C$47/2)</f>
        <v>21740.79</v>
      </c>
      <c r="S172" s="125">
        <f>Valores!$C$19</f>
        <v>19351.52</v>
      </c>
      <c r="T172" s="125">
        <f t="shared" si="25"/>
        <v>19351.52</v>
      </c>
      <c r="U172" s="125">
        <v>0</v>
      </c>
      <c r="V172" s="125">
        <v>0</v>
      </c>
      <c r="W172" s="191">
        <v>900</v>
      </c>
      <c r="X172" s="125">
        <f>ROUND(W172*Valores!$C$2,2)</f>
        <v>36613.62</v>
      </c>
      <c r="Y172" s="125">
        <f>ROUND(SUM(J172,H172,F172,R172)*Valores!$C$3,2)</f>
        <v>11059.82</v>
      </c>
      <c r="Z172" s="125">
        <f>Valores!$C$96</f>
        <v>56956.28</v>
      </c>
      <c r="AA172" s="125">
        <f>Valores!$C$25</f>
        <v>850.59</v>
      </c>
      <c r="AB172" s="210">
        <v>0</v>
      </c>
      <c r="AC172" s="125">
        <f t="shared" si="20"/>
        <v>0</v>
      </c>
      <c r="AD172" s="125">
        <f>Valores!$C$26</f>
        <v>850.59</v>
      </c>
      <c r="AE172" s="191">
        <v>94</v>
      </c>
      <c r="AF172" s="125">
        <f>ROUND(AE172*Valores!$C$2,2)</f>
        <v>3824.09</v>
      </c>
      <c r="AG172" s="125">
        <f>ROUND(IF($F$4="NO",Valores!$C$63,Valores!$C$63/2),2)</f>
        <v>9724.47</v>
      </c>
      <c r="AH172" s="125">
        <f t="shared" si="23"/>
        <v>288368.62000000005</v>
      </c>
      <c r="AI172" s="125">
        <f>Valores!$C$31</f>
        <v>0</v>
      </c>
      <c r="AJ172" s="125">
        <f>Valores!$C$89</f>
        <v>0</v>
      </c>
      <c r="AK172" s="125">
        <f>Valores!C$38*B172</f>
        <v>0</v>
      </c>
      <c r="AL172" s="125">
        <f>IF($F$3="NO",0,Valores!$C$55)</f>
        <v>0</v>
      </c>
      <c r="AM172" s="125">
        <f t="shared" si="21"/>
        <v>0</v>
      </c>
      <c r="AN172" s="125">
        <f>AH172*Valores!$C$71</f>
        <v>-31720.548200000005</v>
      </c>
      <c r="AO172" s="125">
        <f>AH172*-Valores!$C$72</f>
        <v>0</v>
      </c>
      <c r="AP172" s="125">
        <f>AH172*Valores!$C$73</f>
        <v>-12976.587900000002</v>
      </c>
      <c r="AQ172" s="125">
        <f>Valores!$C$100</f>
        <v>-554.86</v>
      </c>
      <c r="AR172" s="125">
        <f>IF($F$5=0,Valores!$C$101,(Valores!$C$101+$F$5*(Valores!$C$101)))</f>
        <v>-550</v>
      </c>
      <c r="AS172" s="125">
        <f t="shared" si="24"/>
        <v>242566.62390000006</v>
      </c>
      <c r="AT172" s="125">
        <f t="shared" si="18"/>
        <v>-31720.548200000005</v>
      </c>
      <c r="AU172" s="125">
        <f>AH172*Valores!$C$74</f>
        <v>-7785.9527400000015</v>
      </c>
      <c r="AV172" s="125">
        <f>AH172*Valores!$C$75</f>
        <v>-865.1058600000002</v>
      </c>
      <c r="AW172" s="125">
        <f t="shared" si="22"/>
        <v>247997.01320000004</v>
      </c>
      <c r="AX172" s="126"/>
      <c r="AY172" s="126">
        <v>36</v>
      </c>
      <c r="AZ172" s="123" t="s">
        <v>4</v>
      </c>
    </row>
    <row r="173" spans="1:52" s="110" customFormat="1" ht="11.25" customHeight="1">
      <c r="A173" s="123" t="s">
        <v>434</v>
      </c>
      <c r="B173" s="123">
        <v>1</v>
      </c>
      <c r="C173" s="126">
        <v>166</v>
      </c>
      <c r="D173" s="124" t="s">
        <v>435</v>
      </c>
      <c r="E173" s="191">
        <v>217</v>
      </c>
      <c r="F173" s="125">
        <f>ROUND(E173*Valores!$C$2,2)</f>
        <v>8827.95</v>
      </c>
      <c r="G173" s="191">
        <f>2245</f>
        <v>2245</v>
      </c>
      <c r="H173" s="125">
        <f>ROUND(G173*Valores!$C$2,2)</f>
        <v>91330.64</v>
      </c>
      <c r="I173" s="191">
        <v>0</v>
      </c>
      <c r="J173" s="125">
        <f>ROUND(I173*Valores!$C$2,2)</f>
        <v>0</v>
      </c>
      <c r="K173" s="191">
        <v>1300</v>
      </c>
      <c r="L173" s="125">
        <f>ROUND(K173*Valores!$C$2,2)</f>
        <v>52886.34</v>
      </c>
      <c r="M173" s="125">
        <f>ROUND(IF($H$2=0,IF(AND(A173&lt;&gt;"13-930",A173&lt;&gt;"13-940"),(SUM(F173,H173,J173,L173,X173,T173,R173)*Valores!$C$4),0),0),2)</f>
        <v>29120.59</v>
      </c>
      <c r="N173" s="125">
        <f t="shared" si="19"/>
        <v>0</v>
      </c>
      <c r="O173" s="125">
        <f>Valores!$C$9</f>
        <v>51121.66</v>
      </c>
      <c r="P173" s="125">
        <f>Valores!$D$5</f>
        <v>20796.54</v>
      </c>
      <c r="Q173" s="125">
        <f>Valores!$C$22</f>
        <v>18553.83</v>
      </c>
      <c r="R173" s="125">
        <f>IF($F$4="NO",Valores!$C$47,Valores!$C$47/2)</f>
        <v>21740.79</v>
      </c>
      <c r="S173" s="125">
        <f>Valores!$C$19</f>
        <v>19351.52</v>
      </c>
      <c r="T173" s="125">
        <f t="shared" si="25"/>
        <v>19351.52</v>
      </c>
      <c r="U173" s="125">
        <v>0</v>
      </c>
      <c r="V173" s="125">
        <v>0</v>
      </c>
      <c r="W173" s="191">
        <v>0</v>
      </c>
      <c r="X173" s="125">
        <f>ROUND(W173*Valores!$C$2,2)</f>
        <v>0</v>
      </c>
      <c r="Y173" s="125">
        <v>0</v>
      </c>
      <c r="Z173" s="125">
        <f>Valores!$C$96</f>
        <v>56956.28</v>
      </c>
      <c r="AA173" s="125">
        <f>Valores!$C$25</f>
        <v>850.59</v>
      </c>
      <c r="AB173" s="210">
        <v>0</v>
      </c>
      <c r="AC173" s="125">
        <f t="shared" si="20"/>
        <v>0</v>
      </c>
      <c r="AD173" s="125">
        <f>Valores!$C$26</f>
        <v>850.59</v>
      </c>
      <c r="AE173" s="191">
        <v>0</v>
      </c>
      <c r="AF173" s="125">
        <f>ROUND(AE173*Valores!$C$2,2)</f>
        <v>0</v>
      </c>
      <c r="AG173" s="125">
        <f>ROUND(IF($F$4="NO",Valores!$C$63,Valores!$C$63/2),2)</f>
        <v>9724.47</v>
      </c>
      <c r="AH173" s="125">
        <f t="shared" si="23"/>
        <v>382111.79000000004</v>
      </c>
      <c r="AI173" s="125">
        <f>Valores!$C$31</f>
        <v>0</v>
      </c>
      <c r="AJ173" s="125">
        <f>Valores!$C$89</f>
        <v>0</v>
      </c>
      <c r="AK173" s="125">
        <f>Valores!C$38*B173</f>
        <v>0</v>
      </c>
      <c r="AL173" s="125">
        <f>IF($F$3="NO",0,Valores!$C$55)</f>
        <v>0</v>
      </c>
      <c r="AM173" s="125">
        <f t="shared" si="21"/>
        <v>0</v>
      </c>
      <c r="AN173" s="125">
        <f>AH173*Valores!$C$71</f>
        <v>-42032.2969</v>
      </c>
      <c r="AO173" s="125">
        <f>AH173*-Valores!$C$72</f>
        <v>0</v>
      </c>
      <c r="AP173" s="125">
        <f>AH173*Valores!$C$73</f>
        <v>-17195.03055</v>
      </c>
      <c r="AQ173" s="125">
        <f>Valores!$C$100</f>
        <v>-554.86</v>
      </c>
      <c r="AR173" s="125">
        <f>IF($F$5=0,Valores!$C$101,(Valores!$C$101+$F$5*(Valores!$C$101)))</f>
        <v>-550</v>
      </c>
      <c r="AS173" s="125">
        <f t="shared" si="24"/>
        <v>321779.60255000007</v>
      </c>
      <c r="AT173" s="125">
        <f t="shared" si="18"/>
        <v>-42032.2969</v>
      </c>
      <c r="AU173" s="125">
        <f>AH173*Valores!$C$74</f>
        <v>-10317.01833</v>
      </c>
      <c r="AV173" s="125">
        <f>AH173*Valores!$C$75</f>
        <v>-1146.3353700000002</v>
      </c>
      <c r="AW173" s="125">
        <f t="shared" si="22"/>
        <v>328616.13940000004</v>
      </c>
      <c r="AX173" s="126"/>
      <c r="AY173" s="126">
        <v>45</v>
      </c>
      <c r="AZ173" s="123" t="s">
        <v>4</v>
      </c>
    </row>
    <row r="174" spans="1:52" s="110" customFormat="1" ht="11.25" customHeight="1">
      <c r="A174" s="123" t="s">
        <v>436</v>
      </c>
      <c r="B174" s="123">
        <v>1</v>
      </c>
      <c r="C174" s="126">
        <v>167</v>
      </c>
      <c r="D174" s="124" t="s">
        <v>437</v>
      </c>
      <c r="E174" s="191">
        <v>185</v>
      </c>
      <c r="F174" s="125">
        <f>ROUND(E174*Valores!$C$2,2)</f>
        <v>7526.13</v>
      </c>
      <c r="G174" s="191">
        <f>1835</f>
        <v>1835</v>
      </c>
      <c r="H174" s="125">
        <f>ROUND(G174*Valores!$C$2,2)</f>
        <v>74651.1</v>
      </c>
      <c r="I174" s="191">
        <v>0</v>
      </c>
      <c r="J174" s="125">
        <f>ROUND(I174*Valores!$C$2,2)</f>
        <v>0</v>
      </c>
      <c r="K174" s="191">
        <v>1300</v>
      </c>
      <c r="L174" s="125">
        <f>ROUND(K174*Valores!$C$2,2)</f>
        <v>52886.34</v>
      </c>
      <c r="M174" s="125">
        <f>ROUND(IF($H$2=0,IF(AND(A174&lt;&gt;"13-930",A174&lt;&gt;"13-940"),(SUM(F174,H174,J174,L174,X174,T174,R174)*Valores!$C$4),0),0),2)</f>
        <v>26423.38</v>
      </c>
      <c r="N174" s="125">
        <f t="shared" si="19"/>
        <v>0</v>
      </c>
      <c r="O174" s="125">
        <f>Valores!$C$9</f>
        <v>51121.66</v>
      </c>
      <c r="P174" s="125">
        <f>Valores!$D$5</f>
        <v>20796.54</v>
      </c>
      <c r="Q174" s="125">
        <f>Valores!$C$22</f>
        <v>18553.83</v>
      </c>
      <c r="R174" s="125">
        <f>IF($F$4="NO",Valores!$C$47,Valores!$C$47/2)</f>
        <v>21740.79</v>
      </c>
      <c r="S174" s="125">
        <f>Valores!$C$19</f>
        <v>19351.52</v>
      </c>
      <c r="T174" s="125">
        <f t="shared" si="25"/>
        <v>19351.52</v>
      </c>
      <c r="U174" s="125">
        <v>0</v>
      </c>
      <c r="V174" s="125">
        <v>0</v>
      </c>
      <c r="W174" s="191">
        <v>0</v>
      </c>
      <c r="X174" s="125">
        <f>ROUND(W174*Valores!$C$2,2)</f>
        <v>0</v>
      </c>
      <c r="Y174" s="125">
        <v>0</v>
      </c>
      <c r="Z174" s="125">
        <f>Valores!$C$96</f>
        <v>56956.28</v>
      </c>
      <c r="AA174" s="125">
        <f>Valores!$C$25</f>
        <v>850.59</v>
      </c>
      <c r="AB174" s="210">
        <v>0</v>
      </c>
      <c r="AC174" s="125">
        <f t="shared" si="20"/>
        <v>0</v>
      </c>
      <c r="AD174" s="125">
        <f>Valores!$C$26</f>
        <v>850.59</v>
      </c>
      <c r="AE174" s="191">
        <v>0</v>
      </c>
      <c r="AF174" s="125">
        <f>ROUND(AE174*Valores!$C$2,2)</f>
        <v>0</v>
      </c>
      <c r="AG174" s="125">
        <f>ROUND(IF($F$4="NO",Valores!$C$63,Valores!$C$63/2),2)</f>
        <v>9724.47</v>
      </c>
      <c r="AH174" s="125">
        <f t="shared" si="23"/>
        <v>361433.2200000001</v>
      </c>
      <c r="AI174" s="125">
        <f>Valores!$C$31</f>
        <v>0</v>
      </c>
      <c r="AJ174" s="125">
        <f>Valores!$C$89</f>
        <v>0</v>
      </c>
      <c r="AK174" s="125">
        <f>Valores!C$38*B174</f>
        <v>0</v>
      </c>
      <c r="AL174" s="125">
        <f>IF($F$3="NO",0,Valores!$C$55)</f>
        <v>0</v>
      </c>
      <c r="AM174" s="125">
        <f t="shared" si="21"/>
        <v>0</v>
      </c>
      <c r="AN174" s="125">
        <f>AH174*Valores!$C$71</f>
        <v>-39757.65420000001</v>
      </c>
      <c r="AO174" s="125">
        <f>AH174*-Valores!$C$72</f>
        <v>0</v>
      </c>
      <c r="AP174" s="125">
        <f>AH174*Valores!$C$73</f>
        <v>-16264.494900000003</v>
      </c>
      <c r="AQ174" s="125">
        <f>Valores!$C$100</f>
        <v>-554.86</v>
      </c>
      <c r="AR174" s="125">
        <f>IF($F$5=0,Valores!$C$101,(Valores!$C$101+$F$5*(Valores!$C$101)))</f>
        <v>-550</v>
      </c>
      <c r="AS174" s="125">
        <f t="shared" si="24"/>
        <v>304306.21090000006</v>
      </c>
      <c r="AT174" s="125">
        <f t="shared" si="18"/>
        <v>-39757.65420000001</v>
      </c>
      <c r="AU174" s="125">
        <f>AH174*Valores!$C$74</f>
        <v>-9758.696940000002</v>
      </c>
      <c r="AV174" s="125">
        <f>AH174*Valores!$C$75</f>
        <v>-1084.2996600000004</v>
      </c>
      <c r="AW174" s="125">
        <f t="shared" si="22"/>
        <v>310832.5692000001</v>
      </c>
      <c r="AX174" s="126"/>
      <c r="AY174" s="126">
        <v>45</v>
      </c>
      <c r="AZ174" s="123" t="s">
        <v>4</v>
      </c>
    </row>
    <row r="175" spans="1:52" s="110" customFormat="1" ht="11.25" customHeight="1">
      <c r="A175" s="123" t="s">
        <v>438</v>
      </c>
      <c r="B175" s="123">
        <v>1</v>
      </c>
      <c r="C175" s="126">
        <v>168</v>
      </c>
      <c r="D175" s="124" t="s">
        <v>439</v>
      </c>
      <c r="E175" s="191">
        <v>160</v>
      </c>
      <c r="F175" s="125">
        <f>ROUND(E175*Valores!$C$2,2)</f>
        <v>6509.09</v>
      </c>
      <c r="G175" s="191">
        <f>1484</f>
        <v>1484</v>
      </c>
      <c r="H175" s="125">
        <f>ROUND(G175*Valores!$C$2,2)</f>
        <v>60371.79</v>
      </c>
      <c r="I175" s="191">
        <v>0</v>
      </c>
      <c r="J175" s="125">
        <f>ROUND(I175*Valores!$C$2,2)</f>
        <v>0</v>
      </c>
      <c r="K175" s="191">
        <v>1300</v>
      </c>
      <c r="L175" s="125">
        <f>ROUND(K175*Valores!$C$2,2)</f>
        <v>52886.34</v>
      </c>
      <c r="M175" s="125">
        <f>ROUND(IF($H$2=0,IF(AND(A175&lt;&gt;"13-930",A175&lt;&gt;"13-940"),(SUM(F175,H175,J175,L175,X175,T175,R175)*Valores!$C$4),0),0),2)</f>
        <v>24128.93</v>
      </c>
      <c r="N175" s="125">
        <f t="shared" si="19"/>
        <v>0</v>
      </c>
      <c r="O175" s="125">
        <f>Valores!$C$9</f>
        <v>51121.66</v>
      </c>
      <c r="P175" s="125">
        <f>Valores!$D$5</f>
        <v>20796.54</v>
      </c>
      <c r="Q175" s="125">
        <f>Valores!$C$22</f>
        <v>18553.83</v>
      </c>
      <c r="R175" s="125">
        <f>IF($F$4="NO",Valores!$C$47,Valores!$C$47/2)</f>
        <v>21740.79</v>
      </c>
      <c r="S175" s="125">
        <f>Valores!$C$19</f>
        <v>19351.52</v>
      </c>
      <c r="T175" s="125">
        <f t="shared" si="25"/>
        <v>19351.52</v>
      </c>
      <c r="U175" s="125">
        <v>0</v>
      </c>
      <c r="V175" s="125">
        <v>0</v>
      </c>
      <c r="W175" s="191">
        <v>0</v>
      </c>
      <c r="X175" s="125">
        <f>ROUND(W175*Valores!$C$2,2)</f>
        <v>0</v>
      </c>
      <c r="Y175" s="125">
        <v>0</v>
      </c>
      <c r="Z175" s="125">
        <f>Valores!$C$96</f>
        <v>56956.28</v>
      </c>
      <c r="AA175" s="125">
        <f>Valores!$C$25</f>
        <v>850.59</v>
      </c>
      <c r="AB175" s="210">
        <v>0</v>
      </c>
      <c r="AC175" s="125">
        <f t="shared" si="20"/>
        <v>0</v>
      </c>
      <c r="AD175" s="125">
        <f>Valores!$C$26</f>
        <v>850.59</v>
      </c>
      <c r="AE175" s="191">
        <v>0</v>
      </c>
      <c r="AF175" s="125">
        <f>ROUND(AE175*Valores!$C$2,2)</f>
        <v>0</v>
      </c>
      <c r="AG175" s="125">
        <f>ROUND(IF($F$4="NO",Valores!$C$63,Valores!$C$63/2),2)</f>
        <v>9724.47</v>
      </c>
      <c r="AH175" s="125">
        <f t="shared" si="23"/>
        <v>343842.42000000004</v>
      </c>
      <c r="AI175" s="125">
        <f>Valores!$C$31</f>
        <v>0</v>
      </c>
      <c r="AJ175" s="125">
        <f>Valores!$C$89</f>
        <v>0</v>
      </c>
      <c r="AK175" s="125">
        <f>Valores!C$38*B175</f>
        <v>0</v>
      </c>
      <c r="AL175" s="125">
        <f>IF($F$3="NO",0,Valores!$C$55)</f>
        <v>0</v>
      </c>
      <c r="AM175" s="125">
        <f t="shared" si="21"/>
        <v>0</v>
      </c>
      <c r="AN175" s="125">
        <f>AH175*Valores!$C$71</f>
        <v>-37822.66620000001</v>
      </c>
      <c r="AO175" s="125">
        <f>AH175*-Valores!$C$72</f>
        <v>0</v>
      </c>
      <c r="AP175" s="125">
        <f>AH175*Valores!$C$73</f>
        <v>-15472.908900000002</v>
      </c>
      <c r="AQ175" s="125">
        <f>Valores!$C$100</f>
        <v>-554.86</v>
      </c>
      <c r="AR175" s="125">
        <f>IF($F$5=0,Valores!$C$101,(Valores!$C$101+$F$5*(Valores!$C$101)))</f>
        <v>-550</v>
      </c>
      <c r="AS175" s="125">
        <f t="shared" si="24"/>
        <v>289441.98490000004</v>
      </c>
      <c r="AT175" s="125">
        <f t="shared" si="18"/>
        <v>-37822.66620000001</v>
      </c>
      <c r="AU175" s="125">
        <f>AH175*Valores!$C$74</f>
        <v>-9283.745340000001</v>
      </c>
      <c r="AV175" s="125">
        <f>AH175*Valores!$C$75</f>
        <v>-1031.52726</v>
      </c>
      <c r="AW175" s="125">
        <f t="shared" si="22"/>
        <v>295704.48120000004</v>
      </c>
      <c r="AX175" s="126"/>
      <c r="AY175" s="126">
        <v>45</v>
      </c>
      <c r="AZ175" s="123" t="s">
        <v>4</v>
      </c>
    </row>
    <row r="176" spans="1:52" s="110" customFormat="1" ht="11.25" customHeight="1">
      <c r="A176" s="123" t="s">
        <v>440</v>
      </c>
      <c r="B176" s="123">
        <v>1</v>
      </c>
      <c r="C176" s="126">
        <v>169</v>
      </c>
      <c r="D176" s="124" t="s">
        <v>441</v>
      </c>
      <c r="E176" s="191">
        <v>178</v>
      </c>
      <c r="F176" s="125">
        <f>ROUND(E176*Valores!$C$2,2)</f>
        <v>7241.36</v>
      </c>
      <c r="G176" s="191">
        <f>1842</f>
        <v>1842</v>
      </c>
      <c r="H176" s="125">
        <f>ROUND(G176*Valores!$C$2,2)</f>
        <v>74935.88</v>
      </c>
      <c r="I176" s="191">
        <v>0</v>
      </c>
      <c r="J176" s="125">
        <f>ROUND(I176*Valores!$C$2,2)</f>
        <v>0</v>
      </c>
      <c r="K176" s="191">
        <v>1300</v>
      </c>
      <c r="L176" s="125">
        <f>ROUND(K176*Valores!$C$2,2)</f>
        <v>52886.34</v>
      </c>
      <c r="M176" s="125">
        <f>ROUND(IF($H$2=0,IF(AND(A176&lt;&gt;"13-930",A176&lt;&gt;"13-940"),(SUM(F176,H176,J176,L176,X176,T176,R176)*Valores!$C$4),0),0),2)</f>
        <v>26423.38</v>
      </c>
      <c r="N176" s="125">
        <f t="shared" si="19"/>
        <v>0</v>
      </c>
      <c r="O176" s="125">
        <f>Valores!$C$9</f>
        <v>51121.66</v>
      </c>
      <c r="P176" s="125">
        <f>Valores!$D$5</f>
        <v>20796.54</v>
      </c>
      <c r="Q176" s="125">
        <f>Valores!$C$22</f>
        <v>18553.83</v>
      </c>
      <c r="R176" s="125">
        <f>IF($F$4="NO",Valores!$C$47,Valores!$C$47/2)</f>
        <v>21740.79</v>
      </c>
      <c r="S176" s="125">
        <f>Valores!$C$19</f>
        <v>19351.52</v>
      </c>
      <c r="T176" s="125">
        <f t="shared" si="25"/>
        <v>19351.52</v>
      </c>
      <c r="U176" s="125">
        <v>0</v>
      </c>
      <c r="V176" s="125">
        <v>0</v>
      </c>
      <c r="W176" s="191">
        <v>0</v>
      </c>
      <c r="X176" s="125">
        <f>ROUND(W176*Valores!$C$2,2)</f>
        <v>0</v>
      </c>
      <c r="Y176" s="125">
        <v>0</v>
      </c>
      <c r="Z176" s="125">
        <f>Valores!$C$96</f>
        <v>56956.28</v>
      </c>
      <c r="AA176" s="125">
        <f>Valores!$C$25</f>
        <v>850.59</v>
      </c>
      <c r="AB176" s="210">
        <v>0</v>
      </c>
      <c r="AC176" s="125">
        <f t="shared" si="20"/>
        <v>0</v>
      </c>
      <c r="AD176" s="125">
        <f>Valores!$C$26</f>
        <v>850.59</v>
      </c>
      <c r="AE176" s="191">
        <v>0</v>
      </c>
      <c r="AF176" s="125">
        <f>ROUND(AE176*Valores!$C$2,2)</f>
        <v>0</v>
      </c>
      <c r="AG176" s="125">
        <f>ROUND(IF($F$4="NO",Valores!$C$63,Valores!$C$63/2),2)</f>
        <v>9724.47</v>
      </c>
      <c r="AH176" s="125">
        <f t="shared" si="23"/>
        <v>361433.2300000001</v>
      </c>
      <c r="AI176" s="125">
        <f>Valores!$C$31</f>
        <v>0</v>
      </c>
      <c r="AJ176" s="125">
        <f>Valores!$C$89</f>
        <v>0</v>
      </c>
      <c r="AK176" s="125">
        <f>Valores!C$38*B176</f>
        <v>0</v>
      </c>
      <c r="AL176" s="125">
        <f>IF($F$3="NO",0,Valores!$C$55)</f>
        <v>0</v>
      </c>
      <c r="AM176" s="125">
        <f t="shared" si="21"/>
        <v>0</v>
      </c>
      <c r="AN176" s="125">
        <f>AH176*Valores!$C$71</f>
        <v>-39757.65530000001</v>
      </c>
      <c r="AO176" s="125">
        <f>AH176*-Valores!$C$72</f>
        <v>0</v>
      </c>
      <c r="AP176" s="125">
        <f>AH176*Valores!$C$73</f>
        <v>-16264.495350000005</v>
      </c>
      <c r="AQ176" s="125">
        <f>Valores!$C$100</f>
        <v>-554.86</v>
      </c>
      <c r="AR176" s="125">
        <f>IF($F$5=0,Valores!$C$101,(Valores!$C$101+$F$5*(Valores!$C$101)))</f>
        <v>-550</v>
      </c>
      <c r="AS176" s="125">
        <f t="shared" si="24"/>
        <v>304306.2193500001</v>
      </c>
      <c r="AT176" s="125">
        <f t="shared" si="18"/>
        <v>-39757.65530000001</v>
      </c>
      <c r="AU176" s="125">
        <f>AH176*Valores!$C$74</f>
        <v>-9758.697210000002</v>
      </c>
      <c r="AV176" s="125">
        <f>AH176*Valores!$C$75</f>
        <v>-1084.2996900000003</v>
      </c>
      <c r="AW176" s="125">
        <f t="shared" si="22"/>
        <v>310832.5778000001</v>
      </c>
      <c r="AX176" s="126"/>
      <c r="AY176" s="126">
        <v>45</v>
      </c>
      <c r="AZ176" s="123" t="s">
        <v>4</v>
      </c>
    </row>
    <row r="177" spans="1:52" s="110" customFormat="1" ht="11.25" customHeight="1">
      <c r="A177" s="123" t="s">
        <v>442</v>
      </c>
      <c r="B177" s="123">
        <v>1</v>
      </c>
      <c r="C177" s="126">
        <v>170</v>
      </c>
      <c r="D177" s="124" t="s">
        <v>443</v>
      </c>
      <c r="E177" s="191">
        <v>1278</v>
      </c>
      <c r="F177" s="125">
        <f>ROUND(E177*Valores!$C$2,2)</f>
        <v>51991.34</v>
      </c>
      <c r="G177" s="191">
        <v>0</v>
      </c>
      <c r="H177" s="125">
        <f>ROUND(G177*Valores!$C$2,2)</f>
        <v>0</v>
      </c>
      <c r="I177" s="191">
        <v>0</v>
      </c>
      <c r="J177" s="125">
        <f>ROUND(I177*Valores!$C$2,2)</f>
        <v>0</v>
      </c>
      <c r="K177" s="191">
        <v>1200</v>
      </c>
      <c r="L177" s="125">
        <f>ROUND(K177*Valores!$C$2,2)</f>
        <v>48818.16</v>
      </c>
      <c r="M177" s="125">
        <f>ROUND(IF($H$2=0,IF(AND(A177&lt;&gt;"13-930",A177&lt;&gt;"13-940"),(SUM(F177,H177,J177,L177,X177,T177,R177)*Valores!$C$4),0),0),2)</f>
        <v>21285.27</v>
      </c>
      <c r="N177" s="125">
        <f t="shared" si="19"/>
        <v>0</v>
      </c>
      <c r="O177" s="125">
        <f>Valores!$C$16</f>
        <v>35154.38</v>
      </c>
      <c r="P177" s="125">
        <f>Valores!$D$5</f>
        <v>20796.54</v>
      </c>
      <c r="Q177" s="125">
        <f>Valores!$C$22</f>
        <v>18553.83</v>
      </c>
      <c r="R177" s="125">
        <f>IF($F$4="NO",Valores!$C$47,Valores!$C$47/2)</f>
        <v>21740.79</v>
      </c>
      <c r="S177" s="125">
        <f>Valores!$C$19</f>
        <v>19351.52</v>
      </c>
      <c r="T177" s="125">
        <f t="shared" si="25"/>
        <v>19351.52</v>
      </c>
      <c r="U177" s="125">
        <v>0</v>
      </c>
      <c r="V177" s="125">
        <v>0</v>
      </c>
      <c r="W177" s="191">
        <v>0</v>
      </c>
      <c r="X177" s="125">
        <f>ROUND(W177*Valores!$C$2,2)</f>
        <v>0</v>
      </c>
      <c r="Y177" s="125">
        <v>0</v>
      </c>
      <c r="Z177" s="125">
        <f>Valores!$C$96</f>
        <v>56956.28</v>
      </c>
      <c r="AA177" s="125">
        <f>Valores!$C$25</f>
        <v>850.59</v>
      </c>
      <c r="AB177" s="210">
        <v>0</v>
      </c>
      <c r="AC177" s="125">
        <f t="shared" si="20"/>
        <v>0</v>
      </c>
      <c r="AD177" s="125">
        <f>Valores!$C$26</f>
        <v>850.59</v>
      </c>
      <c r="AE177" s="191">
        <v>0</v>
      </c>
      <c r="AF177" s="125">
        <f>ROUND(AE177*Valores!$C$2,2)</f>
        <v>0</v>
      </c>
      <c r="AG177" s="125">
        <f>ROUND(IF($F$4="NO",Valores!$C$63,Valores!$C$63/2),2)</f>
        <v>9724.47</v>
      </c>
      <c r="AH177" s="125">
        <f t="shared" si="23"/>
        <v>306073.76</v>
      </c>
      <c r="AI177" s="125">
        <f>Valores!$C$31</f>
        <v>0</v>
      </c>
      <c r="AJ177" s="125">
        <f>Valores!$C$89</f>
        <v>0</v>
      </c>
      <c r="AK177" s="125">
        <f>Valores!C$38*B177</f>
        <v>0</v>
      </c>
      <c r="AL177" s="125">
        <f>IF($F$3="NO",0,Valores!$C$55)</f>
        <v>0</v>
      </c>
      <c r="AM177" s="125">
        <f t="shared" si="21"/>
        <v>0</v>
      </c>
      <c r="AN177" s="125">
        <f>AH177*Valores!$C$71</f>
        <v>-33668.113600000004</v>
      </c>
      <c r="AO177" s="125">
        <f>AH177*-Valores!$C$72</f>
        <v>0</v>
      </c>
      <c r="AP177" s="125">
        <f>AH177*Valores!$C$73</f>
        <v>-13773.3192</v>
      </c>
      <c r="AQ177" s="125">
        <f>Valores!$C$100</f>
        <v>-554.86</v>
      </c>
      <c r="AR177" s="125">
        <f>IF($F$5=0,Valores!$C$101,(Valores!$C$101+$F$5*(Valores!$C$101)))</f>
        <v>-550</v>
      </c>
      <c r="AS177" s="125">
        <f t="shared" si="24"/>
        <v>257527.4672</v>
      </c>
      <c r="AT177" s="125">
        <f t="shared" si="18"/>
        <v>-33668.113600000004</v>
      </c>
      <c r="AU177" s="125">
        <f>AH177*Valores!$C$74</f>
        <v>-8263.99152</v>
      </c>
      <c r="AV177" s="125">
        <f>AH177*Valores!$C$75</f>
        <v>-918.2212800000001</v>
      </c>
      <c r="AW177" s="125">
        <f t="shared" si="22"/>
        <v>263223.4336</v>
      </c>
      <c r="AX177" s="126"/>
      <c r="AY177" s="126"/>
      <c r="AZ177" s="123" t="s">
        <v>4</v>
      </c>
    </row>
    <row r="178" spans="1:52" s="110" customFormat="1" ht="11.25" customHeight="1">
      <c r="A178" s="123" t="s">
        <v>444</v>
      </c>
      <c r="B178" s="123">
        <v>1</v>
      </c>
      <c r="C178" s="126">
        <v>171</v>
      </c>
      <c r="D178" s="124" t="s">
        <v>445</v>
      </c>
      <c r="E178" s="191">
        <v>971</v>
      </c>
      <c r="F178" s="125">
        <f>ROUND(E178*Valores!$C$2,2)</f>
        <v>39502.03</v>
      </c>
      <c r="G178" s="191">
        <v>0</v>
      </c>
      <c r="H178" s="125">
        <f>ROUND(G178*Valores!$C$2,2)</f>
        <v>0</v>
      </c>
      <c r="I178" s="191">
        <v>0</v>
      </c>
      <c r="J178" s="125">
        <f>ROUND(I178*Valores!$C$2,2)</f>
        <v>0</v>
      </c>
      <c r="K178" s="191">
        <v>660</v>
      </c>
      <c r="L178" s="125">
        <f>ROUND(K178*Valores!$C$2,2)</f>
        <v>26849.99</v>
      </c>
      <c r="M178" s="125">
        <f>ROUND(IF($H$2=0,IF(AND(A178&lt;&gt;"13-930",A178&lt;&gt;"13-940"),(SUM(F178,H178,J178,L178,X178,T178,R178)*Valores!$C$4),0),0),2)</f>
        <v>16116.65</v>
      </c>
      <c r="N178" s="125">
        <f t="shared" si="19"/>
        <v>0</v>
      </c>
      <c r="O178" s="125">
        <f>Valores!$C$16</f>
        <v>35154.38</v>
      </c>
      <c r="P178" s="125">
        <f>Valores!$D$5</f>
        <v>20796.54</v>
      </c>
      <c r="Q178" s="125">
        <f>Valores!$C$22</f>
        <v>18553.83</v>
      </c>
      <c r="R178" s="125">
        <f>IF($F$4="NO",Valores!$C$47,Valores!$C$47/2)</f>
        <v>21740.79</v>
      </c>
      <c r="S178" s="125">
        <f>Valores!$C$19</f>
        <v>19351.52</v>
      </c>
      <c r="T178" s="125">
        <f t="shared" si="25"/>
        <v>19351.52</v>
      </c>
      <c r="U178" s="125">
        <v>0</v>
      </c>
      <c r="V178" s="125">
        <v>0</v>
      </c>
      <c r="W178" s="191">
        <v>0</v>
      </c>
      <c r="X178" s="125">
        <f>ROUND(W178*Valores!$C$2,2)</f>
        <v>0</v>
      </c>
      <c r="Y178" s="125">
        <v>0</v>
      </c>
      <c r="Z178" s="125">
        <f>Valores!$C$96</f>
        <v>56956.28</v>
      </c>
      <c r="AA178" s="125">
        <f>Valores!$C$25</f>
        <v>850.59</v>
      </c>
      <c r="AB178" s="210">
        <v>0</v>
      </c>
      <c r="AC178" s="125">
        <f t="shared" si="20"/>
        <v>0</v>
      </c>
      <c r="AD178" s="125">
        <f>Valores!$C$26</f>
        <v>850.59</v>
      </c>
      <c r="AE178" s="191">
        <v>0</v>
      </c>
      <c r="AF178" s="125">
        <f>ROUND(AE178*Valores!$C$2,2)</f>
        <v>0</v>
      </c>
      <c r="AG178" s="125">
        <f>ROUND(IF($F$4="NO",Valores!$C$63,Valores!$C$63/2),2)</f>
        <v>9724.47</v>
      </c>
      <c r="AH178" s="125">
        <f t="shared" si="23"/>
        <v>266447.66</v>
      </c>
      <c r="AI178" s="125">
        <f>Valores!$C$31</f>
        <v>0</v>
      </c>
      <c r="AJ178" s="125">
        <f>Valores!$C$89</f>
        <v>0</v>
      </c>
      <c r="AK178" s="125">
        <f>Valores!C$38*B178</f>
        <v>0</v>
      </c>
      <c r="AL178" s="125">
        <f>IF($F$3="NO",0,Valores!$C$55)</f>
        <v>0</v>
      </c>
      <c r="AM178" s="125">
        <f t="shared" si="21"/>
        <v>0</v>
      </c>
      <c r="AN178" s="125">
        <f>AH178*Valores!$C$71</f>
        <v>-29309.242599999998</v>
      </c>
      <c r="AO178" s="125">
        <f>AH178*-Valores!$C$72</f>
        <v>0</v>
      </c>
      <c r="AP178" s="125">
        <f>AH178*Valores!$C$73</f>
        <v>-11990.144699999999</v>
      </c>
      <c r="AQ178" s="125">
        <f>Valores!$C$100</f>
        <v>-554.86</v>
      </c>
      <c r="AR178" s="125">
        <f>IF($F$5=0,Valores!$C$101,(Valores!$C$101+$F$5*(Valores!$C$101)))</f>
        <v>-550</v>
      </c>
      <c r="AS178" s="125">
        <f t="shared" si="24"/>
        <v>224043.4127</v>
      </c>
      <c r="AT178" s="125">
        <f t="shared" si="18"/>
        <v>-29309.242599999998</v>
      </c>
      <c r="AU178" s="125">
        <f>AH178*Valores!$C$74</f>
        <v>-7194.0868199999995</v>
      </c>
      <c r="AV178" s="125">
        <f>AH178*Valores!$C$75</f>
        <v>-799.3429799999999</v>
      </c>
      <c r="AW178" s="125">
        <f t="shared" si="22"/>
        <v>229144.9876</v>
      </c>
      <c r="AX178" s="126"/>
      <c r="AY178" s="126">
        <v>18</v>
      </c>
      <c r="AZ178" s="123" t="s">
        <v>4</v>
      </c>
    </row>
    <row r="179" spans="1:52" s="110" customFormat="1" ht="11.25" customHeight="1">
      <c r="A179" s="123" t="s">
        <v>446</v>
      </c>
      <c r="B179" s="123">
        <v>1</v>
      </c>
      <c r="C179" s="126">
        <v>172</v>
      </c>
      <c r="D179" s="124" t="s">
        <v>447</v>
      </c>
      <c r="E179" s="191">
        <v>213</v>
      </c>
      <c r="F179" s="125">
        <f>ROUND(E179*Valores!$C$2,2)</f>
        <v>8665.22</v>
      </c>
      <c r="G179" s="191">
        <f>1835</f>
        <v>1835</v>
      </c>
      <c r="H179" s="125">
        <f>ROUND(G179*Valores!$C$2,2)</f>
        <v>74651.1</v>
      </c>
      <c r="I179" s="191">
        <v>0</v>
      </c>
      <c r="J179" s="125">
        <f>ROUND(I179*Valores!$C$2,2)</f>
        <v>0</v>
      </c>
      <c r="K179" s="191">
        <v>1300</v>
      </c>
      <c r="L179" s="125">
        <f>ROUND(K179*Valores!$C$2,2)</f>
        <v>52886.34</v>
      </c>
      <c r="M179" s="125">
        <f>ROUND(IF($H$2=0,IF(AND(A179&lt;&gt;"13-930",A179&lt;&gt;"13-940"),(SUM(F179,H179,J179,L179,X179,T179,R179)*Valores!$C$4),0),0),2)</f>
        <v>26594.25</v>
      </c>
      <c r="N179" s="125">
        <f t="shared" si="19"/>
        <v>0</v>
      </c>
      <c r="O179" s="125">
        <f>Valores!$C$9</f>
        <v>51121.66</v>
      </c>
      <c r="P179" s="125">
        <f>Valores!$D$5</f>
        <v>20796.54</v>
      </c>
      <c r="Q179" s="125">
        <f>Valores!$C$22</f>
        <v>18553.83</v>
      </c>
      <c r="R179" s="125">
        <f>IF($F$4="NO",Valores!$C$47,Valores!$C$47/2)</f>
        <v>21740.79</v>
      </c>
      <c r="S179" s="125">
        <f>Valores!$C$19</f>
        <v>19351.52</v>
      </c>
      <c r="T179" s="125">
        <f t="shared" si="25"/>
        <v>19351.52</v>
      </c>
      <c r="U179" s="125">
        <v>0</v>
      </c>
      <c r="V179" s="125">
        <v>0</v>
      </c>
      <c r="W179" s="191">
        <v>0</v>
      </c>
      <c r="X179" s="125">
        <f>ROUND(W179*Valores!$C$2,2)</f>
        <v>0</v>
      </c>
      <c r="Y179" s="125">
        <v>0</v>
      </c>
      <c r="Z179" s="125">
        <f>Valores!$C$96</f>
        <v>56956.28</v>
      </c>
      <c r="AA179" s="125">
        <f>Valores!$C$25</f>
        <v>850.59</v>
      </c>
      <c r="AB179" s="210">
        <v>0</v>
      </c>
      <c r="AC179" s="125">
        <f t="shared" si="20"/>
        <v>0</v>
      </c>
      <c r="AD179" s="125">
        <f>Valores!$C$26</f>
        <v>850.59</v>
      </c>
      <c r="AE179" s="191">
        <v>0</v>
      </c>
      <c r="AF179" s="125">
        <f>ROUND(AE179*Valores!$C$2,2)</f>
        <v>0</v>
      </c>
      <c r="AG179" s="125">
        <f>ROUND(IF($F$4="NO",Valores!$C$63,Valores!$C$63/2),2)</f>
        <v>9724.47</v>
      </c>
      <c r="AH179" s="125">
        <f t="shared" si="23"/>
        <v>362743.18000000005</v>
      </c>
      <c r="AI179" s="125">
        <f>Valores!$C$31</f>
        <v>0</v>
      </c>
      <c r="AJ179" s="125">
        <f>Valores!$C$89</f>
        <v>0</v>
      </c>
      <c r="AK179" s="125">
        <f>Valores!C$38*B179</f>
        <v>0</v>
      </c>
      <c r="AL179" s="125">
        <f>IF($F$3="NO",0,Valores!$C$55)</f>
        <v>0</v>
      </c>
      <c r="AM179" s="125">
        <f t="shared" si="21"/>
        <v>0</v>
      </c>
      <c r="AN179" s="125">
        <f>AH179*Valores!$C$71</f>
        <v>-39901.749800000005</v>
      </c>
      <c r="AO179" s="125">
        <f>AH179*-Valores!$C$72</f>
        <v>0</v>
      </c>
      <c r="AP179" s="125">
        <f>AH179*Valores!$C$73</f>
        <v>-16323.443100000002</v>
      </c>
      <c r="AQ179" s="125">
        <f>Valores!$C$100</f>
        <v>-554.86</v>
      </c>
      <c r="AR179" s="125">
        <f>IF($F$5=0,Valores!$C$101,(Valores!$C$101+$F$5*(Valores!$C$101)))</f>
        <v>-550</v>
      </c>
      <c r="AS179" s="125">
        <f t="shared" si="24"/>
        <v>305413.12710000004</v>
      </c>
      <c r="AT179" s="125">
        <f t="shared" si="18"/>
        <v>-39901.749800000005</v>
      </c>
      <c r="AU179" s="125">
        <f>AH179*Valores!$C$74</f>
        <v>-9794.06586</v>
      </c>
      <c r="AV179" s="125">
        <f>AH179*Valores!$C$75</f>
        <v>-1088.2295400000003</v>
      </c>
      <c r="AW179" s="125">
        <f t="shared" si="22"/>
        <v>311959.13480000006</v>
      </c>
      <c r="AX179" s="126"/>
      <c r="AY179" s="126">
        <v>45</v>
      </c>
      <c r="AZ179" s="123" t="s">
        <v>4</v>
      </c>
    </row>
    <row r="180" spans="1:52" s="110" customFormat="1" ht="11.25" customHeight="1">
      <c r="A180" s="123" t="s">
        <v>448</v>
      </c>
      <c r="B180" s="123">
        <v>1</v>
      </c>
      <c r="C180" s="126">
        <v>173</v>
      </c>
      <c r="D180" s="124" t="s">
        <v>449</v>
      </c>
      <c r="E180" s="191">
        <v>185</v>
      </c>
      <c r="F180" s="125">
        <f>ROUND(E180*Valores!$C$2,2)</f>
        <v>7526.13</v>
      </c>
      <c r="G180" s="191">
        <f>1835</f>
        <v>1835</v>
      </c>
      <c r="H180" s="125">
        <f>ROUND(G180*Valores!$C$2,2)</f>
        <v>74651.1</v>
      </c>
      <c r="I180" s="191">
        <v>0</v>
      </c>
      <c r="J180" s="125">
        <f>ROUND(I180*Valores!$C$2,2)</f>
        <v>0</v>
      </c>
      <c r="K180" s="191">
        <v>1300</v>
      </c>
      <c r="L180" s="125">
        <f>ROUND(K180*Valores!$C$2,2)</f>
        <v>52886.34</v>
      </c>
      <c r="M180" s="125">
        <f>ROUND(IF($H$2=0,IF(AND(A180&lt;&gt;"13-930",A180&lt;&gt;"13-940"),(SUM(F180,H180,J180,L180,X180,T180,R180)*Valores!$C$4),0),0),2)</f>
        <v>26423.38</v>
      </c>
      <c r="N180" s="125">
        <f t="shared" si="19"/>
        <v>0</v>
      </c>
      <c r="O180" s="125">
        <f>Valores!$C$9</f>
        <v>51121.66</v>
      </c>
      <c r="P180" s="125">
        <f>Valores!$D$5</f>
        <v>20796.54</v>
      </c>
      <c r="Q180" s="125">
        <f>Valores!$C$22</f>
        <v>18553.83</v>
      </c>
      <c r="R180" s="125">
        <f>IF($F$4="NO",Valores!$C$47,Valores!$C$47/2)</f>
        <v>21740.79</v>
      </c>
      <c r="S180" s="125">
        <f>Valores!$C$19</f>
        <v>19351.52</v>
      </c>
      <c r="T180" s="125">
        <f t="shared" si="25"/>
        <v>19351.52</v>
      </c>
      <c r="U180" s="125">
        <v>0</v>
      </c>
      <c r="V180" s="125">
        <v>0</v>
      </c>
      <c r="W180" s="191">
        <v>0</v>
      </c>
      <c r="X180" s="125">
        <f>ROUND(W180*Valores!$C$2,2)</f>
        <v>0</v>
      </c>
      <c r="Y180" s="125">
        <v>0</v>
      </c>
      <c r="Z180" s="125">
        <f>Valores!$C$96</f>
        <v>56956.28</v>
      </c>
      <c r="AA180" s="125">
        <f>Valores!$C$25</f>
        <v>850.59</v>
      </c>
      <c r="AB180" s="210">
        <v>0</v>
      </c>
      <c r="AC180" s="125">
        <f t="shared" si="20"/>
        <v>0</v>
      </c>
      <c r="AD180" s="125">
        <f>Valores!$C$26</f>
        <v>850.59</v>
      </c>
      <c r="AE180" s="191">
        <v>0</v>
      </c>
      <c r="AF180" s="125">
        <f>ROUND(AE180*Valores!$C$2,2)</f>
        <v>0</v>
      </c>
      <c r="AG180" s="125">
        <f>ROUND(IF($F$4="NO",Valores!$C$63,Valores!$C$63/2),2)</f>
        <v>9724.47</v>
      </c>
      <c r="AH180" s="125">
        <f t="shared" si="23"/>
        <v>361433.2200000001</v>
      </c>
      <c r="AI180" s="125">
        <f>Valores!$C$31</f>
        <v>0</v>
      </c>
      <c r="AJ180" s="125">
        <f>Valores!$C$89</f>
        <v>0</v>
      </c>
      <c r="AK180" s="125">
        <f>Valores!C$38*B180</f>
        <v>0</v>
      </c>
      <c r="AL180" s="125">
        <f>IF($F$3="NO",0,Valores!$C$55)</f>
        <v>0</v>
      </c>
      <c r="AM180" s="125">
        <f t="shared" si="21"/>
        <v>0</v>
      </c>
      <c r="AN180" s="125">
        <f>AH180*Valores!$C$71</f>
        <v>-39757.65420000001</v>
      </c>
      <c r="AO180" s="125">
        <f>AH180*-Valores!$C$72</f>
        <v>0</v>
      </c>
      <c r="AP180" s="125">
        <f>AH180*Valores!$C$73</f>
        <v>-16264.494900000003</v>
      </c>
      <c r="AQ180" s="125">
        <f>Valores!$C$100</f>
        <v>-554.86</v>
      </c>
      <c r="AR180" s="125">
        <f>IF($F$5=0,Valores!$C$101,(Valores!$C$101+$F$5*(Valores!$C$101)))</f>
        <v>-550</v>
      </c>
      <c r="AS180" s="125">
        <f t="shared" si="24"/>
        <v>304306.21090000006</v>
      </c>
      <c r="AT180" s="125">
        <f t="shared" si="18"/>
        <v>-39757.65420000001</v>
      </c>
      <c r="AU180" s="125">
        <f>AH180*Valores!$C$74</f>
        <v>-9758.696940000002</v>
      </c>
      <c r="AV180" s="125">
        <f>AH180*Valores!$C$75</f>
        <v>-1084.2996600000004</v>
      </c>
      <c r="AW180" s="125">
        <f t="shared" si="22"/>
        <v>310832.5692000001</v>
      </c>
      <c r="AX180" s="126"/>
      <c r="AY180" s="126">
        <v>45</v>
      </c>
      <c r="AZ180" s="123" t="s">
        <v>4</v>
      </c>
    </row>
    <row r="181" spans="1:52" s="110" customFormat="1" ht="11.25" customHeight="1">
      <c r="A181" s="123" t="s">
        <v>450</v>
      </c>
      <c r="B181" s="123">
        <v>1</v>
      </c>
      <c r="C181" s="126">
        <v>174</v>
      </c>
      <c r="D181" s="124" t="s">
        <v>451</v>
      </c>
      <c r="E181" s="191">
        <v>160</v>
      </c>
      <c r="F181" s="125">
        <f>ROUND(E181*Valores!$C$2,2)</f>
        <v>6509.09</v>
      </c>
      <c r="G181" s="191">
        <f>1484</f>
        <v>1484</v>
      </c>
      <c r="H181" s="125">
        <f>ROUND(G181*Valores!$C$2,2)</f>
        <v>60371.79</v>
      </c>
      <c r="I181" s="191">
        <v>0</v>
      </c>
      <c r="J181" s="125">
        <f>ROUND(I181*Valores!$C$2,2)</f>
        <v>0</v>
      </c>
      <c r="K181" s="191">
        <v>1300</v>
      </c>
      <c r="L181" s="125">
        <f>ROUND(K181*Valores!$C$2,2)</f>
        <v>52886.34</v>
      </c>
      <c r="M181" s="125">
        <f>ROUND(IF($H$2=0,IF(AND(A181&lt;&gt;"13-930",A181&lt;&gt;"13-940"),(SUM(F181,H181,J181,L181,X181,T181,R181)*Valores!$C$4),0),0),2)</f>
        <v>24128.93</v>
      </c>
      <c r="N181" s="125">
        <f t="shared" si="19"/>
        <v>0</v>
      </c>
      <c r="O181" s="125">
        <f>Valores!$C$9</f>
        <v>51121.66</v>
      </c>
      <c r="P181" s="125">
        <f>Valores!$D$5</f>
        <v>20796.54</v>
      </c>
      <c r="Q181" s="125">
        <f>Valores!$C$22</f>
        <v>18553.83</v>
      </c>
      <c r="R181" s="125">
        <f>IF($F$4="NO",Valores!$C$47,Valores!$C$47/2)</f>
        <v>21740.79</v>
      </c>
      <c r="S181" s="125">
        <f>Valores!$C$19</f>
        <v>19351.52</v>
      </c>
      <c r="T181" s="125">
        <f t="shared" si="25"/>
        <v>19351.52</v>
      </c>
      <c r="U181" s="125">
        <v>0</v>
      </c>
      <c r="V181" s="125">
        <v>0</v>
      </c>
      <c r="W181" s="191">
        <v>0</v>
      </c>
      <c r="X181" s="125">
        <f>ROUND(W181*Valores!$C$2,2)</f>
        <v>0</v>
      </c>
      <c r="Y181" s="125">
        <v>0</v>
      </c>
      <c r="Z181" s="125">
        <f>Valores!$C$96</f>
        <v>56956.28</v>
      </c>
      <c r="AA181" s="125">
        <f>Valores!$C$25</f>
        <v>850.59</v>
      </c>
      <c r="AB181" s="210">
        <v>0</v>
      </c>
      <c r="AC181" s="125">
        <f t="shared" si="20"/>
        <v>0</v>
      </c>
      <c r="AD181" s="125">
        <f>Valores!$C$26</f>
        <v>850.59</v>
      </c>
      <c r="AE181" s="191">
        <v>0</v>
      </c>
      <c r="AF181" s="125">
        <f>ROUND(AE181*Valores!$C$2,2)</f>
        <v>0</v>
      </c>
      <c r="AG181" s="125">
        <f>ROUND(IF($F$4="NO",Valores!$C$63,Valores!$C$63/2),2)</f>
        <v>9724.47</v>
      </c>
      <c r="AH181" s="125">
        <f t="shared" si="23"/>
        <v>343842.42000000004</v>
      </c>
      <c r="AI181" s="125">
        <f>Valores!$C$31</f>
        <v>0</v>
      </c>
      <c r="AJ181" s="125">
        <f>Valores!$C$89</f>
        <v>0</v>
      </c>
      <c r="AK181" s="125">
        <f>Valores!C$38*B181</f>
        <v>0</v>
      </c>
      <c r="AL181" s="125">
        <f>IF($F$3="NO",0,Valores!$C$55)</f>
        <v>0</v>
      </c>
      <c r="AM181" s="125">
        <f t="shared" si="21"/>
        <v>0</v>
      </c>
      <c r="AN181" s="125">
        <f>AH181*Valores!$C$71</f>
        <v>-37822.66620000001</v>
      </c>
      <c r="AO181" s="125">
        <f>AH181*-Valores!$C$72</f>
        <v>0</v>
      </c>
      <c r="AP181" s="125">
        <f>AH181*Valores!$C$73</f>
        <v>-15472.908900000002</v>
      </c>
      <c r="AQ181" s="125">
        <f>Valores!$C$100</f>
        <v>-554.86</v>
      </c>
      <c r="AR181" s="125">
        <f>IF($F$5=0,Valores!$C$101,(Valores!$C$101+$F$5*(Valores!$C$101)))</f>
        <v>-550</v>
      </c>
      <c r="AS181" s="125">
        <f t="shared" si="24"/>
        <v>289441.98490000004</v>
      </c>
      <c r="AT181" s="125">
        <f t="shared" si="18"/>
        <v>-37822.66620000001</v>
      </c>
      <c r="AU181" s="125">
        <f>AH181*Valores!$C$74</f>
        <v>-9283.745340000001</v>
      </c>
      <c r="AV181" s="125">
        <f>AH181*Valores!$C$75</f>
        <v>-1031.52726</v>
      </c>
      <c r="AW181" s="125">
        <f t="shared" si="22"/>
        <v>295704.48120000004</v>
      </c>
      <c r="AX181" s="126"/>
      <c r="AY181" s="126">
        <v>45</v>
      </c>
      <c r="AZ181" s="123" t="s">
        <v>4</v>
      </c>
    </row>
    <row r="182" spans="1:52" s="110" customFormat="1" ht="11.25" customHeight="1">
      <c r="A182" s="123" t="s">
        <v>452</v>
      </c>
      <c r="B182" s="123">
        <v>1</v>
      </c>
      <c r="C182" s="126">
        <v>175</v>
      </c>
      <c r="D182" s="124" t="s">
        <v>453</v>
      </c>
      <c r="E182" s="191">
        <v>1278</v>
      </c>
      <c r="F182" s="125">
        <f>ROUND(E182*Valores!$C$2,2)</f>
        <v>51991.34</v>
      </c>
      <c r="G182" s="191">
        <v>0</v>
      </c>
      <c r="H182" s="125">
        <f>ROUND(G182*Valores!$C$2,2)</f>
        <v>0</v>
      </c>
      <c r="I182" s="191">
        <v>0</v>
      </c>
      <c r="J182" s="125">
        <f>ROUND(I182*Valores!$C$2,2)</f>
        <v>0</v>
      </c>
      <c r="K182" s="191">
        <v>1200</v>
      </c>
      <c r="L182" s="125">
        <f>ROUND(K182*Valores!$C$2,2)</f>
        <v>48818.16</v>
      </c>
      <c r="M182" s="125">
        <f>ROUND(IF($H$2=0,IF(AND(A182&lt;&gt;"13-930",A182&lt;&gt;"13-940"),(SUM(F182,H182,J182,L182,X182,T182,R182)*Valores!$C$4),0),0),2)</f>
        <v>21285.27</v>
      </c>
      <c r="N182" s="125">
        <f t="shared" si="19"/>
        <v>0</v>
      </c>
      <c r="O182" s="125">
        <f>Valores!$C$16</f>
        <v>35154.38</v>
      </c>
      <c r="P182" s="125">
        <f>Valores!$D$5</f>
        <v>20796.54</v>
      </c>
      <c r="Q182" s="125">
        <f>Valores!$C$22</f>
        <v>18553.83</v>
      </c>
      <c r="R182" s="125">
        <f>IF($F$4="NO",Valores!$C$47,Valores!$C$47/2)</f>
        <v>21740.79</v>
      </c>
      <c r="S182" s="125">
        <f>Valores!$C$19</f>
        <v>19351.52</v>
      </c>
      <c r="T182" s="125">
        <f t="shared" si="25"/>
        <v>19351.52</v>
      </c>
      <c r="U182" s="125">
        <v>0</v>
      </c>
      <c r="V182" s="125">
        <v>0</v>
      </c>
      <c r="W182" s="191">
        <v>0</v>
      </c>
      <c r="X182" s="125">
        <f>ROUND(W182*Valores!$C$2,2)</f>
        <v>0</v>
      </c>
      <c r="Y182" s="125">
        <v>0</v>
      </c>
      <c r="Z182" s="125">
        <f>Valores!$C$96</f>
        <v>56956.28</v>
      </c>
      <c r="AA182" s="125">
        <f>Valores!$C$25</f>
        <v>850.59</v>
      </c>
      <c r="AB182" s="210">
        <v>0</v>
      </c>
      <c r="AC182" s="125">
        <f t="shared" si="20"/>
        <v>0</v>
      </c>
      <c r="AD182" s="125">
        <f>Valores!$C$26</f>
        <v>850.59</v>
      </c>
      <c r="AE182" s="191">
        <v>0</v>
      </c>
      <c r="AF182" s="125">
        <f>ROUND(AE182*Valores!$C$2,2)</f>
        <v>0</v>
      </c>
      <c r="AG182" s="125">
        <f>ROUND(IF($F$4="NO",Valores!$C$63,Valores!$C$63/2),2)</f>
        <v>9724.47</v>
      </c>
      <c r="AH182" s="125">
        <f t="shared" si="23"/>
        <v>306073.76</v>
      </c>
      <c r="AI182" s="125">
        <f>Valores!$C$31</f>
        <v>0</v>
      </c>
      <c r="AJ182" s="125">
        <f>Valores!$C$89</f>
        <v>0</v>
      </c>
      <c r="AK182" s="125">
        <f>Valores!C$38*B182</f>
        <v>0</v>
      </c>
      <c r="AL182" s="125">
        <f>IF($F$3="NO",0,Valores!$C$55)</f>
        <v>0</v>
      </c>
      <c r="AM182" s="125">
        <f t="shared" si="21"/>
        <v>0</v>
      </c>
      <c r="AN182" s="125">
        <f>AH182*Valores!$C$71</f>
        <v>-33668.113600000004</v>
      </c>
      <c r="AO182" s="125">
        <f>AH182*-Valores!$C$72</f>
        <v>0</v>
      </c>
      <c r="AP182" s="125">
        <f>AH182*Valores!$C$73</f>
        <v>-13773.3192</v>
      </c>
      <c r="AQ182" s="125">
        <f>Valores!$C$100</f>
        <v>-554.86</v>
      </c>
      <c r="AR182" s="125">
        <f>IF($F$5=0,Valores!$C$101,(Valores!$C$101+$F$5*(Valores!$C$101)))</f>
        <v>-550</v>
      </c>
      <c r="AS182" s="125">
        <f t="shared" si="24"/>
        <v>257527.4672</v>
      </c>
      <c r="AT182" s="125">
        <f t="shared" si="18"/>
        <v>-33668.113600000004</v>
      </c>
      <c r="AU182" s="125">
        <f>AH182*Valores!$C$74</f>
        <v>-8263.99152</v>
      </c>
      <c r="AV182" s="125">
        <f>AH182*Valores!$C$75</f>
        <v>-918.2212800000001</v>
      </c>
      <c r="AW182" s="125">
        <f t="shared" si="22"/>
        <v>263223.4336</v>
      </c>
      <c r="AX182" s="126"/>
      <c r="AY182" s="126"/>
      <c r="AZ182" s="123" t="s">
        <v>4</v>
      </c>
    </row>
    <row r="183" spans="1:52" s="110" customFormat="1" ht="11.25" customHeight="1">
      <c r="A183" s="123" t="s">
        <v>454</v>
      </c>
      <c r="B183" s="123">
        <v>1</v>
      </c>
      <c r="C183" s="126">
        <v>176</v>
      </c>
      <c r="D183" s="124" t="s">
        <v>455</v>
      </c>
      <c r="E183" s="191">
        <v>971</v>
      </c>
      <c r="F183" s="125">
        <f>ROUND(E183*Valores!$C$2,2)</f>
        <v>39502.03</v>
      </c>
      <c r="G183" s="191">
        <v>0</v>
      </c>
      <c r="H183" s="125">
        <f>ROUND(G183*Valores!$C$2,2)</f>
        <v>0</v>
      </c>
      <c r="I183" s="191">
        <v>0</v>
      </c>
      <c r="J183" s="125">
        <f>ROUND(I183*Valores!$C$2,2)</f>
        <v>0</v>
      </c>
      <c r="K183" s="191">
        <v>660</v>
      </c>
      <c r="L183" s="125">
        <f>ROUND(K183*Valores!$C$2,2)</f>
        <v>26849.99</v>
      </c>
      <c r="M183" s="125">
        <f>ROUND(IF($H$2=0,IF(AND(A183&lt;&gt;"13-930",A183&lt;&gt;"13-940"),(SUM(F183,H183,J183,L183,X183,T183,R183)*Valores!$C$4),0),0),2)</f>
        <v>16116.65</v>
      </c>
      <c r="N183" s="125">
        <f t="shared" si="19"/>
        <v>0</v>
      </c>
      <c r="O183" s="125">
        <f>Valores!$C$16</f>
        <v>35154.38</v>
      </c>
      <c r="P183" s="125">
        <f>Valores!$D$5</f>
        <v>20796.54</v>
      </c>
      <c r="Q183" s="125">
        <f>Valores!$C$23</f>
        <v>17268.68</v>
      </c>
      <c r="R183" s="125">
        <f>IF($F$4="NO",Valores!$C$47,Valores!$C$47/2)</f>
        <v>21740.79</v>
      </c>
      <c r="S183" s="125">
        <f>Valores!$C$19</f>
        <v>19351.52</v>
      </c>
      <c r="T183" s="125">
        <f t="shared" si="25"/>
        <v>19351.52</v>
      </c>
      <c r="U183" s="125">
        <v>0</v>
      </c>
      <c r="V183" s="125">
        <v>0</v>
      </c>
      <c r="W183" s="191">
        <v>0</v>
      </c>
      <c r="X183" s="125">
        <f>ROUND(W183*Valores!$C$2,2)</f>
        <v>0</v>
      </c>
      <c r="Y183" s="125">
        <v>0</v>
      </c>
      <c r="Z183" s="125">
        <f>Valores!$C$96</f>
        <v>56956.28</v>
      </c>
      <c r="AA183" s="125">
        <f>Valores!$C$25</f>
        <v>850.59</v>
      </c>
      <c r="AB183" s="210">
        <v>0</v>
      </c>
      <c r="AC183" s="125">
        <f t="shared" si="20"/>
        <v>0</v>
      </c>
      <c r="AD183" s="125">
        <f>Valores!$C$26</f>
        <v>850.59</v>
      </c>
      <c r="AE183" s="191">
        <v>0</v>
      </c>
      <c r="AF183" s="125">
        <f>ROUND(AE183*Valores!$C$2,2)</f>
        <v>0</v>
      </c>
      <c r="AG183" s="125">
        <f>ROUND(IF($F$4="NO",Valores!$C$63,Valores!$C$63/2),2)</f>
        <v>9724.47</v>
      </c>
      <c r="AH183" s="125">
        <f t="shared" si="23"/>
        <v>265162.50999999995</v>
      </c>
      <c r="AI183" s="125">
        <f>Valores!$C$31</f>
        <v>0</v>
      </c>
      <c r="AJ183" s="125">
        <f>Valores!$C$89</f>
        <v>0</v>
      </c>
      <c r="AK183" s="125">
        <f>Valores!C$38*B183</f>
        <v>0</v>
      </c>
      <c r="AL183" s="125">
        <f>IF($F$3="NO",0,Valores!$C$55)</f>
        <v>0</v>
      </c>
      <c r="AM183" s="125">
        <f t="shared" si="21"/>
        <v>0</v>
      </c>
      <c r="AN183" s="125">
        <f>AH183*Valores!$C$71</f>
        <v>-29167.876099999994</v>
      </c>
      <c r="AO183" s="125">
        <f>AH183*-Valores!$C$72</f>
        <v>0</v>
      </c>
      <c r="AP183" s="125">
        <f>AH183*Valores!$C$73</f>
        <v>-11932.312949999998</v>
      </c>
      <c r="AQ183" s="125">
        <f>Valores!$C$100</f>
        <v>-554.86</v>
      </c>
      <c r="AR183" s="125">
        <f>IF($F$5=0,Valores!$C$101,(Valores!$C$101+$F$5*(Valores!$C$101)))</f>
        <v>-550</v>
      </c>
      <c r="AS183" s="125">
        <f t="shared" si="24"/>
        <v>222957.46094999995</v>
      </c>
      <c r="AT183" s="125">
        <f t="shared" si="18"/>
        <v>-29167.876099999994</v>
      </c>
      <c r="AU183" s="125">
        <f>AH183*Valores!$C$74</f>
        <v>-7159.387769999998</v>
      </c>
      <c r="AV183" s="125">
        <f>AH183*Valores!$C$75</f>
        <v>-795.4875299999999</v>
      </c>
      <c r="AW183" s="125">
        <f t="shared" si="22"/>
        <v>228039.75859999994</v>
      </c>
      <c r="AX183" s="126"/>
      <c r="AY183" s="126">
        <v>18</v>
      </c>
      <c r="AZ183" s="123" t="s">
        <v>4</v>
      </c>
    </row>
    <row r="184" spans="1:52" s="110" customFormat="1" ht="11.25" customHeight="1">
      <c r="A184" s="123" t="s">
        <v>456</v>
      </c>
      <c r="B184" s="123">
        <v>1</v>
      </c>
      <c r="C184" s="126">
        <v>177</v>
      </c>
      <c r="D184" s="124" t="s">
        <v>457</v>
      </c>
      <c r="E184" s="191">
        <v>179</v>
      </c>
      <c r="F184" s="125">
        <f>ROUND(E184*Valores!$C$2,2)</f>
        <v>7282.04</v>
      </c>
      <c r="G184" s="191">
        <f>1323</f>
        <v>1323</v>
      </c>
      <c r="H184" s="125">
        <f>ROUND(G184*Valores!$C$2,2)</f>
        <v>53822.02</v>
      </c>
      <c r="I184" s="191">
        <v>0</v>
      </c>
      <c r="J184" s="125">
        <f>ROUND(I184*Valores!$C$2,2)</f>
        <v>0</v>
      </c>
      <c r="K184" s="191">
        <v>1300</v>
      </c>
      <c r="L184" s="125">
        <f>ROUND(K184*Valores!$C$2,2)</f>
        <v>52886.34</v>
      </c>
      <c r="M184" s="125">
        <f>ROUND(IF($H$2=0,IF(AND(A184&lt;&gt;"13-930",A184&lt;&gt;"13-940"),(SUM(F184,H184,J184,L184,X184,T184,R184)*Valores!$C$4),0),0),2)</f>
        <v>23262.41</v>
      </c>
      <c r="N184" s="125">
        <f t="shared" si="19"/>
        <v>0</v>
      </c>
      <c r="O184" s="125">
        <f>Valores!$C$9</f>
        <v>51121.66</v>
      </c>
      <c r="P184" s="125">
        <f>Valores!$D$5</f>
        <v>20796.54</v>
      </c>
      <c r="Q184" s="125">
        <f>Valores!$C$22</f>
        <v>18553.83</v>
      </c>
      <c r="R184" s="125">
        <f>IF($F$4="NO",Valores!$C$47,Valores!$C$47/2)</f>
        <v>21740.79</v>
      </c>
      <c r="S184" s="125">
        <f>Valores!$C$19</f>
        <v>19351.52</v>
      </c>
      <c r="T184" s="125">
        <f t="shared" si="25"/>
        <v>19351.52</v>
      </c>
      <c r="U184" s="125">
        <v>0</v>
      </c>
      <c r="V184" s="125">
        <v>0</v>
      </c>
      <c r="W184" s="191">
        <v>0</v>
      </c>
      <c r="X184" s="125">
        <f>ROUND(W184*Valores!$C$2,2)</f>
        <v>0</v>
      </c>
      <c r="Y184" s="125">
        <v>0</v>
      </c>
      <c r="Z184" s="125">
        <f>Valores!$C$96</f>
        <v>56956.28</v>
      </c>
      <c r="AA184" s="125">
        <f>Valores!$C$25</f>
        <v>850.59</v>
      </c>
      <c r="AB184" s="210">
        <v>0</v>
      </c>
      <c r="AC184" s="125">
        <f t="shared" si="20"/>
        <v>0</v>
      </c>
      <c r="AD184" s="125">
        <f>Valores!$C$26</f>
        <v>850.59</v>
      </c>
      <c r="AE184" s="191">
        <v>0</v>
      </c>
      <c r="AF184" s="125">
        <f>ROUND(AE184*Valores!$C$2,2)</f>
        <v>0</v>
      </c>
      <c r="AG184" s="125">
        <f>ROUND(IF($F$4="NO",Valores!$C$63,Valores!$C$63/2),2)</f>
        <v>9724.47</v>
      </c>
      <c r="AH184" s="125">
        <f t="shared" si="23"/>
        <v>337199.0800000001</v>
      </c>
      <c r="AI184" s="125">
        <f>Valores!$C$31</f>
        <v>0</v>
      </c>
      <c r="AJ184" s="125">
        <f>Valores!$C$89</f>
        <v>0</v>
      </c>
      <c r="AK184" s="125">
        <f>Valores!C$38*B184</f>
        <v>0</v>
      </c>
      <c r="AL184" s="125">
        <v>0</v>
      </c>
      <c r="AM184" s="125">
        <f t="shared" si="21"/>
        <v>0</v>
      </c>
      <c r="AN184" s="125">
        <f>AH184*Valores!$C$71</f>
        <v>-37091.89880000001</v>
      </c>
      <c r="AO184" s="125">
        <f>AH184*-Valores!$C$72</f>
        <v>0</v>
      </c>
      <c r="AP184" s="125">
        <f>AH184*Valores!$C$73</f>
        <v>-15173.958600000004</v>
      </c>
      <c r="AQ184" s="125">
        <f>Valores!$C$100</f>
        <v>-554.86</v>
      </c>
      <c r="AR184" s="125">
        <f>IF($F$5=0,Valores!$C$101,(Valores!$C$101+$F$5*(Valores!$C$101)))</f>
        <v>-550</v>
      </c>
      <c r="AS184" s="125">
        <f t="shared" si="24"/>
        <v>283828.36260000005</v>
      </c>
      <c r="AT184" s="125">
        <f t="shared" si="18"/>
        <v>-37091.89880000001</v>
      </c>
      <c r="AU184" s="125">
        <f>AH184*Valores!$C$74</f>
        <v>-9104.375160000001</v>
      </c>
      <c r="AV184" s="125">
        <f>AH184*Valores!$C$75</f>
        <v>-1011.5972400000003</v>
      </c>
      <c r="AW184" s="125">
        <f t="shared" si="22"/>
        <v>289991.2088000001</v>
      </c>
      <c r="AX184" s="126"/>
      <c r="AY184" s="126">
        <v>45</v>
      </c>
      <c r="AZ184" s="123" t="s">
        <v>4</v>
      </c>
    </row>
    <row r="185" spans="1:52" s="110" customFormat="1" ht="11.25" customHeight="1">
      <c r="A185" s="123" t="s">
        <v>458</v>
      </c>
      <c r="B185" s="123">
        <v>1</v>
      </c>
      <c r="C185" s="126">
        <v>178</v>
      </c>
      <c r="D185" s="124" t="s">
        <v>459</v>
      </c>
      <c r="E185" s="191">
        <v>64</v>
      </c>
      <c r="F185" s="125">
        <f>ROUND(E185*Valores!$C$2,2)</f>
        <v>2603.64</v>
      </c>
      <c r="G185" s="191">
        <v>1354</v>
      </c>
      <c r="H185" s="125">
        <f>ROUND(G185*Valores!$C$2,2)</f>
        <v>55083.16</v>
      </c>
      <c r="I185" s="191">
        <v>0</v>
      </c>
      <c r="J185" s="125">
        <f>ROUND(I185*Valores!$C$2,2)</f>
        <v>0</v>
      </c>
      <c r="K185" s="191">
        <v>1200</v>
      </c>
      <c r="L185" s="125">
        <f>ROUND(K185*Valores!$C$2,2)</f>
        <v>48818.16</v>
      </c>
      <c r="M185" s="125">
        <f>ROUND(IF($H$2=0,IF(AND(A185&lt;&gt;"13-930",A185&lt;&gt;"13-940"),(SUM(F185,H185,J185,L185,X185,T185,R185)*Valores!$C$4),0),0),2)</f>
        <v>22109.91</v>
      </c>
      <c r="N185" s="125">
        <f t="shared" si="19"/>
        <v>0</v>
      </c>
      <c r="O185" s="125">
        <f>Valores!$C$14</f>
        <v>40510.89</v>
      </c>
      <c r="P185" s="125">
        <f>Valores!$D$5</f>
        <v>20796.54</v>
      </c>
      <c r="Q185" s="125">
        <v>0</v>
      </c>
      <c r="R185" s="125">
        <f>IF($F$4="NO",Valores!$C$47,Valores!$C$47/2)</f>
        <v>21740.79</v>
      </c>
      <c r="S185" s="125">
        <f>Valores!$C$20</f>
        <v>19153.67</v>
      </c>
      <c r="T185" s="125">
        <f t="shared" si="25"/>
        <v>19153.67</v>
      </c>
      <c r="U185" s="125">
        <v>0</v>
      </c>
      <c r="V185" s="125">
        <v>0</v>
      </c>
      <c r="W185" s="191">
        <v>0</v>
      </c>
      <c r="X185" s="125">
        <f>ROUND(W185*Valores!$C$2,2)</f>
        <v>0</v>
      </c>
      <c r="Y185" s="125">
        <v>0</v>
      </c>
      <c r="Z185" s="125">
        <f>Valores!$C$96</f>
        <v>56956.28</v>
      </c>
      <c r="AA185" s="125">
        <f>Valores!$C$25</f>
        <v>850.59</v>
      </c>
      <c r="AB185" s="210">
        <v>0</v>
      </c>
      <c r="AC185" s="125">
        <f t="shared" si="20"/>
        <v>0</v>
      </c>
      <c r="AD185" s="125">
        <f>Valores!$C$26</f>
        <v>850.59</v>
      </c>
      <c r="AE185" s="191">
        <v>0</v>
      </c>
      <c r="AF185" s="125">
        <f>ROUND(AE185*Valores!$C$2,2)</f>
        <v>0</v>
      </c>
      <c r="AG185" s="125">
        <f>ROUND(IF($F$4="NO",Valores!$C$63,Valores!$C$63/2),2)</f>
        <v>9724.47</v>
      </c>
      <c r="AH185" s="125">
        <f t="shared" si="23"/>
        <v>299198.69000000006</v>
      </c>
      <c r="AI185" s="125">
        <f>Valores!$C$31</f>
        <v>0</v>
      </c>
      <c r="AJ185" s="125">
        <f>Valores!$C$89</f>
        <v>0</v>
      </c>
      <c r="AK185" s="125">
        <f>Valores!C$38*B185</f>
        <v>0</v>
      </c>
      <c r="AL185" s="125">
        <v>0</v>
      </c>
      <c r="AM185" s="125">
        <f t="shared" si="21"/>
        <v>0</v>
      </c>
      <c r="AN185" s="125">
        <f>AH185*Valores!$C$71</f>
        <v>-32911.85590000001</v>
      </c>
      <c r="AO185" s="125">
        <f>AH185*-Valores!$C$72</f>
        <v>0</v>
      </c>
      <c r="AP185" s="125">
        <f>AH185*Valores!$C$73</f>
        <v>-13463.941050000003</v>
      </c>
      <c r="AQ185" s="125">
        <f>Valores!$C$100</f>
        <v>-554.86</v>
      </c>
      <c r="AR185" s="125">
        <f>IF($F$5=0,Valores!$C$101,(Valores!$C$101+$F$5*(Valores!$C$101)))</f>
        <v>-550</v>
      </c>
      <c r="AS185" s="125">
        <f t="shared" si="24"/>
        <v>251718.03305000006</v>
      </c>
      <c r="AT185" s="125">
        <f t="shared" si="18"/>
        <v>-32911.85590000001</v>
      </c>
      <c r="AU185" s="125">
        <f>AH185*Valores!$C$74</f>
        <v>-8078.364630000002</v>
      </c>
      <c r="AV185" s="125">
        <f>AH185*Valores!$C$75</f>
        <v>-897.5960700000002</v>
      </c>
      <c r="AW185" s="125">
        <f t="shared" si="22"/>
        <v>257310.87340000004</v>
      </c>
      <c r="AX185" s="126"/>
      <c r="AY185" s="126">
        <v>30</v>
      </c>
      <c r="AZ185" s="123" t="s">
        <v>8</v>
      </c>
    </row>
    <row r="186" spans="1:52" s="110" customFormat="1" ht="11.25" customHeight="1">
      <c r="A186" s="123" t="s">
        <v>460</v>
      </c>
      <c r="B186" s="123">
        <v>1</v>
      </c>
      <c r="C186" s="126">
        <v>179</v>
      </c>
      <c r="D186" s="124" t="s">
        <v>461</v>
      </c>
      <c r="E186" s="191">
        <v>55</v>
      </c>
      <c r="F186" s="125">
        <f>ROUND(E186*Valores!$C$2,2)</f>
        <v>2237.5</v>
      </c>
      <c r="G186" s="191">
        <v>1279</v>
      </c>
      <c r="H186" s="125">
        <f>ROUND(G186*Valores!$C$2,2)</f>
        <v>52032.02</v>
      </c>
      <c r="I186" s="191">
        <v>0</v>
      </c>
      <c r="J186" s="125">
        <f>ROUND(I186*Valores!$C$2,2)</f>
        <v>0</v>
      </c>
      <c r="K186" s="191">
        <v>1200</v>
      </c>
      <c r="L186" s="125">
        <f>ROUND(K186*Valores!$C$2,2)</f>
        <v>48818.16</v>
      </c>
      <c r="M186" s="125">
        <f>ROUND(IF($H$2=0,IF(AND(A186&lt;&gt;"13-930",A186&lt;&gt;"13-940"),(SUM(F186,H186,J186,L186,X186,T186,R186)*Valores!$C$4),0),0),2)</f>
        <v>21627</v>
      </c>
      <c r="N186" s="125">
        <f t="shared" si="19"/>
        <v>0</v>
      </c>
      <c r="O186" s="125">
        <f>Valores!$C$16</f>
        <v>35154.38</v>
      </c>
      <c r="P186" s="125">
        <f>Valores!$D$5</f>
        <v>20796.54</v>
      </c>
      <c r="Q186" s="125">
        <v>0</v>
      </c>
      <c r="R186" s="125">
        <f>IF($F$4="NO",Valores!$C$47,Valores!$C$47/2)</f>
        <v>21740.79</v>
      </c>
      <c r="S186" s="125">
        <f>Valores!$C$19</f>
        <v>19351.52</v>
      </c>
      <c r="T186" s="125">
        <f t="shared" si="25"/>
        <v>19351.52</v>
      </c>
      <c r="U186" s="125">
        <v>0</v>
      </c>
      <c r="V186" s="125">
        <v>0</v>
      </c>
      <c r="W186" s="191">
        <v>0</v>
      </c>
      <c r="X186" s="125">
        <f>ROUND(W186*Valores!$C$2,2)</f>
        <v>0</v>
      </c>
      <c r="Y186" s="125">
        <v>0</v>
      </c>
      <c r="Z186" s="125">
        <f>Valores!$C$96</f>
        <v>56956.28</v>
      </c>
      <c r="AA186" s="125">
        <f>Valores!$C$25</f>
        <v>850.59</v>
      </c>
      <c r="AB186" s="210">
        <v>0</v>
      </c>
      <c r="AC186" s="125">
        <f t="shared" si="20"/>
        <v>0</v>
      </c>
      <c r="AD186" s="125">
        <f>Valores!$C$26</f>
        <v>850.59</v>
      </c>
      <c r="AE186" s="191">
        <v>0</v>
      </c>
      <c r="AF186" s="125">
        <f>ROUND(AE186*Valores!$C$2,2)</f>
        <v>0</v>
      </c>
      <c r="AG186" s="125">
        <f>ROUND(IF($F$4="NO",Valores!$C$63,Valores!$C$63/2),2)</f>
        <v>9724.47</v>
      </c>
      <c r="AH186" s="125">
        <f t="shared" si="23"/>
        <v>290139.84</v>
      </c>
      <c r="AI186" s="125">
        <f>Valores!$C$31</f>
        <v>0</v>
      </c>
      <c r="AJ186" s="125">
        <f>Valores!$C$89</f>
        <v>0</v>
      </c>
      <c r="AK186" s="125">
        <f>Valores!C$38*B186</f>
        <v>0</v>
      </c>
      <c r="AL186" s="125">
        <v>0</v>
      </c>
      <c r="AM186" s="125">
        <f t="shared" si="21"/>
        <v>0</v>
      </c>
      <c r="AN186" s="125">
        <f>AH186*Valores!$C$71</f>
        <v>-31915.382400000002</v>
      </c>
      <c r="AO186" s="125">
        <f>AH186*-Valores!$C$72</f>
        <v>0</v>
      </c>
      <c r="AP186" s="125">
        <f>AH186*Valores!$C$73</f>
        <v>-13056.292800000001</v>
      </c>
      <c r="AQ186" s="125">
        <f>Valores!$C$100</f>
        <v>-554.86</v>
      </c>
      <c r="AR186" s="125">
        <f>IF($F$5=0,Valores!$C$101,(Valores!$C$101+$F$5*(Valores!$C$101)))</f>
        <v>-550</v>
      </c>
      <c r="AS186" s="125">
        <f t="shared" si="24"/>
        <v>244063.3048</v>
      </c>
      <c r="AT186" s="125">
        <f t="shared" si="18"/>
        <v>-31915.382400000002</v>
      </c>
      <c r="AU186" s="125">
        <f>AH186*Valores!$C$74</f>
        <v>-7833.775680000001</v>
      </c>
      <c r="AV186" s="125">
        <f>AH186*Valores!$C$75</f>
        <v>-870.4195200000001</v>
      </c>
      <c r="AW186" s="125">
        <f t="shared" si="22"/>
        <v>249520.2624</v>
      </c>
      <c r="AX186" s="126"/>
      <c r="AY186" s="126">
        <v>30</v>
      </c>
      <c r="AZ186" s="123" t="s">
        <v>8</v>
      </c>
    </row>
    <row r="187" spans="1:52" s="110" customFormat="1" ht="11.25" customHeight="1">
      <c r="A187" s="123" t="s">
        <v>462</v>
      </c>
      <c r="B187" s="123">
        <v>1</v>
      </c>
      <c r="C187" s="126">
        <v>180</v>
      </c>
      <c r="D187" s="124" t="s">
        <v>463</v>
      </c>
      <c r="E187" s="191">
        <v>1027</v>
      </c>
      <c r="F187" s="125">
        <f>ROUND(E187*Valores!$C$2,2)</f>
        <v>41780.21</v>
      </c>
      <c r="G187" s="191">
        <v>0</v>
      </c>
      <c r="H187" s="125">
        <f>ROUND(G187*Valores!$C$2,2)</f>
        <v>0</v>
      </c>
      <c r="I187" s="191">
        <v>0</v>
      </c>
      <c r="J187" s="125">
        <f>ROUND(I187*Valores!$C$2,2)</f>
        <v>0</v>
      </c>
      <c r="K187" s="191">
        <v>1200</v>
      </c>
      <c r="L187" s="125">
        <f>ROUND(K187*Valores!$C$2,2)</f>
        <v>48818.16</v>
      </c>
      <c r="M187" s="125">
        <f>ROUND(IF($H$2=0,IF(AND(A187&lt;&gt;"13-930",A187&lt;&gt;"13-940"),(SUM(F187,H187,J187,L187,X187,T187,R187)*Valores!$C$4),0),0),2)</f>
        <v>19723.92</v>
      </c>
      <c r="N187" s="125">
        <f t="shared" si="19"/>
        <v>0</v>
      </c>
      <c r="O187" s="125">
        <f>Valores!$C$16</f>
        <v>35154.38</v>
      </c>
      <c r="P187" s="125">
        <f>Valores!$D$5</f>
        <v>20796.54</v>
      </c>
      <c r="Q187" s="125">
        <v>0</v>
      </c>
      <c r="R187" s="125">
        <f>IF($F$4="NO",Valores!$C$47,Valores!$C$47/2)</f>
        <v>21740.79</v>
      </c>
      <c r="S187" s="125">
        <f>Valores!$C$20</f>
        <v>19153.67</v>
      </c>
      <c r="T187" s="125">
        <f t="shared" si="25"/>
        <v>19153.67</v>
      </c>
      <c r="U187" s="125">
        <v>0</v>
      </c>
      <c r="V187" s="125">
        <v>0</v>
      </c>
      <c r="W187" s="191">
        <v>0</v>
      </c>
      <c r="X187" s="125">
        <f>ROUND(W187*Valores!$C$2,2)</f>
        <v>0</v>
      </c>
      <c r="Y187" s="125">
        <v>0</v>
      </c>
      <c r="Z187" s="125">
        <f>Valores!$C$96</f>
        <v>56956.28</v>
      </c>
      <c r="AA187" s="125">
        <f>Valores!$C$25</f>
        <v>850.59</v>
      </c>
      <c r="AB187" s="210">
        <v>0</v>
      </c>
      <c r="AC187" s="125">
        <f t="shared" si="20"/>
        <v>0</v>
      </c>
      <c r="AD187" s="125">
        <f>Valores!$C$26</f>
        <v>850.59</v>
      </c>
      <c r="AE187" s="191">
        <v>0</v>
      </c>
      <c r="AF187" s="125">
        <f>ROUND(AE187*Valores!$C$2,2)</f>
        <v>0</v>
      </c>
      <c r="AG187" s="125">
        <f>ROUND(IF($F$4="NO",Valores!$C$63,Valores!$C$63/2),2)</f>
        <v>9724.47</v>
      </c>
      <c r="AH187" s="125">
        <f t="shared" si="23"/>
        <v>275549.6</v>
      </c>
      <c r="AI187" s="125">
        <f>Valores!$C$31</f>
        <v>0</v>
      </c>
      <c r="AJ187" s="125">
        <f>Valores!$C$89</f>
        <v>0</v>
      </c>
      <c r="AK187" s="125">
        <f>Valores!C$38*B187</f>
        <v>0</v>
      </c>
      <c r="AL187" s="125">
        <v>0</v>
      </c>
      <c r="AM187" s="125">
        <f t="shared" si="21"/>
        <v>0</v>
      </c>
      <c r="AN187" s="125">
        <f>AH187*Valores!$C$71</f>
        <v>-30310.456</v>
      </c>
      <c r="AO187" s="125">
        <f>AH187*-Valores!$C$72</f>
        <v>0</v>
      </c>
      <c r="AP187" s="125">
        <f>AH187*Valores!$C$73</f>
        <v>-12399.731999999998</v>
      </c>
      <c r="AQ187" s="125">
        <f>Valores!$C$100</f>
        <v>-554.86</v>
      </c>
      <c r="AR187" s="125">
        <f>IF($F$5=0,Valores!$C$101,(Valores!$C$101+$F$5*(Valores!$C$101)))</f>
        <v>-550</v>
      </c>
      <c r="AS187" s="125">
        <f t="shared" si="24"/>
        <v>231734.55199999997</v>
      </c>
      <c r="AT187" s="125">
        <f t="shared" si="18"/>
        <v>-30310.456</v>
      </c>
      <c r="AU187" s="125">
        <f>AH187*Valores!$C$74</f>
        <v>-7439.839199999999</v>
      </c>
      <c r="AV187" s="125">
        <f>AH187*Valores!$C$75</f>
        <v>-826.6487999999999</v>
      </c>
      <c r="AW187" s="125">
        <f t="shared" si="22"/>
        <v>236972.65599999996</v>
      </c>
      <c r="AX187" s="126"/>
      <c r="AY187" s="126">
        <v>30</v>
      </c>
      <c r="AZ187" s="123" t="s">
        <v>8</v>
      </c>
    </row>
    <row r="188" spans="1:52" s="110" customFormat="1" ht="11.25" customHeight="1">
      <c r="A188" s="123" t="s">
        <v>464</v>
      </c>
      <c r="B188" s="123">
        <v>1</v>
      </c>
      <c r="C188" s="126">
        <v>181</v>
      </c>
      <c r="D188" s="124" t="s">
        <v>465</v>
      </c>
      <c r="E188" s="191">
        <v>1278</v>
      </c>
      <c r="F188" s="125">
        <f>ROUND(E188*Valores!$C$2,2)</f>
        <v>51991.34</v>
      </c>
      <c r="G188" s="191">
        <v>0</v>
      </c>
      <c r="H188" s="125">
        <f>ROUND(G188*Valores!$C$2,2)</f>
        <v>0</v>
      </c>
      <c r="I188" s="191">
        <v>0</v>
      </c>
      <c r="J188" s="125">
        <f>ROUND(I188*Valores!$C$2,2)</f>
        <v>0</v>
      </c>
      <c r="K188" s="191">
        <v>1200</v>
      </c>
      <c r="L188" s="125">
        <f>ROUND(K188*Valores!$C$2,2)</f>
        <v>48818.16</v>
      </c>
      <c r="M188" s="125">
        <f>ROUND(IF($H$2=0,IF(AND(A188&lt;&gt;"13-930",A188&lt;&gt;"13-940"),(SUM(F188,H188,J188,L188,X188,T188,R188)*Valores!$C$4),0),0),2)</f>
        <v>21285.27</v>
      </c>
      <c r="N188" s="125">
        <f t="shared" si="19"/>
        <v>0</v>
      </c>
      <c r="O188" s="125">
        <f>Valores!$C$16</f>
        <v>35154.38</v>
      </c>
      <c r="P188" s="125">
        <f>Valores!$D$5</f>
        <v>20796.54</v>
      </c>
      <c r="Q188" s="125">
        <f>Valores!$C$22</f>
        <v>18553.83</v>
      </c>
      <c r="R188" s="125">
        <f>IF($F$4="NO",Valores!$C$47,Valores!$C$47/2)</f>
        <v>21740.79</v>
      </c>
      <c r="S188" s="125">
        <f>Valores!$C$19</f>
        <v>19351.52</v>
      </c>
      <c r="T188" s="125">
        <f t="shared" si="25"/>
        <v>19351.52</v>
      </c>
      <c r="U188" s="125">
        <v>0</v>
      </c>
      <c r="V188" s="125">
        <v>0</v>
      </c>
      <c r="W188" s="191">
        <v>0</v>
      </c>
      <c r="X188" s="125">
        <f>ROUND(W188*Valores!$C$2,2)</f>
        <v>0</v>
      </c>
      <c r="Y188" s="125">
        <v>0</v>
      </c>
      <c r="Z188" s="125">
        <f>Valores!$C$96</f>
        <v>56956.28</v>
      </c>
      <c r="AA188" s="125">
        <f>Valores!$C$25</f>
        <v>850.59</v>
      </c>
      <c r="AB188" s="210">
        <v>0</v>
      </c>
      <c r="AC188" s="125">
        <f t="shared" si="20"/>
        <v>0</v>
      </c>
      <c r="AD188" s="125">
        <f>Valores!$C$26</f>
        <v>850.59</v>
      </c>
      <c r="AE188" s="191">
        <v>0</v>
      </c>
      <c r="AF188" s="125">
        <f>ROUND(AE188*Valores!$C$2,2)</f>
        <v>0</v>
      </c>
      <c r="AG188" s="125">
        <f>ROUND(IF($F$4="NO",Valores!$C$63,Valores!$C$63/2),2)</f>
        <v>9724.47</v>
      </c>
      <c r="AH188" s="125">
        <f t="shared" si="23"/>
        <v>306073.76</v>
      </c>
      <c r="AI188" s="125">
        <f>Valores!$C$31</f>
        <v>0</v>
      </c>
      <c r="AJ188" s="125">
        <f>Valores!$C$89</f>
        <v>0</v>
      </c>
      <c r="AK188" s="125">
        <f>Valores!C$38*B188</f>
        <v>0</v>
      </c>
      <c r="AL188" s="125">
        <f>IF($F$3="NO",0,Valores!$C$55)</f>
        <v>0</v>
      </c>
      <c r="AM188" s="125">
        <f t="shared" si="21"/>
        <v>0</v>
      </c>
      <c r="AN188" s="125">
        <f>AH188*Valores!$C$71</f>
        <v>-33668.113600000004</v>
      </c>
      <c r="AO188" s="125">
        <f>AH188*-Valores!$C$72</f>
        <v>0</v>
      </c>
      <c r="AP188" s="125">
        <f>AH188*Valores!$C$73</f>
        <v>-13773.3192</v>
      </c>
      <c r="AQ188" s="125">
        <f>Valores!$C$100</f>
        <v>-554.86</v>
      </c>
      <c r="AR188" s="125">
        <f>IF($F$5=0,Valores!$C$101,(Valores!$C$101+$F$5*(Valores!$C$101)))</f>
        <v>-550</v>
      </c>
      <c r="AS188" s="125">
        <f t="shared" si="24"/>
        <v>257527.4672</v>
      </c>
      <c r="AT188" s="125">
        <f t="shared" si="18"/>
        <v>-33668.113600000004</v>
      </c>
      <c r="AU188" s="125">
        <f>AH188*Valores!$C$74</f>
        <v>-8263.99152</v>
      </c>
      <c r="AV188" s="125">
        <f>AH188*Valores!$C$75</f>
        <v>-918.2212800000001</v>
      </c>
      <c r="AW188" s="125">
        <f t="shared" si="22"/>
        <v>263223.4336</v>
      </c>
      <c r="AX188" s="126"/>
      <c r="AY188" s="126">
        <v>36</v>
      </c>
      <c r="AZ188" s="123" t="s">
        <v>4</v>
      </c>
    </row>
    <row r="189" spans="1:52" s="110" customFormat="1" ht="11.25" customHeight="1">
      <c r="A189" s="123" t="s">
        <v>466</v>
      </c>
      <c r="B189" s="123">
        <v>1</v>
      </c>
      <c r="C189" s="126">
        <v>182</v>
      </c>
      <c r="D189" s="124" t="s">
        <v>467</v>
      </c>
      <c r="E189" s="191">
        <v>1065</v>
      </c>
      <c r="F189" s="125">
        <f>ROUND(E189*Valores!$C$2,2)</f>
        <v>43326.12</v>
      </c>
      <c r="G189" s="191">
        <v>0</v>
      </c>
      <c r="H189" s="125">
        <f>ROUND(G189*Valores!$C$2,2)</f>
        <v>0</v>
      </c>
      <c r="I189" s="191">
        <v>0</v>
      </c>
      <c r="J189" s="125">
        <f>ROUND(I189*Valores!$C$2,2)</f>
        <v>0</v>
      </c>
      <c r="K189" s="191">
        <v>600</v>
      </c>
      <c r="L189" s="125">
        <f>ROUND(K189*Valores!$C$2,2)</f>
        <v>24409.08</v>
      </c>
      <c r="M189" s="125">
        <f>ROUND(IF($H$2=0,IF(AND(A189&lt;&gt;"13-930",A189&lt;&gt;"13-940"),(SUM(F189,H189,J189,L189,X189,T189,R189)*Valores!$C$4),0),0),2)</f>
        <v>16324.13</v>
      </c>
      <c r="N189" s="125">
        <f t="shared" si="19"/>
        <v>0</v>
      </c>
      <c r="O189" s="125">
        <f>Valores!$C$16</f>
        <v>35154.38</v>
      </c>
      <c r="P189" s="125">
        <f>Valores!$D$5</f>
        <v>20796.54</v>
      </c>
      <c r="Q189" s="125">
        <v>0</v>
      </c>
      <c r="R189" s="125">
        <f>IF($F$4="NO",Valores!$C$47,Valores!$C$47/2)</f>
        <v>21740.79</v>
      </c>
      <c r="S189" s="125">
        <f>Valores!$C$19</f>
        <v>19351.52</v>
      </c>
      <c r="T189" s="125">
        <f t="shared" si="25"/>
        <v>19351.52</v>
      </c>
      <c r="U189" s="125">
        <v>0</v>
      </c>
      <c r="V189" s="125">
        <v>0</v>
      </c>
      <c r="W189" s="191">
        <v>0</v>
      </c>
      <c r="X189" s="125">
        <f>ROUND(W189*Valores!$C$2,2)</f>
        <v>0</v>
      </c>
      <c r="Y189" s="125">
        <v>0</v>
      </c>
      <c r="Z189" s="125">
        <f>Valores!$C$96</f>
        <v>56956.28</v>
      </c>
      <c r="AA189" s="125">
        <f>Valores!$C$25</f>
        <v>850.59</v>
      </c>
      <c r="AB189" s="210">
        <v>0</v>
      </c>
      <c r="AC189" s="125">
        <f t="shared" si="20"/>
        <v>0</v>
      </c>
      <c r="AD189" s="125">
        <f>Valores!$C$26</f>
        <v>850.59</v>
      </c>
      <c r="AE189" s="191">
        <v>0</v>
      </c>
      <c r="AF189" s="125">
        <f>ROUND(AE189*Valores!$C$2,2)</f>
        <v>0</v>
      </c>
      <c r="AG189" s="125">
        <f>ROUND(IF($F$4="NO",Valores!$C$63,Valores!$C$63/2),2)</f>
        <v>9724.47</v>
      </c>
      <c r="AH189" s="125">
        <f t="shared" si="23"/>
        <v>249484.49000000002</v>
      </c>
      <c r="AI189" s="125">
        <f>Valores!$C$31</f>
        <v>0</v>
      </c>
      <c r="AJ189" s="125">
        <f>Valores!$C$89</f>
        <v>0</v>
      </c>
      <c r="AK189" s="125">
        <f>Valores!C$38*B189</f>
        <v>0</v>
      </c>
      <c r="AL189" s="125">
        <f>IF($F$3="NO",0,Valores!$C$55)</f>
        <v>0</v>
      </c>
      <c r="AM189" s="125">
        <f t="shared" si="21"/>
        <v>0</v>
      </c>
      <c r="AN189" s="125">
        <f>AH189*Valores!$C$71</f>
        <v>-27443.2939</v>
      </c>
      <c r="AO189" s="125">
        <f>AH189*-Valores!$C$72</f>
        <v>0</v>
      </c>
      <c r="AP189" s="125">
        <f>AH189*Valores!$C$73</f>
        <v>-11226.80205</v>
      </c>
      <c r="AQ189" s="125">
        <f>Valores!$C$100</f>
        <v>-554.86</v>
      </c>
      <c r="AR189" s="125">
        <f>IF($F$5=0,Valores!$C$101,(Valores!$C$101+$F$5*(Valores!$C$101)))</f>
        <v>-550</v>
      </c>
      <c r="AS189" s="125">
        <f t="shared" si="24"/>
        <v>209709.53405000002</v>
      </c>
      <c r="AT189" s="125">
        <f t="shared" si="18"/>
        <v>-27443.2939</v>
      </c>
      <c r="AU189" s="125">
        <f>AH189*Valores!$C$74</f>
        <v>-6736.081230000001</v>
      </c>
      <c r="AV189" s="125">
        <f>AH189*Valores!$C$75</f>
        <v>-748.45347</v>
      </c>
      <c r="AW189" s="125">
        <f t="shared" si="22"/>
        <v>214556.6614</v>
      </c>
      <c r="AX189" s="126"/>
      <c r="AY189" s="126"/>
      <c r="AZ189" s="123" t="s">
        <v>4</v>
      </c>
    </row>
    <row r="190" spans="1:52" s="110" customFormat="1" ht="12" customHeight="1">
      <c r="A190" s="123" t="s">
        <v>468</v>
      </c>
      <c r="B190" s="123">
        <v>1</v>
      </c>
      <c r="C190" s="126">
        <v>183</v>
      </c>
      <c r="D190" s="124" t="s">
        <v>469</v>
      </c>
      <c r="E190" s="191">
        <v>971</v>
      </c>
      <c r="F190" s="125">
        <f>ROUND(E190*Valores!$C$2,2)</f>
        <v>39502.03</v>
      </c>
      <c r="G190" s="191">
        <v>0</v>
      </c>
      <c r="H190" s="125">
        <f>ROUND(G190*Valores!$C$2,2)</f>
        <v>0</v>
      </c>
      <c r="I190" s="191">
        <v>0</v>
      </c>
      <c r="J190" s="125">
        <f>ROUND(I190*Valores!$C$2,2)</f>
        <v>0</v>
      </c>
      <c r="K190" s="191">
        <v>660</v>
      </c>
      <c r="L190" s="125">
        <f>ROUND(K190*Valores!$C$2,2)</f>
        <v>26849.99</v>
      </c>
      <c r="M190" s="125">
        <f>ROUND(IF($H$2=0,IF(AND(A190&lt;&gt;"13-930",A190&lt;&gt;"13-940"),(SUM(F190,H190,J190,L190,X190,T190,R190)*Valores!$C$4),0),0),2)</f>
        <v>15022.61</v>
      </c>
      <c r="N190" s="125">
        <f t="shared" si="19"/>
        <v>0</v>
      </c>
      <c r="O190" s="125">
        <f>Valores!$C$16</f>
        <v>35154.38</v>
      </c>
      <c r="P190" s="125">
        <f>Valores!$D$5</f>
        <v>20796.54</v>
      </c>
      <c r="Q190" s="125">
        <f>Valores!$C$23</f>
        <v>17268.68</v>
      </c>
      <c r="R190" s="125">
        <f>IF($F$4="NO",Valores!$C$44,Valores!$C$44/2)</f>
        <v>14447.16</v>
      </c>
      <c r="S190" s="125">
        <f>Valores!$C$19</f>
        <v>19351.52</v>
      </c>
      <c r="T190" s="125">
        <f t="shared" si="25"/>
        <v>19351.52</v>
      </c>
      <c r="U190" s="125">
        <v>0</v>
      </c>
      <c r="V190" s="125">
        <v>0</v>
      </c>
      <c r="W190" s="191">
        <v>0</v>
      </c>
      <c r="X190" s="125">
        <f>ROUND(W190*Valores!$C$2,2)</f>
        <v>0</v>
      </c>
      <c r="Y190" s="125">
        <v>0</v>
      </c>
      <c r="Z190" s="125">
        <f>Valores!$C$94</f>
        <v>28478.14</v>
      </c>
      <c r="AA190" s="125">
        <f>Valores!$C$25</f>
        <v>850.59</v>
      </c>
      <c r="AB190" s="210">
        <v>0</v>
      </c>
      <c r="AC190" s="125">
        <f t="shared" si="20"/>
        <v>0</v>
      </c>
      <c r="AD190" s="125">
        <f>Valores!$C$26</f>
        <v>850.59</v>
      </c>
      <c r="AE190" s="191">
        <v>0</v>
      </c>
      <c r="AF190" s="125">
        <f>ROUND(AE190*Valores!$C$2,2)</f>
        <v>0</v>
      </c>
      <c r="AG190" s="125">
        <f>ROUND(IF($F$4="NO",Valores!$C$63,Valores!$C$63/2),2)</f>
        <v>9724.47</v>
      </c>
      <c r="AH190" s="125">
        <f t="shared" si="23"/>
        <v>228296.69999999998</v>
      </c>
      <c r="AI190" s="125">
        <f>Valores!$C$31</f>
        <v>0</v>
      </c>
      <c r="AJ190" s="125">
        <f>Valores!$C$87</f>
        <v>0</v>
      </c>
      <c r="AK190" s="125">
        <f>Valores!C$38*B190</f>
        <v>0</v>
      </c>
      <c r="AL190" s="125">
        <v>0</v>
      </c>
      <c r="AM190" s="125">
        <f t="shared" si="21"/>
        <v>0</v>
      </c>
      <c r="AN190" s="125">
        <f>AH190*Valores!$C$71</f>
        <v>-25112.637</v>
      </c>
      <c r="AO190" s="125">
        <f>AH190*-Valores!$C$72</f>
        <v>0</v>
      </c>
      <c r="AP190" s="125">
        <f>AH190*Valores!$C$73</f>
        <v>-10273.351499999999</v>
      </c>
      <c r="AQ190" s="125">
        <f>Valores!$C$100</f>
        <v>-554.86</v>
      </c>
      <c r="AR190" s="125">
        <f>IF($F$5=0,Valores!$C$101,(Valores!$C$101+$F$5*(Valores!$C$101)))</f>
        <v>-550</v>
      </c>
      <c r="AS190" s="125">
        <f t="shared" si="24"/>
        <v>191805.8515</v>
      </c>
      <c r="AT190" s="125">
        <f t="shared" si="18"/>
        <v>-25112.637</v>
      </c>
      <c r="AU190" s="125">
        <f>AH190*Valores!$C$74</f>
        <v>-6164.010899999999</v>
      </c>
      <c r="AV190" s="125">
        <f>AH190*Valores!$C$75</f>
        <v>-684.8901</v>
      </c>
      <c r="AW190" s="125">
        <f t="shared" si="22"/>
        <v>196335.16199999998</v>
      </c>
      <c r="AX190" s="126"/>
      <c r="AY190" s="126">
        <v>18</v>
      </c>
      <c r="AZ190" s="123" t="s">
        <v>4</v>
      </c>
    </row>
    <row r="191" spans="1:52" s="110" customFormat="1" ht="11.25" customHeight="1">
      <c r="A191" s="123" t="s">
        <v>470</v>
      </c>
      <c r="B191" s="123">
        <v>1</v>
      </c>
      <c r="C191" s="126">
        <v>184</v>
      </c>
      <c r="D191" s="124" t="str">
        <f aca="true" t="shared" si="26" ref="D191:D226">CONCATENATE("Hora Cátedra Enseñanza Superior ",B191," hs")</f>
        <v>Hora Cátedra Enseñanza Superior 1 hs</v>
      </c>
      <c r="E191" s="191">
        <f aca="true" t="shared" si="27" ref="E191:E226">99*B191</f>
        <v>99</v>
      </c>
      <c r="F191" s="125">
        <f>ROUND(E191*Valores!$C$2,2)</f>
        <v>4027.5</v>
      </c>
      <c r="G191" s="191">
        <v>0</v>
      </c>
      <c r="H191" s="125">
        <f>ROUND(G191*Valores!$C$2,2)</f>
        <v>0</v>
      </c>
      <c r="I191" s="191">
        <v>0</v>
      </c>
      <c r="J191" s="125">
        <f>ROUND(I191*Valores!$C$2,2)</f>
        <v>0</v>
      </c>
      <c r="K191" s="191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778.22</v>
      </c>
      <c r="N191" s="125">
        <f t="shared" si="19"/>
        <v>0</v>
      </c>
      <c r="O191" s="125">
        <f>Valores!$C$7*B191</f>
        <v>1379.64</v>
      </c>
      <c r="P191" s="125">
        <f>ROUND(IF(B191&lt;15,(Valores!$E$5*B191),Valores!$D$5),2)</f>
        <v>1386.44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726.72</v>
      </c>
      <c r="S191" s="125">
        <f>Valores!$C$18*B191</f>
        <v>433.92</v>
      </c>
      <c r="T191" s="125">
        <f t="shared" si="25"/>
        <v>433.92</v>
      </c>
      <c r="U191" s="125">
        <v>0</v>
      </c>
      <c r="V191" s="125">
        <v>0</v>
      </c>
      <c r="W191" s="191">
        <v>0</v>
      </c>
      <c r="X191" s="125">
        <f>ROUND(W191*Valores!$C$2,2)</f>
        <v>0</v>
      </c>
      <c r="Y191" s="125">
        <v>0</v>
      </c>
      <c r="Z191" s="125">
        <f>IF(Valores!$C$97*B191&gt;Valores!$C$96,Valores!$C$96,Valores!$C$97*B191)</f>
        <v>1324.67</v>
      </c>
      <c r="AA191" s="125">
        <f>IF((Valores!$C$28)*B191&gt;Valores!$F$28,Valores!$F$28,(Valores!$C$28)*B191)</f>
        <v>34.08</v>
      </c>
      <c r="AB191" s="210">
        <v>0</v>
      </c>
      <c r="AC191" s="125">
        <f t="shared" si="20"/>
        <v>0</v>
      </c>
      <c r="AD191" s="125">
        <f>IF(Valores!$C$29*B191&gt;Valores!$F$29,Valores!$F$29,Valores!$C$29*B191)</f>
        <v>28.38</v>
      </c>
      <c r="AE191" s="191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648.3</v>
      </c>
      <c r="AH191" s="125">
        <f t="shared" si="23"/>
        <v>10767.869999999999</v>
      </c>
      <c r="AI191" s="125">
        <f>IF(Valores!$C$32*B191&gt;Valores!$F$32,Valores!$F$32,Valores!$C$32*B191)</f>
        <v>0</v>
      </c>
      <c r="AJ191" s="125">
        <f>IF(Valores!$C$90*B191&gt;Valores!$C$89,Valores!$C$89,Valores!$C$90*B191)</f>
        <v>0</v>
      </c>
      <c r="AK191" s="125">
        <f>IF(Valores!C$39*B191&gt;Valores!F$38,Valores!F$38,Valores!C$39*B191)</f>
        <v>0</v>
      </c>
      <c r="AL191" s="125">
        <f>IF($F$3="NO",0,IF(Valores!$C$61*B191&gt;Valores!$F$61,Valores!$F$61,Valores!$C$61*B191))</f>
        <v>0</v>
      </c>
      <c r="AM191" s="125">
        <f t="shared" si="21"/>
        <v>0</v>
      </c>
      <c r="AN191" s="125">
        <f>AH191*Valores!$C$71</f>
        <v>-1184.4657</v>
      </c>
      <c r="AO191" s="125">
        <f>AH191*-Valores!$C$72</f>
        <v>0</v>
      </c>
      <c r="AP191" s="125">
        <f>AH191*Valores!$C$73</f>
        <v>-484.55414999999994</v>
      </c>
      <c r="AQ191" s="125">
        <f>Valores!$C$100</f>
        <v>-554.86</v>
      </c>
      <c r="AR191" s="125">
        <f>IF($F$5=0,Valores!$C$101,(Valores!$C$101+$F$5*(Valores!$C$101)))</f>
        <v>-550</v>
      </c>
      <c r="AS191" s="125">
        <f t="shared" si="24"/>
        <v>7993.99015</v>
      </c>
      <c r="AT191" s="125">
        <f t="shared" si="18"/>
        <v>-1184.4657</v>
      </c>
      <c r="AU191" s="125">
        <f>AH191*Valores!$C$74</f>
        <v>-290.73249</v>
      </c>
      <c r="AV191" s="125">
        <f>AH191*Valores!$C$75</f>
        <v>-32.30361</v>
      </c>
      <c r="AW191" s="125">
        <f t="shared" si="22"/>
        <v>9260.368199999999</v>
      </c>
      <c r="AX191" s="126"/>
      <c r="AY191" s="126">
        <f aca="true" t="shared" si="28" ref="AY191:AY222">1*B191</f>
        <v>1</v>
      </c>
      <c r="AZ191" s="123" t="s">
        <v>4</v>
      </c>
    </row>
    <row r="192" spans="1:52" s="110" customFormat="1" ht="11.25" customHeight="1">
      <c r="A192" s="123" t="s">
        <v>470</v>
      </c>
      <c r="B192" s="123">
        <v>2</v>
      </c>
      <c r="C192" s="126">
        <v>185</v>
      </c>
      <c r="D192" s="124" t="str">
        <f t="shared" si="26"/>
        <v>Hora Cátedra Enseñanza Superior 2 hs</v>
      </c>
      <c r="E192" s="191">
        <f t="shared" si="27"/>
        <v>198</v>
      </c>
      <c r="F192" s="125">
        <f>ROUND(E192*Valores!$C$2,2)</f>
        <v>8055</v>
      </c>
      <c r="G192" s="191">
        <v>0</v>
      </c>
      <c r="H192" s="125">
        <f>ROUND(G192*Valores!$C$2,2)</f>
        <v>0</v>
      </c>
      <c r="I192" s="191">
        <v>0</v>
      </c>
      <c r="J192" s="125">
        <f>ROUND(I192*Valores!$C$2,2)</f>
        <v>0</v>
      </c>
      <c r="K192" s="191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1556.44</v>
      </c>
      <c r="N192" s="125">
        <f t="shared" si="19"/>
        <v>0</v>
      </c>
      <c r="O192" s="125">
        <f>Valores!$C$7*B192</f>
        <v>2759.28</v>
      </c>
      <c r="P192" s="125">
        <f>ROUND(IF(B192&lt;15,(Valores!$E$5*B192),Valores!$D$5),2)</f>
        <v>2772.88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1453.44</v>
      </c>
      <c r="S192" s="125">
        <f>Valores!$C$18*B192</f>
        <v>867.84</v>
      </c>
      <c r="T192" s="125">
        <f t="shared" si="25"/>
        <v>867.84</v>
      </c>
      <c r="U192" s="125">
        <v>0</v>
      </c>
      <c r="V192" s="125">
        <v>0</v>
      </c>
      <c r="W192" s="191">
        <v>0</v>
      </c>
      <c r="X192" s="125">
        <f>ROUND(W192*Valores!$C$2,2)</f>
        <v>0</v>
      </c>
      <c r="Y192" s="125">
        <v>0</v>
      </c>
      <c r="Z192" s="125">
        <f>IF(Valores!$C$97*B192&gt;Valores!$C$96,Valores!$C$96,Valores!$C$97*B192)</f>
        <v>2649.34</v>
      </c>
      <c r="AA192" s="125">
        <f>IF((Valores!$C$28)*B192&gt;Valores!$F$28,Valores!$F$28,(Valores!$C$28)*B192)</f>
        <v>68.16</v>
      </c>
      <c r="AB192" s="210">
        <v>0</v>
      </c>
      <c r="AC192" s="125">
        <f t="shared" si="20"/>
        <v>0</v>
      </c>
      <c r="AD192" s="125">
        <f>IF(Valores!$C$29*B192&gt;Valores!$F$29,Valores!$F$29,Valores!$C$29*B192)</f>
        <v>56.76</v>
      </c>
      <c r="AE192" s="191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1296.6</v>
      </c>
      <c r="AH192" s="125">
        <f t="shared" si="23"/>
        <v>21535.739999999998</v>
      </c>
      <c r="AI192" s="125">
        <f>IF(Valores!$C$32*B192&gt;Valores!$F$32,Valores!$F$32,Valores!$C$32*B192)</f>
        <v>0</v>
      </c>
      <c r="AJ192" s="125">
        <f>IF(Valores!$C$90*B192&gt;Valores!$C$89,Valores!$C$89,Valores!$C$90*B192)</f>
        <v>0</v>
      </c>
      <c r="AK192" s="125">
        <f>IF(Valores!C$39*B192&gt;Valores!F$38,Valores!F$38,Valores!C$39*B192)</f>
        <v>0</v>
      </c>
      <c r="AL192" s="125">
        <f>IF($F$3="NO",0,IF(Valores!$C$61*B192&gt;Valores!$F$61,Valores!$F$61,Valores!$C$61*B192))</f>
        <v>0</v>
      </c>
      <c r="AM192" s="125">
        <f t="shared" si="21"/>
        <v>0</v>
      </c>
      <c r="AN192" s="125">
        <f>AH192*Valores!$C$71</f>
        <v>-2368.9314</v>
      </c>
      <c r="AO192" s="125">
        <f>AH192*-Valores!$C$72</f>
        <v>0</v>
      </c>
      <c r="AP192" s="125">
        <f>AH192*Valores!$C$73</f>
        <v>-969.1082999999999</v>
      </c>
      <c r="AQ192" s="125">
        <f>Valores!$C$100</f>
        <v>-554.86</v>
      </c>
      <c r="AR192" s="125">
        <f>IF($F$5=0,Valores!$C$101,(Valores!$C$101+$F$5*(Valores!$C$101)))</f>
        <v>-550</v>
      </c>
      <c r="AS192" s="125">
        <f t="shared" si="24"/>
        <v>17092.840299999996</v>
      </c>
      <c r="AT192" s="125">
        <f t="shared" si="18"/>
        <v>-2368.9314</v>
      </c>
      <c r="AU192" s="125">
        <f>AH192*Valores!$C$74</f>
        <v>-581.46498</v>
      </c>
      <c r="AV192" s="125">
        <f>AH192*Valores!$C$75</f>
        <v>-64.60722</v>
      </c>
      <c r="AW192" s="125">
        <f t="shared" si="22"/>
        <v>18520.736399999998</v>
      </c>
      <c r="AX192" s="126"/>
      <c r="AY192" s="126">
        <f t="shared" si="28"/>
        <v>2</v>
      </c>
      <c r="AZ192" s="123" t="s">
        <v>4</v>
      </c>
    </row>
    <row r="193" spans="1:52" s="110" customFormat="1" ht="11.25" customHeight="1">
      <c r="A193" s="123" t="s">
        <v>470</v>
      </c>
      <c r="B193" s="123">
        <v>3</v>
      </c>
      <c r="C193" s="126">
        <v>186</v>
      </c>
      <c r="D193" s="124" t="str">
        <f t="shared" si="26"/>
        <v>Hora Cátedra Enseñanza Superior 3 hs</v>
      </c>
      <c r="E193" s="191">
        <f t="shared" si="27"/>
        <v>297</v>
      </c>
      <c r="F193" s="125">
        <f>ROUND(E193*Valores!$C$2,2)</f>
        <v>12082.49</v>
      </c>
      <c r="G193" s="191">
        <v>0</v>
      </c>
      <c r="H193" s="125">
        <f>ROUND(G193*Valores!$C$2,2)</f>
        <v>0</v>
      </c>
      <c r="I193" s="191">
        <v>0</v>
      </c>
      <c r="J193" s="125">
        <f>ROUND(I193*Valores!$C$2,2)</f>
        <v>0</v>
      </c>
      <c r="K193" s="191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2334.66</v>
      </c>
      <c r="N193" s="125">
        <f t="shared" si="19"/>
        <v>0</v>
      </c>
      <c r="O193" s="125">
        <f>Valores!$C$7*B193</f>
        <v>4138.92</v>
      </c>
      <c r="P193" s="125">
        <f>ROUND(IF(B193&lt;15,(Valores!$E$5*B193),Valores!$D$5),2)</f>
        <v>4159.32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2180.16</v>
      </c>
      <c r="S193" s="125">
        <f>Valores!$C$18*B193</f>
        <v>1301.76</v>
      </c>
      <c r="T193" s="125">
        <f t="shared" si="25"/>
        <v>1301.76</v>
      </c>
      <c r="U193" s="125">
        <v>0</v>
      </c>
      <c r="V193" s="125">
        <v>0</v>
      </c>
      <c r="W193" s="191">
        <v>0</v>
      </c>
      <c r="X193" s="125">
        <f>ROUND(W193*Valores!$C$2,2)</f>
        <v>0</v>
      </c>
      <c r="Y193" s="125">
        <v>0</v>
      </c>
      <c r="Z193" s="125">
        <f>IF(Valores!$C$97*B193&gt;Valores!$C$96,Valores!$C$96,Valores!$C$97*B193)</f>
        <v>3974.01</v>
      </c>
      <c r="AA193" s="125">
        <f>IF((Valores!$C$28)*B193&gt;Valores!$F$28,Valores!$F$28,(Valores!$C$28)*B193)</f>
        <v>102.24</v>
      </c>
      <c r="AB193" s="210">
        <v>0</v>
      </c>
      <c r="AC193" s="125">
        <f t="shared" si="20"/>
        <v>0</v>
      </c>
      <c r="AD193" s="125">
        <f>IF(Valores!$C$29*B193&gt;Valores!$F$29,Valores!$F$29,Valores!$C$29*B193)</f>
        <v>85.14</v>
      </c>
      <c r="AE193" s="191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</f>
        <v>1944.8999999999999</v>
      </c>
      <c r="AH193" s="125">
        <f t="shared" si="23"/>
        <v>32303.600000000002</v>
      </c>
      <c r="AI193" s="125">
        <f>IF(Valores!$C$32*B193&gt;Valores!$F$32,Valores!$F$32,Valores!$C$32*B193)</f>
        <v>0</v>
      </c>
      <c r="AJ193" s="125">
        <f>IF(Valores!$C$90*B193&gt;Valores!$C$89,Valores!$C$89,Valores!$C$90*B193)</f>
        <v>0</v>
      </c>
      <c r="AK193" s="125">
        <f>IF(Valores!C$39*B193&gt;Valores!F$38,Valores!F$38,Valores!C$39*B193)</f>
        <v>0</v>
      </c>
      <c r="AL193" s="125">
        <f>IF($F$3="NO",0,IF(Valores!$C$61*B193&gt;Valores!$F$61,Valores!$F$61,Valores!$C$61*B193))</f>
        <v>0</v>
      </c>
      <c r="AM193" s="125">
        <f t="shared" si="21"/>
        <v>0</v>
      </c>
      <c r="AN193" s="125">
        <f>AH193*Valores!$C$71</f>
        <v>-3553.396</v>
      </c>
      <c r="AO193" s="125">
        <f>AH193*-Valores!$C$72</f>
        <v>0</v>
      </c>
      <c r="AP193" s="125">
        <f>AH193*Valores!$C$73</f>
        <v>-1453.662</v>
      </c>
      <c r="AQ193" s="125">
        <f>Valores!$C$100</f>
        <v>-554.86</v>
      </c>
      <c r="AR193" s="125">
        <f>IF($F$5=0,Valores!$C$101,(Valores!$C$101+$F$5*(Valores!$C$101)))</f>
        <v>-550</v>
      </c>
      <c r="AS193" s="125">
        <f t="shared" si="24"/>
        <v>26191.682</v>
      </c>
      <c r="AT193" s="125">
        <f t="shared" si="18"/>
        <v>-3553.396</v>
      </c>
      <c r="AU193" s="125">
        <f>AH193*Valores!$C$74</f>
        <v>-872.1972000000001</v>
      </c>
      <c r="AV193" s="125">
        <f>AH193*Valores!$C$75</f>
        <v>-96.91080000000001</v>
      </c>
      <c r="AW193" s="125">
        <f t="shared" si="22"/>
        <v>27781.096</v>
      </c>
      <c r="AX193" s="126"/>
      <c r="AY193" s="126">
        <f t="shared" si="28"/>
        <v>3</v>
      </c>
      <c r="AZ193" s="123" t="s">
        <v>4</v>
      </c>
    </row>
    <row r="194" spans="1:52" s="110" customFormat="1" ht="11.25" customHeight="1">
      <c r="A194" s="123" t="s">
        <v>470</v>
      </c>
      <c r="B194" s="123">
        <v>4</v>
      </c>
      <c r="C194" s="126">
        <v>187</v>
      </c>
      <c r="D194" s="124" t="str">
        <f t="shared" si="26"/>
        <v>Hora Cátedra Enseñanza Superior 4 hs</v>
      </c>
      <c r="E194" s="191">
        <f t="shared" si="27"/>
        <v>396</v>
      </c>
      <c r="F194" s="125">
        <f>ROUND(E194*Valores!$C$2,2)</f>
        <v>16109.99</v>
      </c>
      <c r="G194" s="191">
        <v>0</v>
      </c>
      <c r="H194" s="125">
        <f>ROUND(G194*Valores!$C$2,2)</f>
        <v>0</v>
      </c>
      <c r="I194" s="191">
        <v>0</v>
      </c>
      <c r="J194" s="125">
        <f>ROUND(I194*Valores!$C$2,2)</f>
        <v>0</v>
      </c>
      <c r="K194" s="191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3112.88</v>
      </c>
      <c r="N194" s="125">
        <f t="shared" si="19"/>
        <v>0</v>
      </c>
      <c r="O194" s="125">
        <f>Valores!$C$7*B194</f>
        <v>5518.56</v>
      </c>
      <c r="P194" s="125">
        <f>ROUND(IF(B194&lt;15,(Valores!$E$5*B194),Valores!$D$5),2)</f>
        <v>5545.76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2906.88</v>
      </c>
      <c r="S194" s="125">
        <f>Valores!$C$18*B194</f>
        <v>1735.68</v>
      </c>
      <c r="T194" s="125">
        <f t="shared" si="25"/>
        <v>1735.68</v>
      </c>
      <c r="U194" s="125">
        <v>0</v>
      </c>
      <c r="V194" s="125">
        <v>0</v>
      </c>
      <c r="W194" s="191">
        <v>0</v>
      </c>
      <c r="X194" s="125">
        <f>ROUND(W194*Valores!$C$2,2)</f>
        <v>0</v>
      </c>
      <c r="Y194" s="125">
        <v>0</v>
      </c>
      <c r="Z194" s="125">
        <f>IF(Valores!$C$97*B194&gt;Valores!$C$96,Valores!$C$96,Valores!$C$97*B194)</f>
        <v>5298.68</v>
      </c>
      <c r="AA194" s="125">
        <f>IF((Valores!$C$28)*B194&gt;Valores!$F$28,Valores!$F$28,(Valores!$C$28)*B194)</f>
        <v>136.32</v>
      </c>
      <c r="AB194" s="210">
        <v>0</v>
      </c>
      <c r="AC194" s="125">
        <f t="shared" si="20"/>
        <v>0</v>
      </c>
      <c r="AD194" s="125">
        <f>IF(Valores!$C$29*B194&gt;Valores!$F$29,Valores!$F$29,Valores!$C$29*B194)</f>
        <v>113.52</v>
      </c>
      <c r="AE194" s="191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</f>
        <v>2593.2</v>
      </c>
      <c r="AH194" s="125">
        <f t="shared" si="23"/>
        <v>43071.469999999994</v>
      </c>
      <c r="AI194" s="125">
        <f>IF(Valores!$C$32*B194&gt;Valores!$F$32,Valores!$F$32,Valores!$C$32*B194)</f>
        <v>0</v>
      </c>
      <c r="AJ194" s="125">
        <f>IF(Valores!$C$90*B194&gt;Valores!$C$89,Valores!$C$89,Valores!$C$90*B194)</f>
        <v>0</v>
      </c>
      <c r="AK194" s="125">
        <f>IF(Valores!C$39*B194&gt;Valores!F$38,Valores!F$38,Valores!C$39*B194)</f>
        <v>0</v>
      </c>
      <c r="AL194" s="125">
        <f>IF($F$3="NO",0,IF(Valores!$C$61*B194&gt;Valores!$F$61,Valores!$F$61,Valores!$C$61*B194))</f>
        <v>0</v>
      </c>
      <c r="AM194" s="125">
        <f t="shared" si="21"/>
        <v>0</v>
      </c>
      <c r="AN194" s="125">
        <f>AH194*Valores!$C$71</f>
        <v>-4737.8616999999995</v>
      </c>
      <c r="AO194" s="125">
        <f>AH194*-Valores!$C$72</f>
        <v>0</v>
      </c>
      <c r="AP194" s="125">
        <f>AH194*Valores!$C$73</f>
        <v>-1938.2161499999997</v>
      </c>
      <c r="AQ194" s="125">
        <f>Valores!$C$100</f>
        <v>-554.86</v>
      </c>
      <c r="AR194" s="125">
        <f>IF($F$5=0,Valores!$C$101,(Valores!$C$101+$F$5*(Valores!$C$101)))</f>
        <v>-550</v>
      </c>
      <c r="AS194" s="125">
        <f t="shared" si="24"/>
        <v>35290.53214999999</v>
      </c>
      <c r="AT194" s="125">
        <f t="shared" si="18"/>
        <v>-4737.8616999999995</v>
      </c>
      <c r="AU194" s="125">
        <f>AH194*Valores!$C$74</f>
        <v>-1162.9296899999997</v>
      </c>
      <c r="AV194" s="125">
        <f>AH194*Valores!$C$75</f>
        <v>-129.21441</v>
      </c>
      <c r="AW194" s="125">
        <f t="shared" si="22"/>
        <v>37041.464199999995</v>
      </c>
      <c r="AX194" s="126"/>
      <c r="AY194" s="126">
        <f t="shared" si="28"/>
        <v>4</v>
      </c>
      <c r="AZ194" s="123" t="s">
        <v>4</v>
      </c>
    </row>
    <row r="195" spans="1:52" s="110" customFormat="1" ht="11.25" customHeight="1">
      <c r="A195" s="123" t="s">
        <v>470</v>
      </c>
      <c r="B195" s="123">
        <v>5</v>
      </c>
      <c r="C195" s="126">
        <v>188</v>
      </c>
      <c r="D195" s="124" t="str">
        <f t="shared" si="26"/>
        <v>Hora Cátedra Enseñanza Superior 5 hs</v>
      </c>
      <c r="E195" s="191">
        <f t="shared" si="27"/>
        <v>495</v>
      </c>
      <c r="F195" s="125">
        <f>ROUND(E195*Valores!$C$2,2)</f>
        <v>20137.49</v>
      </c>
      <c r="G195" s="191">
        <v>0</v>
      </c>
      <c r="H195" s="125">
        <f>ROUND(G195*Valores!$C$2,2)</f>
        <v>0</v>
      </c>
      <c r="I195" s="191">
        <v>0</v>
      </c>
      <c r="J195" s="125">
        <f>ROUND(I195*Valores!$C$2,2)</f>
        <v>0</v>
      </c>
      <c r="K195" s="191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3891.1</v>
      </c>
      <c r="N195" s="125">
        <f t="shared" si="19"/>
        <v>0</v>
      </c>
      <c r="O195" s="125">
        <f>Valores!$C$7*B195</f>
        <v>6898.200000000001</v>
      </c>
      <c r="P195" s="125">
        <f>ROUND(IF(B195&lt;15,(Valores!$E$5*B195),Valores!$D$5),2)</f>
        <v>6932.2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3633.6000000000004</v>
      </c>
      <c r="S195" s="125">
        <f>Valores!$C$18*B195</f>
        <v>2169.6</v>
      </c>
      <c r="T195" s="125">
        <f t="shared" si="25"/>
        <v>2169.6</v>
      </c>
      <c r="U195" s="125">
        <v>0</v>
      </c>
      <c r="V195" s="125">
        <v>0</v>
      </c>
      <c r="W195" s="191">
        <v>0</v>
      </c>
      <c r="X195" s="125">
        <f>ROUND(W195*Valores!$C$2,2)</f>
        <v>0</v>
      </c>
      <c r="Y195" s="125">
        <v>0</v>
      </c>
      <c r="Z195" s="125">
        <f>IF(Valores!$C$97*B195&gt;Valores!$C$96,Valores!$C$96,Valores!$C$97*B195)</f>
        <v>6623.35</v>
      </c>
      <c r="AA195" s="125">
        <f>IF((Valores!$C$28)*B195&gt;Valores!$F$28,Valores!$F$28,(Valores!$C$28)*B195)</f>
        <v>170.39999999999998</v>
      </c>
      <c r="AB195" s="210">
        <v>0</v>
      </c>
      <c r="AC195" s="125">
        <f t="shared" si="20"/>
        <v>0</v>
      </c>
      <c r="AD195" s="125">
        <f>IF(Valores!$C$29*B195&gt;Valores!$F$29,Valores!$F$29,Valores!$C$29*B195)</f>
        <v>141.9</v>
      </c>
      <c r="AE195" s="191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</f>
        <v>3241.5</v>
      </c>
      <c r="AH195" s="125">
        <f t="shared" si="23"/>
        <v>53839.34</v>
      </c>
      <c r="AI195" s="125">
        <f>IF(Valores!$C$32*B195&gt;Valores!$F$32,Valores!$F$32,Valores!$C$32*B195)</f>
        <v>0</v>
      </c>
      <c r="AJ195" s="125">
        <f>IF(Valores!$C$90*B195&gt;Valores!$C$89,Valores!$C$89,Valores!$C$90*B195)</f>
        <v>0</v>
      </c>
      <c r="AK195" s="125">
        <f>IF(Valores!C$39*B195&gt;Valores!F$38,Valores!F$38,Valores!C$39*B195)</f>
        <v>0</v>
      </c>
      <c r="AL195" s="125">
        <f>IF($F$3="NO",0,IF(Valores!$C$61*B195&gt;Valores!$F$61,Valores!$F$61,Valores!$C$61*B195))</f>
        <v>0</v>
      </c>
      <c r="AM195" s="125">
        <f t="shared" si="21"/>
        <v>0</v>
      </c>
      <c r="AN195" s="125">
        <f>AH195*Valores!$C$71</f>
        <v>-5922.327399999999</v>
      </c>
      <c r="AO195" s="125">
        <f>AH195*-Valores!$C$72</f>
        <v>0</v>
      </c>
      <c r="AP195" s="125">
        <f>AH195*Valores!$C$73</f>
        <v>-2422.7702999999997</v>
      </c>
      <c r="AQ195" s="125">
        <f>Valores!$C$100</f>
        <v>-554.86</v>
      </c>
      <c r="AR195" s="125">
        <f>IF($F$5=0,Valores!$C$101,(Valores!$C$101+$F$5*(Valores!$C$101)))</f>
        <v>-550</v>
      </c>
      <c r="AS195" s="125">
        <f t="shared" si="24"/>
        <v>44389.3823</v>
      </c>
      <c r="AT195" s="125">
        <f t="shared" si="18"/>
        <v>-5922.327399999999</v>
      </c>
      <c r="AU195" s="125">
        <f>AH195*Valores!$C$74</f>
        <v>-1453.6621799999998</v>
      </c>
      <c r="AV195" s="125">
        <f>AH195*Valores!$C$75</f>
        <v>-161.51802</v>
      </c>
      <c r="AW195" s="125">
        <f t="shared" si="22"/>
        <v>46301.8324</v>
      </c>
      <c r="AX195" s="126"/>
      <c r="AY195" s="126">
        <f t="shared" si="28"/>
        <v>5</v>
      </c>
      <c r="AZ195" s="123" t="s">
        <v>4</v>
      </c>
    </row>
    <row r="196" spans="1:52" s="110" customFormat="1" ht="11.25" customHeight="1">
      <c r="A196" s="123" t="s">
        <v>470</v>
      </c>
      <c r="B196" s="123">
        <v>6</v>
      </c>
      <c r="C196" s="126">
        <v>189</v>
      </c>
      <c r="D196" s="124" t="str">
        <f t="shared" si="26"/>
        <v>Hora Cátedra Enseñanza Superior 6 hs</v>
      </c>
      <c r="E196" s="191">
        <f t="shared" si="27"/>
        <v>594</v>
      </c>
      <c r="F196" s="125">
        <f>ROUND(E196*Valores!$C$2,2)</f>
        <v>24164.99</v>
      </c>
      <c r="G196" s="191">
        <v>0</v>
      </c>
      <c r="H196" s="125">
        <f>ROUND(G196*Valores!$C$2,2)</f>
        <v>0</v>
      </c>
      <c r="I196" s="191">
        <v>0</v>
      </c>
      <c r="J196" s="125">
        <f>ROUND(I196*Valores!$C$2,2)</f>
        <v>0</v>
      </c>
      <c r="K196" s="191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4669.32</v>
      </c>
      <c r="N196" s="125">
        <f t="shared" si="19"/>
        <v>0</v>
      </c>
      <c r="O196" s="125">
        <f>Valores!$C$7*B196</f>
        <v>8277.84</v>
      </c>
      <c r="P196" s="125">
        <f>ROUND(IF(B196&lt;15,(Valores!$E$5*B196),Valores!$D$5),2)</f>
        <v>8318.64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4360.32</v>
      </c>
      <c r="S196" s="125">
        <f>Valores!$C$18*B196</f>
        <v>2603.52</v>
      </c>
      <c r="T196" s="125">
        <f t="shared" si="25"/>
        <v>2603.52</v>
      </c>
      <c r="U196" s="125">
        <v>0</v>
      </c>
      <c r="V196" s="125">
        <v>0</v>
      </c>
      <c r="W196" s="191">
        <v>0</v>
      </c>
      <c r="X196" s="125">
        <f>ROUND(W196*Valores!$C$2,2)</f>
        <v>0</v>
      </c>
      <c r="Y196" s="125">
        <v>0</v>
      </c>
      <c r="Z196" s="125">
        <f>IF(Valores!$C$97*B196&gt;Valores!$C$96,Valores!$C$96,Valores!$C$97*B196)</f>
        <v>7948.02</v>
      </c>
      <c r="AA196" s="125">
        <f>IF((Valores!$C$28)*B196&gt;Valores!$F$28,Valores!$F$28,(Valores!$C$28)*B196)</f>
        <v>204.48</v>
      </c>
      <c r="AB196" s="210">
        <v>0</v>
      </c>
      <c r="AC196" s="125">
        <f t="shared" si="20"/>
        <v>0</v>
      </c>
      <c r="AD196" s="125">
        <f>IF(Valores!$C$29*B196&gt;Valores!$F$29,Valores!$F$29,Valores!$C$29*B196)</f>
        <v>170.28</v>
      </c>
      <c r="AE196" s="191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</f>
        <v>3889.7999999999997</v>
      </c>
      <c r="AH196" s="125">
        <f t="shared" si="23"/>
        <v>64607.21</v>
      </c>
      <c r="AI196" s="125">
        <f>IF(Valores!$C$32*B196&gt;Valores!$F$32,Valores!$F$32,Valores!$C$32*B196)</f>
        <v>0</v>
      </c>
      <c r="AJ196" s="125">
        <f>IF(Valores!$C$90*B196&gt;Valores!$C$89,Valores!$C$89,Valores!$C$90*B196)</f>
        <v>0</v>
      </c>
      <c r="AK196" s="125">
        <f>IF(Valores!C$39*B196&gt;Valores!F$38,Valores!F$38,Valores!C$39*B196)</f>
        <v>0</v>
      </c>
      <c r="AL196" s="125">
        <f>IF($F$3="NO",0,IF(Valores!$C$61*B196&gt;Valores!$F$61,Valores!$F$61,Valores!$C$61*B196))</f>
        <v>0</v>
      </c>
      <c r="AM196" s="125">
        <f t="shared" si="21"/>
        <v>0</v>
      </c>
      <c r="AN196" s="125">
        <f>AH196*Valores!$C$71</f>
        <v>-7106.7931</v>
      </c>
      <c r="AO196" s="125">
        <f>AH196*-Valores!$C$72</f>
        <v>0</v>
      </c>
      <c r="AP196" s="125">
        <f>AH196*Valores!$C$73</f>
        <v>-2907.32445</v>
      </c>
      <c r="AQ196" s="125">
        <f>Valores!$C$100</f>
        <v>-554.86</v>
      </c>
      <c r="AR196" s="125">
        <f>IF($F$5=0,Valores!$C$101,(Valores!$C$101+$F$5*(Valores!$C$101)))</f>
        <v>-550</v>
      </c>
      <c r="AS196" s="125">
        <f t="shared" si="24"/>
        <v>53488.232449999996</v>
      </c>
      <c r="AT196" s="125">
        <f t="shared" si="18"/>
        <v>-7106.7931</v>
      </c>
      <c r="AU196" s="125">
        <f>AH196*Valores!$C$74</f>
        <v>-1744.39467</v>
      </c>
      <c r="AV196" s="125">
        <f>AH196*Valores!$C$75</f>
        <v>-193.82163</v>
      </c>
      <c r="AW196" s="125">
        <f t="shared" si="22"/>
        <v>55562.2006</v>
      </c>
      <c r="AX196" s="126"/>
      <c r="AY196" s="126">
        <f t="shared" si="28"/>
        <v>6</v>
      </c>
      <c r="AZ196" s="123" t="s">
        <v>4</v>
      </c>
    </row>
    <row r="197" spans="1:52" s="110" customFormat="1" ht="11.25" customHeight="1">
      <c r="A197" s="123" t="s">
        <v>470</v>
      </c>
      <c r="B197" s="123">
        <v>7</v>
      </c>
      <c r="C197" s="126">
        <v>190</v>
      </c>
      <c r="D197" s="124" t="str">
        <f t="shared" si="26"/>
        <v>Hora Cátedra Enseñanza Superior 7 hs</v>
      </c>
      <c r="E197" s="191">
        <f t="shared" si="27"/>
        <v>693</v>
      </c>
      <c r="F197" s="125">
        <f>ROUND(E197*Valores!$C$2,2)</f>
        <v>28192.49</v>
      </c>
      <c r="G197" s="191">
        <v>0</v>
      </c>
      <c r="H197" s="125">
        <f>ROUND(G197*Valores!$C$2,2)</f>
        <v>0</v>
      </c>
      <c r="I197" s="191">
        <v>0</v>
      </c>
      <c r="J197" s="125">
        <f>ROUND(I197*Valores!$C$2,2)</f>
        <v>0</v>
      </c>
      <c r="K197" s="191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5447.55</v>
      </c>
      <c r="N197" s="125">
        <f t="shared" si="19"/>
        <v>0</v>
      </c>
      <c r="O197" s="125">
        <f>Valores!$C$7*B197</f>
        <v>9657.480000000001</v>
      </c>
      <c r="P197" s="125">
        <f>ROUND(IF(B197&lt;15,(Valores!$E$5*B197),Valores!$D$5),2)</f>
        <v>9705.08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5087.04</v>
      </c>
      <c r="S197" s="125">
        <f>Valores!$C$18*B197</f>
        <v>3037.44</v>
      </c>
      <c r="T197" s="125">
        <f t="shared" si="25"/>
        <v>3037.44</v>
      </c>
      <c r="U197" s="125">
        <v>0</v>
      </c>
      <c r="V197" s="125">
        <v>0</v>
      </c>
      <c r="W197" s="191">
        <v>0</v>
      </c>
      <c r="X197" s="125">
        <f>ROUND(W197*Valores!$C$2,2)</f>
        <v>0</v>
      </c>
      <c r="Y197" s="125">
        <v>0</v>
      </c>
      <c r="Z197" s="125">
        <f>IF(Valores!$C$97*B197&gt;Valores!$C$96,Valores!$C$96,Valores!$C$97*B197)</f>
        <v>9272.69</v>
      </c>
      <c r="AA197" s="125">
        <f>IF((Valores!$C$28)*B197&gt;Valores!$F$28,Valores!$F$28,(Valores!$C$28)*B197)</f>
        <v>238.56</v>
      </c>
      <c r="AB197" s="210">
        <v>0</v>
      </c>
      <c r="AC197" s="125">
        <f t="shared" si="20"/>
        <v>0</v>
      </c>
      <c r="AD197" s="125">
        <f>IF(Valores!$C$29*B197&gt;Valores!$F$29,Valores!$F$29,Valores!$C$29*B197)</f>
        <v>198.66</v>
      </c>
      <c r="AE197" s="191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</f>
        <v>4538.099999999999</v>
      </c>
      <c r="AH197" s="125">
        <f t="shared" si="23"/>
        <v>75375.09000000001</v>
      </c>
      <c r="AI197" s="125">
        <f>IF(Valores!$C$32*B197&gt;Valores!$F$32,Valores!$F$32,Valores!$C$32*B197)</f>
        <v>0</v>
      </c>
      <c r="AJ197" s="125">
        <f>IF(Valores!$C$90*B197&gt;Valores!$C$89,Valores!$C$89,Valores!$C$90*B197)</f>
        <v>0</v>
      </c>
      <c r="AK197" s="125">
        <f>IF(Valores!C$39*B197&gt;Valores!F$38,Valores!F$38,Valores!C$39*B197)</f>
        <v>0</v>
      </c>
      <c r="AL197" s="125">
        <f>IF($F$3="NO",0,IF(Valores!$C$61*B197&gt;Valores!$F$61,Valores!$F$61,Valores!$C$61*B197))</f>
        <v>0</v>
      </c>
      <c r="AM197" s="125">
        <f t="shared" si="21"/>
        <v>0</v>
      </c>
      <c r="AN197" s="125">
        <f>AH197*Valores!$C$71</f>
        <v>-8291.259900000001</v>
      </c>
      <c r="AO197" s="125">
        <f>AH197*-Valores!$C$72</f>
        <v>0</v>
      </c>
      <c r="AP197" s="125">
        <f>AH197*Valores!$C$73</f>
        <v>-3391.8790500000005</v>
      </c>
      <c r="AQ197" s="125">
        <f>Valores!$C$100</f>
        <v>-554.86</v>
      </c>
      <c r="AR197" s="125">
        <f>IF($F$5=0,Valores!$C$101,(Valores!$C$101+$F$5*(Valores!$C$101)))</f>
        <v>-550</v>
      </c>
      <c r="AS197" s="125">
        <f t="shared" si="24"/>
        <v>62587.09105000001</v>
      </c>
      <c r="AT197" s="125">
        <f aca="true" t="shared" si="29" ref="AT197:AT260">AN197</f>
        <v>-8291.259900000001</v>
      </c>
      <c r="AU197" s="125">
        <f>AH197*Valores!$C$74</f>
        <v>-2035.1274300000002</v>
      </c>
      <c r="AV197" s="125">
        <f>AH197*Valores!$C$75</f>
        <v>-226.12527000000003</v>
      </c>
      <c r="AW197" s="125">
        <f t="shared" si="22"/>
        <v>64822.57740000001</v>
      </c>
      <c r="AX197" s="126"/>
      <c r="AY197" s="126">
        <f t="shared" si="28"/>
        <v>7</v>
      </c>
      <c r="AZ197" s="123" t="s">
        <v>4</v>
      </c>
    </row>
    <row r="198" spans="1:52" s="110" customFormat="1" ht="11.25" customHeight="1">
      <c r="A198" s="123" t="s">
        <v>470</v>
      </c>
      <c r="B198" s="123">
        <v>8</v>
      </c>
      <c r="C198" s="126">
        <v>191</v>
      </c>
      <c r="D198" s="124" t="str">
        <f t="shared" si="26"/>
        <v>Hora Cátedra Enseñanza Superior 8 hs</v>
      </c>
      <c r="E198" s="191">
        <f t="shared" si="27"/>
        <v>792</v>
      </c>
      <c r="F198" s="125">
        <f>ROUND(E198*Valores!$C$2,2)</f>
        <v>32219.99</v>
      </c>
      <c r="G198" s="191">
        <v>0</v>
      </c>
      <c r="H198" s="125">
        <f>ROUND(G198*Valores!$C$2,2)</f>
        <v>0</v>
      </c>
      <c r="I198" s="191">
        <v>0</v>
      </c>
      <c r="J198" s="125">
        <f>ROUND(I198*Valores!$C$2,2)</f>
        <v>0</v>
      </c>
      <c r="K198" s="191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6225.77</v>
      </c>
      <c r="N198" s="125">
        <f t="shared" si="19"/>
        <v>0</v>
      </c>
      <c r="O198" s="125">
        <f>Valores!$C$7*B198</f>
        <v>11037.12</v>
      </c>
      <c r="P198" s="125">
        <f>ROUND(IF(B198&lt;15,(Valores!$E$5*B198),Valores!$D$5),2)</f>
        <v>11091.52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5813.76</v>
      </c>
      <c r="S198" s="125">
        <f>Valores!$C$18*B198</f>
        <v>3471.36</v>
      </c>
      <c r="T198" s="125">
        <f t="shared" si="25"/>
        <v>3471.36</v>
      </c>
      <c r="U198" s="125">
        <v>0</v>
      </c>
      <c r="V198" s="125">
        <v>0</v>
      </c>
      <c r="W198" s="191">
        <v>0</v>
      </c>
      <c r="X198" s="125">
        <f>ROUND(W198*Valores!$C$2,2)</f>
        <v>0</v>
      </c>
      <c r="Y198" s="125">
        <v>0</v>
      </c>
      <c r="Z198" s="125">
        <f>IF(Valores!$C$97*B198&gt;Valores!$C$96,Valores!$C$96,Valores!$C$97*B198)</f>
        <v>10597.36</v>
      </c>
      <c r="AA198" s="125">
        <f>IF((Valores!$C$28)*B198&gt;Valores!$F$28,Valores!$F$28,(Valores!$C$28)*B198)</f>
        <v>272.64</v>
      </c>
      <c r="AB198" s="210">
        <v>0</v>
      </c>
      <c r="AC198" s="125">
        <f t="shared" si="20"/>
        <v>0</v>
      </c>
      <c r="AD198" s="125">
        <f>IF(Valores!$C$29*B198&gt;Valores!$F$29,Valores!$F$29,Valores!$C$29*B198)</f>
        <v>227.04</v>
      </c>
      <c r="AE198" s="191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</f>
        <v>5186.4</v>
      </c>
      <c r="AH198" s="125">
        <f t="shared" si="23"/>
        <v>86142.95999999999</v>
      </c>
      <c r="AI198" s="125">
        <f>IF(Valores!$C$32*B198&gt;Valores!$F$32,Valores!$F$32,Valores!$C$32*B198)</f>
        <v>0</v>
      </c>
      <c r="AJ198" s="125">
        <f>IF(Valores!$C$90*B198&gt;Valores!$C$89,Valores!$C$89,Valores!$C$90*B198)</f>
        <v>0</v>
      </c>
      <c r="AK198" s="125">
        <f>IF(Valores!C$39*B198&gt;Valores!F$38,Valores!F$38,Valores!C$39*B198)</f>
        <v>0</v>
      </c>
      <c r="AL198" s="125">
        <f>IF($F$3="NO",0,IF(Valores!$C$61*B198&gt;Valores!$F$61,Valores!$F$61,Valores!$C$61*B198))</f>
        <v>0</v>
      </c>
      <c r="AM198" s="125">
        <f t="shared" si="21"/>
        <v>0</v>
      </c>
      <c r="AN198" s="125">
        <f>AH198*Valores!$C$71</f>
        <v>-9475.7256</v>
      </c>
      <c r="AO198" s="125">
        <f>AH198*-Valores!$C$72</f>
        <v>0</v>
      </c>
      <c r="AP198" s="125">
        <f>AH198*Valores!$C$73</f>
        <v>-3876.4331999999995</v>
      </c>
      <c r="AQ198" s="125">
        <f>Valores!$C$100</f>
        <v>-554.86</v>
      </c>
      <c r="AR198" s="125">
        <f>IF($F$5=0,Valores!$C$101,(Valores!$C$101+$F$5*(Valores!$C$101)))</f>
        <v>-550</v>
      </c>
      <c r="AS198" s="125">
        <f t="shared" si="24"/>
        <v>71685.94119999999</v>
      </c>
      <c r="AT198" s="125">
        <f t="shared" si="29"/>
        <v>-9475.7256</v>
      </c>
      <c r="AU198" s="125">
        <f>AH198*Valores!$C$74</f>
        <v>-2325.85992</v>
      </c>
      <c r="AV198" s="125">
        <f>AH198*Valores!$C$75</f>
        <v>-258.42888</v>
      </c>
      <c r="AW198" s="125">
        <f t="shared" si="22"/>
        <v>74082.94559999999</v>
      </c>
      <c r="AX198" s="126"/>
      <c r="AY198" s="126">
        <f t="shared" si="28"/>
        <v>8</v>
      </c>
      <c r="AZ198" s="123" t="s">
        <v>4</v>
      </c>
    </row>
    <row r="199" spans="1:52" s="110" customFormat="1" ht="11.25" customHeight="1">
      <c r="A199" s="123" t="s">
        <v>470</v>
      </c>
      <c r="B199" s="123">
        <v>9</v>
      </c>
      <c r="C199" s="126">
        <v>192</v>
      </c>
      <c r="D199" s="124" t="str">
        <f t="shared" si="26"/>
        <v>Hora Cátedra Enseñanza Superior 9 hs</v>
      </c>
      <c r="E199" s="191">
        <f t="shared" si="27"/>
        <v>891</v>
      </c>
      <c r="F199" s="125">
        <f>ROUND(E199*Valores!$C$2,2)</f>
        <v>36247.48</v>
      </c>
      <c r="G199" s="191">
        <v>0</v>
      </c>
      <c r="H199" s="125">
        <f>ROUND(G199*Valores!$C$2,2)</f>
        <v>0</v>
      </c>
      <c r="I199" s="191">
        <v>0</v>
      </c>
      <c r="J199" s="125">
        <f>ROUND(I199*Valores!$C$2,2)</f>
        <v>0</v>
      </c>
      <c r="K199" s="191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7003.99</v>
      </c>
      <c r="N199" s="125">
        <f t="shared" si="19"/>
        <v>0</v>
      </c>
      <c r="O199" s="125">
        <f>Valores!$C$7*B199</f>
        <v>12416.76</v>
      </c>
      <c r="P199" s="125">
        <f>ROUND(IF(B199&lt;15,(Valores!$E$5*B199),Valores!$D$5),2)</f>
        <v>12477.96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6540.4800000000005</v>
      </c>
      <c r="S199" s="125">
        <f>Valores!$C$18*B199</f>
        <v>3905.28</v>
      </c>
      <c r="T199" s="125">
        <f t="shared" si="25"/>
        <v>3905.28</v>
      </c>
      <c r="U199" s="125">
        <v>0</v>
      </c>
      <c r="V199" s="125">
        <v>0</v>
      </c>
      <c r="W199" s="191">
        <v>0</v>
      </c>
      <c r="X199" s="125">
        <f>ROUND(W199*Valores!$C$2,2)</f>
        <v>0</v>
      </c>
      <c r="Y199" s="125">
        <v>0</v>
      </c>
      <c r="Z199" s="125">
        <f>IF(Valores!$C$97*B199&gt;Valores!$C$96,Valores!$C$96,Valores!$C$97*B199)</f>
        <v>11922.03</v>
      </c>
      <c r="AA199" s="125">
        <f>IF((Valores!$C$28)*B199&gt;Valores!$F$28,Valores!$F$28,(Valores!$C$28)*B199)</f>
        <v>306.71999999999997</v>
      </c>
      <c r="AB199" s="210">
        <v>0</v>
      </c>
      <c r="AC199" s="125">
        <f t="shared" si="20"/>
        <v>0</v>
      </c>
      <c r="AD199" s="125">
        <f>IF(Valores!$C$29*B199&gt;Valores!$F$29,Valores!$F$29,Valores!$C$29*B199)</f>
        <v>255.42</v>
      </c>
      <c r="AE199" s="191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</f>
        <v>5834.7</v>
      </c>
      <c r="AH199" s="125">
        <f t="shared" si="23"/>
        <v>96910.81999999999</v>
      </c>
      <c r="AI199" s="125">
        <f>IF(Valores!$C$32*B199&gt;Valores!$F$32,Valores!$F$32,Valores!$C$32*B199)</f>
        <v>0</v>
      </c>
      <c r="AJ199" s="125">
        <f>IF(Valores!$C$90*B199&gt;Valores!$C$89,Valores!$C$89,Valores!$C$90*B199)</f>
        <v>0</v>
      </c>
      <c r="AK199" s="125">
        <f>IF(Valores!C$39*B199&gt;Valores!F$38,Valores!F$38,Valores!C$39*B199)</f>
        <v>0</v>
      </c>
      <c r="AL199" s="125">
        <f>IF($F$3="NO",0,IF(Valores!$C$61*B199&gt;Valores!$F$61,Valores!$F$61,Valores!$C$61*B199))</f>
        <v>0</v>
      </c>
      <c r="AM199" s="125">
        <f t="shared" si="21"/>
        <v>0</v>
      </c>
      <c r="AN199" s="125">
        <f>AH199*Valores!$C$71</f>
        <v>-10660.1902</v>
      </c>
      <c r="AO199" s="125">
        <f>AH199*-Valores!$C$72</f>
        <v>0</v>
      </c>
      <c r="AP199" s="125">
        <f>AH199*Valores!$C$73</f>
        <v>-4360.9869</v>
      </c>
      <c r="AQ199" s="125">
        <f>Valores!$C$100</f>
        <v>-554.86</v>
      </c>
      <c r="AR199" s="125">
        <f>IF($F$5=0,Valores!$C$101,(Valores!$C$101+$F$5*(Valores!$C$101)))</f>
        <v>-550</v>
      </c>
      <c r="AS199" s="125">
        <f t="shared" si="24"/>
        <v>80784.78289999999</v>
      </c>
      <c r="AT199" s="125">
        <f t="shared" si="29"/>
        <v>-10660.1902</v>
      </c>
      <c r="AU199" s="125">
        <f>AH199*Valores!$C$74</f>
        <v>-2616.5921399999997</v>
      </c>
      <c r="AV199" s="125">
        <f>AH199*Valores!$C$75</f>
        <v>-290.73246</v>
      </c>
      <c r="AW199" s="125">
        <f t="shared" si="22"/>
        <v>83343.3052</v>
      </c>
      <c r="AX199" s="126"/>
      <c r="AY199" s="126">
        <f t="shared" si="28"/>
        <v>9</v>
      </c>
      <c r="AZ199" s="123" t="s">
        <v>4</v>
      </c>
    </row>
    <row r="200" spans="1:52" s="110" customFormat="1" ht="11.25" customHeight="1">
      <c r="A200" s="123" t="s">
        <v>470</v>
      </c>
      <c r="B200" s="123">
        <v>10</v>
      </c>
      <c r="C200" s="126">
        <v>193</v>
      </c>
      <c r="D200" s="124" t="str">
        <f t="shared" si="26"/>
        <v>Hora Cátedra Enseñanza Superior 10 hs</v>
      </c>
      <c r="E200" s="191">
        <f t="shared" si="27"/>
        <v>990</v>
      </c>
      <c r="F200" s="125">
        <f>ROUND(E200*Valores!$C$2,2)</f>
        <v>40274.98</v>
      </c>
      <c r="G200" s="191">
        <v>0</v>
      </c>
      <c r="H200" s="125">
        <f>ROUND(G200*Valores!$C$2,2)</f>
        <v>0</v>
      </c>
      <c r="I200" s="191">
        <v>0</v>
      </c>
      <c r="J200" s="125">
        <f>ROUND(I200*Valores!$C$2,2)</f>
        <v>0</v>
      </c>
      <c r="K200" s="191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7782.21</v>
      </c>
      <c r="N200" s="125">
        <f aca="true" t="shared" si="30" ref="N200:N263">ROUND(SUM(F200,H200,J200,L200,X200,R200)*$H$2,2)</f>
        <v>0</v>
      </c>
      <c r="O200" s="125">
        <f>Valores!$C$7*B200</f>
        <v>13796.400000000001</v>
      </c>
      <c r="P200" s="125">
        <f>ROUND(IF(B200&lt;15,(Valores!$E$5*B200),Valores!$D$5),2)</f>
        <v>13864.4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7267.200000000001</v>
      </c>
      <c r="S200" s="125">
        <f>Valores!$C$18*B200</f>
        <v>4339.2</v>
      </c>
      <c r="T200" s="125">
        <f t="shared" si="25"/>
        <v>4339.2</v>
      </c>
      <c r="U200" s="125">
        <v>0</v>
      </c>
      <c r="V200" s="125">
        <v>0</v>
      </c>
      <c r="W200" s="191">
        <v>0</v>
      </c>
      <c r="X200" s="125">
        <f>ROUND(W200*Valores!$C$2,2)</f>
        <v>0</v>
      </c>
      <c r="Y200" s="125">
        <v>0</v>
      </c>
      <c r="Z200" s="125">
        <f>IF(Valores!$C$97*B200&gt;Valores!$C$96,Valores!$C$96,Valores!$C$97*B200)</f>
        <v>13246.7</v>
      </c>
      <c r="AA200" s="125">
        <f>IF((Valores!$C$28)*B200&gt;Valores!$F$28,Valores!$F$28,(Valores!$C$28)*B200)</f>
        <v>340.79999999999995</v>
      </c>
      <c r="AB200" s="210">
        <v>0</v>
      </c>
      <c r="AC200" s="125">
        <f aca="true" t="shared" si="31" ref="AC200:AC263">ROUND(SUM(F200,H200,J200,X200,R200)*AB200,2)</f>
        <v>0</v>
      </c>
      <c r="AD200" s="125">
        <f>IF(Valores!$C$29*B200&gt;Valores!$F$29,Valores!$F$29,Valores!$C$29*B200)</f>
        <v>283.8</v>
      </c>
      <c r="AE200" s="191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</f>
        <v>6483</v>
      </c>
      <c r="AH200" s="125">
        <f t="shared" si="23"/>
        <v>107678.69</v>
      </c>
      <c r="AI200" s="125">
        <f>IF(Valores!$C$32*B200&gt;Valores!$F$32,Valores!$F$32,Valores!$C$32*B200)</f>
        <v>0</v>
      </c>
      <c r="AJ200" s="125">
        <f>IF(Valores!$C$90*B200&gt;Valores!$C$89,Valores!$C$89,Valores!$C$90*B200)</f>
        <v>0</v>
      </c>
      <c r="AK200" s="125">
        <f>IF(Valores!C$39*B200&gt;Valores!F$38,Valores!F$38,Valores!C$39*B200)</f>
        <v>0</v>
      </c>
      <c r="AL200" s="125">
        <f>IF($F$3="NO",0,IF(Valores!$C$61*B200&gt;Valores!$F$61,Valores!$F$61,Valores!$C$61*B200))</f>
        <v>0</v>
      </c>
      <c r="AM200" s="125">
        <f aca="true" t="shared" si="32" ref="AM200:AM263">SUM(AI200:AL200)</f>
        <v>0</v>
      </c>
      <c r="AN200" s="125">
        <f>AH200*Valores!$C$71</f>
        <v>-11844.6559</v>
      </c>
      <c r="AO200" s="125">
        <f>AH200*-Valores!$C$72</f>
        <v>0</v>
      </c>
      <c r="AP200" s="125">
        <f>AH200*Valores!$C$73</f>
        <v>-4845.54105</v>
      </c>
      <c r="AQ200" s="125">
        <f>Valores!$C$100</f>
        <v>-554.86</v>
      </c>
      <c r="AR200" s="125">
        <f>IF($F$5=0,Valores!$C$101,(Valores!$C$101+$F$5*(Valores!$C$101)))</f>
        <v>-550</v>
      </c>
      <c r="AS200" s="125">
        <f t="shared" si="24"/>
        <v>89883.63305</v>
      </c>
      <c r="AT200" s="125">
        <f t="shared" si="29"/>
        <v>-11844.6559</v>
      </c>
      <c r="AU200" s="125">
        <f>AH200*Valores!$C$74</f>
        <v>-2907.32463</v>
      </c>
      <c r="AV200" s="125">
        <f>AH200*Valores!$C$75</f>
        <v>-323.03607</v>
      </c>
      <c r="AW200" s="125">
        <f aca="true" t="shared" si="33" ref="AW200:AW263">AH200+AM200+SUM(AT200:AV200)</f>
        <v>92603.6734</v>
      </c>
      <c r="AX200" s="126"/>
      <c r="AY200" s="126">
        <f t="shared" si="28"/>
        <v>10</v>
      </c>
      <c r="AZ200" s="123" t="s">
        <v>4</v>
      </c>
    </row>
    <row r="201" spans="1:52" s="110" customFormat="1" ht="11.25" customHeight="1">
      <c r="A201" s="123" t="s">
        <v>470</v>
      </c>
      <c r="B201" s="123">
        <v>11</v>
      </c>
      <c r="C201" s="126">
        <v>194</v>
      </c>
      <c r="D201" s="124" t="str">
        <f t="shared" si="26"/>
        <v>Hora Cátedra Enseñanza Superior 11 hs</v>
      </c>
      <c r="E201" s="191">
        <f t="shared" si="27"/>
        <v>1089</v>
      </c>
      <c r="F201" s="125">
        <f>ROUND(E201*Valores!$C$2,2)</f>
        <v>44302.48</v>
      </c>
      <c r="G201" s="191">
        <v>0</v>
      </c>
      <c r="H201" s="125">
        <f>ROUND(G201*Valores!$C$2,2)</f>
        <v>0</v>
      </c>
      <c r="I201" s="191">
        <v>0</v>
      </c>
      <c r="J201" s="125">
        <f>ROUND(I201*Valores!$C$2,2)</f>
        <v>0</v>
      </c>
      <c r="K201" s="191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8560.43</v>
      </c>
      <c r="N201" s="125">
        <f t="shared" si="30"/>
        <v>0</v>
      </c>
      <c r="O201" s="125">
        <f>Valores!$C$7*B201</f>
        <v>15176.04</v>
      </c>
      <c r="P201" s="125">
        <f>ROUND(IF(B201&lt;15,(Valores!$E$5*B201),Valores!$D$5),2)</f>
        <v>15250.84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7993.92</v>
      </c>
      <c r="S201" s="125">
        <f>Valores!$C$18*B201</f>
        <v>4773.12</v>
      </c>
      <c r="T201" s="125">
        <f t="shared" si="25"/>
        <v>4773.12</v>
      </c>
      <c r="U201" s="125">
        <v>0</v>
      </c>
      <c r="V201" s="125">
        <v>0</v>
      </c>
      <c r="W201" s="191">
        <v>0</v>
      </c>
      <c r="X201" s="125">
        <f>ROUND(W201*Valores!$C$2,2)</f>
        <v>0</v>
      </c>
      <c r="Y201" s="125">
        <v>0</v>
      </c>
      <c r="Z201" s="125">
        <f>IF(Valores!$C$97*B201&gt;Valores!$C$96,Valores!$C$96,Valores!$C$97*B201)</f>
        <v>14571.37</v>
      </c>
      <c r="AA201" s="125">
        <f>IF((Valores!$C$28)*B201&gt;Valores!$F$28,Valores!$F$28,(Valores!$C$28)*B201)</f>
        <v>374.88</v>
      </c>
      <c r="AB201" s="210">
        <v>0</v>
      </c>
      <c r="AC201" s="125">
        <f t="shared" si="31"/>
        <v>0</v>
      </c>
      <c r="AD201" s="125">
        <f>IF(Valores!$C$29*B201&gt;Valores!$F$29,Valores!$F$29,Valores!$C$29*B201)</f>
        <v>312.18</v>
      </c>
      <c r="AE201" s="191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</f>
        <v>7131.299999999999</v>
      </c>
      <c r="AH201" s="125">
        <f aca="true" t="shared" si="34" ref="AH201:AH264">SUM(F201,H201,J201,L201,M201,N201,O201,P201,Q201,R201,T201,U201,V201,X201,Y201,Z201,AA201,AC201,AD201,AF201,AG201)</f>
        <v>118446.56</v>
      </c>
      <c r="AI201" s="125">
        <f>IF(Valores!$C$32*B201&gt;Valores!$F$32,Valores!$F$32,Valores!$C$32*B201)</f>
        <v>0</v>
      </c>
      <c r="AJ201" s="125">
        <f>IF(Valores!$C$90*B201&gt;Valores!$C$89,Valores!$C$89,Valores!$C$90*B201)</f>
        <v>0</v>
      </c>
      <c r="AK201" s="125">
        <f>IF(Valores!C$39*B201&gt;Valores!F$38,Valores!F$38,Valores!C$39*B201)</f>
        <v>0</v>
      </c>
      <c r="AL201" s="125">
        <f>IF($F$3="NO",0,IF(Valores!$C$61*B201&gt;Valores!$F$61,Valores!$F$61,Valores!$C$61*B201))</f>
        <v>0</v>
      </c>
      <c r="AM201" s="125">
        <f t="shared" si="32"/>
        <v>0</v>
      </c>
      <c r="AN201" s="125">
        <f>AH201*Valores!$C$71</f>
        <v>-13029.1216</v>
      </c>
      <c r="AO201" s="125">
        <f>AH201*-Valores!$C$72</f>
        <v>0</v>
      </c>
      <c r="AP201" s="125">
        <f>AH201*Valores!$C$73</f>
        <v>-5330.0952</v>
      </c>
      <c r="AQ201" s="125">
        <f>Valores!$C$100</f>
        <v>-554.86</v>
      </c>
      <c r="AR201" s="125">
        <f>IF($F$5=0,Valores!$C$101,(Valores!$C$101+$F$5*(Valores!$C$101)))</f>
        <v>-550</v>
      </c>
      <c r="AS201" s="125">
        <f aca="true" t="shared" si="35" ref="AS201:AS264">AH201+SUM(AM201:AR201)</f>
        <v>98982.48319999999</v>
      </c>
      <c r="AT201" s="125">
        <f t="shared" si="29"/>
        <v>-13029.1216</v>
      </c>
      <c r="AU201" s="125">
        <f>AH201*Valores!$C$74</f>
        <v>-3198.05712</v>
      </c>
      <c r="AV201" s="125">
        <f>AH201*Valores!$C$75</f>
        <v>-355.33968</v>
      </c>
      <c r="AW201" s="125">
        <f t="shared" si="33"/>
        <v>101864.0416</v>
      </c>
      <c r="AX201" s="126"/>
      <c r="AY201" s="126">
        <f t="shared" si="28"/>
        <v>11</v>
      </c>
      <c r="AZ201" s="123" t="s">
        <v>4</v>
      </c>
    </row>
    <row r="202" spans="1:52" s="110" customFormat="1" ht="11.25" customHeight="1">
      <c r="A202" s="123" t="s">
        <v>470</v>
      </c>
      <c r="B202" s="123">
        <v>12</v>
      </c>
      <c r="C202" s="126">
        <v>195</v>
      </c>
      <c r="D202" s="124" t="str">
        <f t="shared" si="26"/>
        <v>Hora Cátedra Enseñanza Superior 12 hs</v>
      </c>
      <c r="E202" s="191">
        <f t="shared" si="27"/>
        <v>1188</v>
      </c>
      <c r="F202" s="125">
        <f>ROUND(E202*Valores!$C$2,2)</f>
        <v>48329.98</v>
      </c>
      <c r="G202" s="191">
        <v>0</v>
      </c>
      <c r="H202" s="125">
        <f>ROUND(G202*Valores!$C$2,2)</f>
        <v>0</v>
      </c>
      <c r="I202" s="191">
        <v>0</v>
      </c>
      <c r="J202" s="125">
        <f>ROUND(I202*Valores!$C$2,2)</f>
        <v>0</v>
      </c>
      <c r="K202" s="191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9338.65</v>
      </c>
      <c r="N202" s="125">
        <f t="shared" si="30"/>
        <v>0</v>
      </c>
      <c r="O202" s="125">
        <f>Valores!$C$7*B202</f>
        <v>16555.68</v>
      </c>
      <c r="P202" s="125">
        <f>ROUND(IF(B202&lt;15,(Valores!$E$5*B202),Valores!$D$5),2)</f>
        <v>16637.28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8720.64</v>
      </c>
      <c r="S202" s="125">
        <f>Valores!$C$18*B202</f>
        <v>5207.04</v>
      </c>
      <c r="T202" s="125">
        <f t="shared" si="25"/>
        <v>5207.04</v>
      </c>
      <c r="U202" s="125">
        <v>0</v>
      </c>
      <c r="V202" s="125">
        <v>0</v>
      </c>
      <c r="W202" s="191">
        <v>0</v>
      </c>
      <c r="X202" s="125">
        <f>ROUND(W202*Valores!$C$2,2)</f>
        <v>0</v>
      </c>
      <c r="Y202" s="125">
        <v>0</v>
      </c>
      <c r="Z202" s="125">
        <f>IF(Valores!$C$97*B202&gt;Valores!$C$96,Valores!$C$96,Valores!$C$97*B202)</f>
        <v>15896.04</v>
      </c>
      <c r="AA202" s="125">
        <f>IF((Valores!$C$28)*B202&gt;Valores!$F$28,Valores!$F$28,(Valores!$C$28)*B202)</f>
        <v>408.96</v>
      </c>
      <c r="AB202" s="210">
        <v>0</v>
      </c>
      <c r="AC202" s="125">
        <f t="shared" si="31"/>
        <v>0</v>
      </c>
      <c r="AD202" s="125">
        <f>IF(Valores!$C$29*B202&gt;Valores!$F$29,Valores!$F$29,Valores!$C$29*B202)</f>
        <v>340.56</v>
      </c>
      <c r="AE202" s="191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</f>
        <v>7779.599999999999</v>
      </c>
      <c r="AH202" s="125">
        <f t="shared" si="34"/>
        <v>129214.43000000001</v>
      </c>
      <c r="AI202" s="125">
        <f>IF(Valores!$C$32*B202&gt;Valores!$F$32,Valores!$F$32,Valores!$C$32*B202)</f>
        <v>0</v>
      </c>
      <c r="AJ202" s="125">
        <f>IF(Valores!$C$90*B202&gt;Valores!$C$89,Valores!$C$89,Valores!$C$90*B202)</f>
        <v>0</v>
      </c>
      <c r="AK202" s="125">
        <f>IF(Valores!C$39*B202&gt;Valores!F$38,Valores!F$38,Valores!C$39*B202)</f>
        <v>0</v>
      </c>
      <c r="AL202" s="125">
        <f>IF($F$3="NO",0,IF(Valores!$C$61*B202&gt;Valores!$F$61,Valores!$F$61,Valores!$C$61*B202))</f>
        <v>0</v>
      </c>
      <c r="AM202" s="125">
        <f t="shared" si="32"/>
        <v>0</v>
      </c>
      <c r="AN202" s="125">
        <f>AH202*Valores!$C$71</f>
        <v>-14213.587300000001</v>
      </c>
      <c r="AO202" s="125">
        <f>AH202*-Valores!$C$72</f>
        <v>0</v>
      </c>
      <c r="AP202" s="125">
        <f>AH202*Valores!$C$73</f>
        <v>-5814.64935</v>
      </c>
      <c r="AQ202" s="125">
        <f>Valores!$C$100</f>
        <v>-554.86</v>
      </c>
      <c r="AR202" s="125">
        <f>IF($F$5=0,Valores!$C$101,(Valores!$C$101+$F$5*(Valores!$C$101)))</f>
        <v>-550</v>
      </c>
      <c r="AS202" s="125">
        <f t="shared" si="35"/>
        <v>108081.33335</v>
      </c>
      <c r="AT202" s="125">
        <f t="shared" si="29"/>
        <v>-14213.587300000001</v>
      </c>
      <c r="AU202" s="125">
        <f>AH202*Valores!$C$74</f>
        <v>-3488.7896100000003</v>
      </c>
      <c r="AV202" s="125">
        <f>AH202*Valores!$C$75</f>
        <v>-387.64329000000004</v>
      </c>
      <c r="AW202" s="125">
        <f t="shared" si="33"/>
        <v>111124.40980000001</v>
      </c>
      <c r="AX202" s="126"/>
      <c r="AY202" s="126">
        <f t="shared" si="28"/>
        <v>12</v>
      </c>
      <c r="AZ202" s="123" t="s">
        <v>4</v>
      </c>
    </row>
    <row r="203" spans="1:52" s="110" customFormat="1" ht="11.25" customHeight="1">
      <c r="A203" s="123" t="s">
        <v>470</v>
      </c>
      <c r="B203" s="123">
        <v>13</v>
      </c>
      <c r="C203" s="126">
        <v>196</v>
      </c>
      <c r="D203" s="124" t="str">
        <f t="shared" si="26"/>
        <v>Hora Cátedra Enseñanza Superior 13 hs</v>
      </c>
      <c r="E203" s="191">
        <f t="shared" si="27"/>
        <v>1287</v>
      </c>
      <c r="F203" s="125">
        <f>ROUND(E203*Valores!$C$2,2)</f>
        <v>52357.48</v>
      </c>
      <c r="G203" s="191">
        <v>0</v>
      </c>
      <c r="H203" s="125">
        <f>ROUND(G203*Valores!$C$2,2)</f>
        <v>0</v>
      </c>
      <c r="I203" s="191">
        <v>0</v>
      </c>
      <c r="J203" s="125">
        <f>ROUND(I203*Valores!$C$2,2)</f>
        <v>0</v>
      </c>
      <c r="K203" s="191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10116.87</v>
      </c>
      <c r="N203" s="125">
        <f t="shared" si="30"/>
        <v>0</v>
      </c>
      <c r="O203" s="125">
        <f>Valores!$C$7*B203</f>
        <v>17935.32</v>
      </c>
      <c r="P203" s="125">
        <f>ROUND(IF(B203&lt;15,(Valores!$E$5*B203),Valores!$D$5),2)</f>
        <v>18023.72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9447.36</v>
      </c>
      <c r="S203" s="125">
        <f>Valores!$C$18*B203</f>
        <v>5640.96</v>
      </c>
      <c r="T203" s="125">
        <f aca="true" t="shared" si="36" ref="T203:T266">ROUND(S203*(1+$H$2),2)</f>
        <v>5640.96</v>
      </c>
      <c r="U203" s="125">
        <v>0</v>
      </c>
      <c r="V203" s="125">
        <v>0</v>
      </c>
      <c r="W203" s="191">
        <v>0</v>
      </c>
      <c r="X203" s="125">
        <f>ROUND(W203*Valores!$C$2,2)</f>
        <v>0</v>
      </c>
      <c r="Y203" s="125">
        <v>0</v>
      </c>
      <c r="Z203" s="125">
        <f>IF(Valores!$C$97*B203&gt;Valores!$C$96,Valores!$C$96,Valores!$C$97*B203)</f>
        <v>17220.71</v>
      </c>
      <c r="AA203" s="125">
        <f>IF((Valores!$C$28)*B203&gt;Valores!$F$28,Valores!$F$28,(Valores!$C$28)*B203)</f>
        <v>443.03999999999996</v>
      </c>
      <c r="AB203" s="210">
        <v>0</v>
      </c>
      <c r="AC203" s="125">
        <f t="shared" si="31"/>
        <v>0</v>
      </c>
      <c r="AD203" s="125">
        <f>IF(Valores!$C$29*B203&gt;Valores!$F$29,Valores!$F$29,Valores!$C$29*B203)</f>
        <v>368.94</v>
      </c>
      <c r="AE203" s="191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</f>
        <v>8427.9</v>
      </c>
      <c r="AH203" s="125">
        <f t="shared" si="34"/>
        <v>139982.30000000002</v>
      </c>
      <c r="AI203" s="125">
        <f>IF(Valores!$C$32*B203&gt;Valores!$F$32,Valores!$F$32,Valores!$C$32*B203)</f>
        <v>0</v>
      </c>
      <c r="AJ203" s="125">
        <f>IF(Valores!$C$90*B203&gt;Valores!$C$89,Valores!$C$89,Valores!$C$90*B203)</f>
        <v>0</v>
      </c>
      <c r="AK203" s="125">
        <f>IF(Valores!C$39*B203&gt;Valores!F$38,Valores!F$38,Valores!C$39*B203)</f>
        <v>0</v>
      </c>
      <c r="AL203" s="125">
        <f>IF($F$3="NO",0,IF(Valores!$C$61*B203&gt;Valores!$F$61,Valores!$F$61,Valores!$C$61*B203))</f>
        <v>0</v>
      </c>
      <c r="AM203" s="125">
        <f t="shared" si="32"/>
        <v>0</v>
      </c>
      <c r="AN203" s="125">
        <f>AH203*Valores!$C$71</f>
        <v>-15398.053000000002</v>
      </c>
      <c r="AO203" s="125">
        <f>AH203*-Valores!$C$72</f>
        <v>0</v>
      </c>
      <c r="AP203" s="125">
        <f>AH203*Valores!$C$73</f>
        <v>-6299.2035000000005</v>
      </c>
      <c r="AQ203" s="125">
        <f>Valores!$C$100</f>
        <v>-554.86</v>
      </c>
      <c r="AR203" s="125">
        <f>IF($F$5=0,Valores!$C$101,(Valores!$C$101+$F$5*(Valores!$C$101)))</f>
        <v>-550</v>
      </c>
      <c r="AS203" s="125">
        <f t="shared" si="35"/>
        <v>117180.18350000001</v>
      </c>
      <c r="AT203" s="125">
        <f t="shared" si="29"/>
        <v>-15398.053000000002</v>
      </c>
      <c r="AU203" s="125">
        <f>AH203*Valores!$C$74</f>
        <v>-3779.5221000000006</v>
      </c>
      <c r="AV203" s="125">
        <f>AH203*Valores!$C$75</f>
        <v>-419.9469000000001</v>
      </c>
      <c r="AW203" s="125">
        <f t="shared" si="33"/>
        <v>120384.77800000002</v>
      </c>
      <c r="AX203" s="126"/>
      <c r="AY203" s="126">
        <f t="shared" si="28"/>
        <v>13</v>
      </c>
      <c r="AZ203" s="123" t="s">
        <v>4</v>
      </c>
    </row>
    <row r="204" spans="1:52" s="110" customFormat="1" ht="11.25" customHeight="1">
      <c r="A204" s="123" t="s">
        <v>470</v>
      </c>
      <c r="B204" s="123">
        <v>14</v>
      </c>
      <c r="C204" s="126">
        <v>197</v>
      </c>
      <c r="D204" s="124" t="str">
        <f t="shared" si="26"/>
        <v>Hora Cátedra Enseñanza Superior 14 hs</v>
      </c>
      <c r="E204" s="191">
        <f t="shared" si="27"/>
        <v>1386</v>
      </c>
      <c r="F204" s="125">
        <f>ROUND(E204*Valores!$C$2,2)</f>
        <v>56384.97</v>
      </c>
      <c r="G204" s="191">
        <v>0</v>
      </c>
      <c r="H204" s="125">
        <f>ROUND(G204*Valores!$C$2,2)</f>
        <v>0</v>
      </c>
      <c r="I204" s="191">
        <v>0</v>
      </c>
      <c r="J204" s="125">
        <f>ROUND(I204*Valores!$C$2,2)</f>
        <v>0</v>
      </c>
      <c r="K204" s="191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10895.09</v>
      </c>
      <c r="N204" s="125">
        <f t="shared" si="30"/>
        <v>0</v>
      </c>
      <c r="O204" s="125">
        <f>Valores!$C$7*B204</f>
        <v>19314.960000000003</v>
      </c>
      <c r="P204" s="125">
        <f>ROUND(IF(B204&lt;15,(Valores!$E$5*B204),Valores!$D$5),2)</f>
        <v>19410.16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10174.08</v>
      </c>
      <c r="S204" s="125">
        <f>Valores!$C$18*B204</f>
        <v>6074.88</v>
      </c>
      <c r="T204" s="125">
        <f t="shared" si="36"/>
        <v>6074.88</v>
      </c>
      <c r="U204" s="125">
        <v>0</v>
      </c>
      <c r="V204" s="125">
        <v>0</v>
      </c>
      <c r="W204" s="191">
        <v>0</v>
      </c>
      <c r="X204" s="125">
        <f>ROUND(W204*Valores!$C$2,2)</f>
        <v>0</v>
      </c>
      <c r="Y204" s="125">
        <v>0</v>
      </c>
      <c r="Z204" s="125">
        <f>IF(Valores!$C$97*B204&gt;Valores!$C$96,Valores!$C$96,Valores!$C$97*B204)</f>
        <v>18545.38</v>
      </c>
      <c r="AA204" s="125">
        <f>IF((Valores!$C$28)*B204&gt;Valores!$F$28,Valores!$F$28,(Valores!$C$28)*B204)</f>
        <v>477.12</v>
      </c>
      <c r="AB204" s="210">
        <v>0</v>
      </c>
      <c r="AC204" s="125">
        <f t="shared" si="31"/>
        <v>0</v>
      </c>
      <c r="AD204" s="125">
        <f>IF(Valores!$C$29*B204&gt;Valores!$F$29,Valores!$F$29,Valores!$C$29*B204)</f>
        <v>397.32</v>
      </c>
      <c r="AE204" s="191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</f>
        <v>9076.199999999999</v>
      </c>
      <c r="AH204" s="125">
        <f t="shared" si="34"/>
        <v>150750.16000000003</v>
      </c>
      <c r="AI204" s="125">
        <f>IF(Valores!$C$32*B204&gt;Valores!$F$32,Valores!$F$32,Valores!$C$32*B204)</f>
        <v>0</v>
      </c>
      <c r="AJ204" s="125">
        <f>IF(Valores!$C$90*B204&gt;Valores!$C$89,Valores!$C$89,Valores!$C$90*B204)</f>
        <v>0</v>
      </c>
      <c r="AK204" s="125">
        <f>IF(Valores!C$39*B204&gt;Valores!F$38,Valores!F$38,Valores!C$39*B204)</f>
        <v>0</v>
      </c>
      <c r="AL204" s="125">
        <f>IF($F$3="NO",0,IF(Valores!$C$61*B204&gt;Valores!$F$61,Valores!$F$61,Valores!$C$61*B204))</f>
        <v>0</v>
      </c>
      <c r="AM204" s="125">
        <f t="shared" si="32"/>
        <v>0</v>
      </c>
      <c r="AN204" s="125">
        <f>AH204*Valores!$C$71</f>
        <v>-16582.517600000003</v>
      </c>
      <c r="AO204" s="125">
        <f>AH204*-Valores!$C$72</f>
        <v>0</v>
      </c>
      <c r="AP204" s="125">
        <f>AH204*Valores!$C$73</f>
        <v>-6783.757200000001</v>
      </c>
      <c r="AQ204" s="125">
        <f>Valores!$C$100</f>
        <v>-554.86</v>
      </c>
      <c r="AR204" s="125">
        <f>IF($F$5=0,Valores!$C$101,(Valores!$C$101+$F$5*(Valores!$C$101)))</f>
        <v>-550</v>
      </c>
      <c r="AS204" s="125">
        <f t="shared" si="35"/>
        <v>126279.02520000003</v>
      </c>
      <c r="AT204" s="125">
        <f t="shared" si="29"/>
        <v>-16582.517600000003</v>
      </c>
      <c r="AU204" s="125">
        <f>AH204*Valores!$C$74</f>
        <v>-4070.254320000001</v>
      </c>
      <c r="AV204" s="125">
        <f>AH204*Valores!$C$75</f>
        <v>-452.2504800000001</v>
      </c>
      <c r="AW204" s="125">
        <f t="shared" si="33"/>
        <v>129645.13760000003</v>
      </c>
      <c r="AX204" s="126"/>
      <c r="AY204" s="126">
        <f t="shared" si="28"/>
        <v>14</v>
      </c>
      <c r="AZ204" s="123" t="s">
        <v>4</v>
      </c>
    </row>
    <row r="205" spans="1:52" s="110" customFormat="1" ht="11.25" customHeight="1">
      <c r="A205" s="123" t="s">
        <v>470</v>
      </c>
      <c r="B205" s="123">
        <v>15</v>
      </c>
      <c r="C205" s="126">
        <v>198</v>
      </c>
      <c r="D205" s="124" t="str">
        <f t="shared" si="26"/>
        <v>Hora Cátedra Enseñanza Superior 15 hs</v>
      </c>
      <c r="E205" s="191">
        <f t="shared" si="27"/>
        <v>1485</v>
      </c>
      <c r="F205" s="125">
        <f>ROUND(E205*Valores!$C$2,2)</f>
        <v>60412.47</v>
      </c>
      <c r="G205" s="191">
        <v>0</v>
      </c>
      <c r="H205" s="125">
        <f>ROUND(G205*Valores!$C$2,2)</f>
        <v>0</v>
      </c>
      <c r="I205" s="191">
        <v>0</v>
      </c>
      <c r="J205" s="125">
        <f>ROUND(I205*Valores!$C$2,2)</f>
        <v>0</v>
      </c>
      <c r="K205" s="191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11673.31</v>
      </c>
      <c r="N205" s="125">
        <f t="shared" si="30"/>
        <v>0</v>
      </c>
      <c r="O205" s="125">
        <f>Valores!$C$7*B205</f>
        <v>20694.600000000002</v>
      </c>
      <c r="P205" s="125">
        <f>ROUND(IF(B205&lt;15,(Valores!$E$5*B205),Valores!$D$5),2)</f>
        <v>20796.54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10900.800000000001</v>
      </c>
      <c r="S205" s="125">
        <f>Valores!$C$18*B205</f>
        <v>6508.8</v>
      </c>
      <c r="T205" s="125">
        <f t="shared" si="36"/>
        <v>6508.8</v>
      </c>
      <c r="U205" s="125">
        <v>0</v>
      </c>
      <c r="V205" s="125">
        <v>0</v>
      </c>
      <c r="W205" s="191">
        <v>0</v>
      </c>
      <c r="X205" s="125">
        <f>ROUND(W205*Valores!$C$2,2)</f>
        <v>0</v>
      </c>
      <c r="Y205" s="125">
        <v>0</v>
      </c>
      <c r="Z205" s="125">
        <f>IF(Valores!$C$97*B205&gt;Valores!$C$96,Valores!$C$96,Valores!$C$97*B205)</f>
        <v>19870.050000000003</v>
      </c>
      <c r="AA205" s="125">
        <f>IF((Valores!$C$28)*B205&gt;Valores!$F$28,Valores!$F$28,(Valores!$C$28)*B205)</f>
        <v>511.2</v>
      </c>
      <c r="AB205" s="210">
        <v>0</v>
      </c>
      <c r="AC205" s="125">
        <f t="shared" si="31"/>
        <v>0</v>
      </c>
      <c r="AD205" s="125">
        <f>IF(Valores!$C$29*B205&gt;Valores!$F$29,Valores!$F$29,Valores!$C$29*B205)</f>
        <v>425.7</v>
      </c>
      <c r="AE205" s="191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</f>
        <v>9724.5</v>
      </c>
      <c r="AH205" s="125">
        <f t="shared" si="34"/>
        <v>161517.97000000003</v>
      </c>
      <c r="AI205" s="125">
        <f>IF(Valores!$C$32*B205&gt;Valores!$F$32,Valores!$F$32,Valores!$C$32*B205)</f>
        <v>0</v>
      </c>
      <c r="AJ205" s="125">
        <f>IF(Valores!$C$90*B205&gt;Valores!$C$89,Valores!$C$89,Valores!$C$90*B205)</f>
        <v>0</v>
      </c>
      <c r="AK205" s="125">
        <f>IF(Valores!C$39*B205&gt;Valores!F$38,Valores!F$38,Valores!C$39*B205)</f>
        <v>0</v>
      </c>
      <c r="AL205" s="125">
        <f>IF($F$3="NO",0,IF(Valores!$C$61*B205&gt;Valores!$F$61,Valores!$F$61,Valores!$C$61*B205))</f>
        <v>0</v>
      </c>
      <c r="AM205" s="125">
        <f t="shared" si="32"/>
        <v>0</v>
      </c>
      <c r="AN205" s="125">
        <f>AH205*Valores!$C$71</f>
        <v>-17766.976700000003</v>
      </c>
      <c r="AO205" s="125">
        <f>AH205*-Valores!$C$72</f>
        <v>0</v>
      </c>
      <c r="AP205" s="125">
        <f>AH205*Valores!$C$73</f>
        <v>-7268.308650000001</v>
      </c>
      <c r="AQ205" s="125">
        <f>Valores!$C$100</f>
        <v>-554.86</v>
      </c>
      <c r="AR205" s="125">
        <f>IF($F$5=0,Valores!$C$101,(Valores!$C$101+$F$5*(Valores!$C$101)))</f>
        <v>-550</v>
      </c>
      <c r="AS205" s="125">
        <f t="shared" si="35"/>
        <v>135377.82465000002</v>
      </c>
      <c r="AT205" s="125">
        <f t="shared" si="29"/>
        <v>-17766.976700000003</v>
      </c>
      <c r="AU205" s="125">
        <f>AH205*Valores!$C$74</f>
        <v>-4360.98519</v>
      </c>
      <c r="AV205" s="125">
        <f>AH205*Valores!$C$75</f>
        <v>-484.5539100000001</v>
      </c>
      <c r="AW205" s="125">
        <f t="shared" si="33"/>
        <v>138905.45420000004</v>
      </c>
      <c r="AX205" s="126"/>
      <c r="AY205" s="126">
        <f t="shared" si="28"/>
        <v>15</v>
      </c>
      <c r="AZ205" s="123" t="s">
        <v>4</v>
      </c>
    </row>
    <row r="206" spans="1:52" s="110" customFormat="1" ht="11.25" customHeight="1">
      <c r="A206" s="123" t="s">
        <v>470</v>
      </c>
      <c r="B206" s="123">
        <v>16</v>
      </c>
      <c r="C206" s="126">
        <v>199</v>
      </c>
      <c r="D206" s="124" t="str">
        <f t="shared" si="26"/>
        <v>Hora Cátedra Enseñanza Superior 16 hs</v>
      </c>
      <c r="E206" s="191">
        <f t="shared" si="27"/>
        <v>1584</v>
      </c>
      <c r="F206" s="125">
        <f>ROUND(E206*Valores!$C$2,2)</f>
        <v>64439.97</v>
      </c>
      <c r="G206" s="191">
        <v>0</v>
      </c>
      <c r="H206" s="125">
        <f>ROUND(G206*Valores!$C$2,2)</f>
        <v>0</v>
      </c>
      <c r="I206" s="191">
        <v>0</v>
      </c>
      <c r="J206" s="125">
        <f>ROUND(I206*Valores!$C$2,2)</f>
        <v>0</v>
      </c>
      <c r="K206" s="191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12451.53</v>
      </c>
      <c r="N206" s="125">
        <f t="shared" si="30"/>
        <v>0</v>
      </c>
      <c r="O206" s="125">
        <f>Valores!$C$7*B206</f>
        <v>22074.24</v>
      </c>
      <c r="P206" s="125">
        <f>ROUND(IF(B206&lt;15,(Valores!$E$5*B206),Valores!$D$5),2)</f>
        <v>20796.54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11627.52</v>
      </c>
      <c r="S206" s="125">
        <f>Valores!$C$18*B206</f>
        <v>6942.72</v>
      </c>
      <c r="T206" s="125">
        <f t="shared" si="36"/>
        <v>6942.72</v>
      </c>
      <c r="U206" s="125">
        <v>0</v>
      </c>
      <c r="V206" s="125">
        <v>0</v>
      </c>
      <c r="W206" s="191">
        <v>0</v>
      </c>
      <c r="X206" s="125">
        <f>ROUND(W206*Valores!$C$2,2)</f>
        <v>0</v>
      </c>
      <c r="Y206" s="125">
        <v>0</v>
      </c>
      <c r="Z206" s="125">
        <f>IF(Valores!$C$97*B206&gt;Valores!$C$96,Valores!$C$96,Valores!$C$97*B206)</f>
        <v>21194.72</v>
      </c>
      <c r="AA206" s="125">
        <f>IF((Valores!$C$28)*B206&gt;Valores!$F$28,Valores!$F$28,(Valores!$C$28)*B206)</f>
        <v>545.28</v>
      </c>
      <c r="AB206" s="210">
        <v>0</v>
      </c>
      <c r="AC206" s="125">
        <f t="shared" si="31"/>
        <v>0</v>
      </c>
      <c r="AD206" s="125">
        <f>IF(Valores!$C$29*B206&gt;Valores!$F$29,Valores!$F$29,Valores!$C$29*B206)</f>
        <v>454.08</v>
      </c>
      <c r="AE206" s="191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</f>
        <v>10372.8</v>
      </c>
      <c r="AH206" s="125">
        <f t="shared" si="34"/>
        <v>170899.39999999997</v>
      </c>
      <c r="AI206" s="125">
        <f>IF(Valores!$C$32*B206&gt;Valores!$F$32,Valores!$F$32,Valores!$C$32*B206)</f>
        <v>0</v>
      </c>
      <c r="AJ206" s="125">
        <f>IF(Valores!$C$90*B206&gt;Valores!$C$89,Valores!$C$89,Valores!$C$90*B206)</f>
        <v>0</v>
      </c>
      <c r="AK206" s="125">
        <f>IF(Valores!C$39*B206&gt;Valores!F$38,Valores!F$38,Valores!C$39*B206)</f>
        <v>0</v>
      </c>
      <c r="AL206" s="125">
        <f>IF($F$3="NO",0,IF(Valores!$C$61*B206&gt;Valores!$F$61,Valores!$F$61,Valores!$C$61*B206))</f>
        <v>0</v>
      </c>
      <c r="AM206" s="125">
        <f t="shared" si="32"/>
        <v>0</v>
      </c>
      <c r="AN206" s="125">
        <f>AH206*Valores!$C$71</f>
        <v>-18798.933999999997</v>
      </c>
      <c r="AO206" s="125">
        <f>AH206*-Valores!$C$72</f>
        <v>0</v>
      </c>
      <c r="AP206" s="125">
        <f>AH206*Valores!$C$73</f>
        <v>-7690.472999999998</v>
      </c>
      <c r="AQ206" s="125">
        <f>Valores!$C$100</f>
        <v>-554.86</v>
      </c>
      <c r="AR206" s="125">
        <f>IF($F$5=0,Valores!$C$101,(Valores!$C$101+$F$5*(Valores!$C$101)))</f>
        <v>-550</v>
      </c>
      <c r="AS206" s="125">
        <f t="shared" si="35"/>
        <v>143305.13299999997</v>
      </c>
      <c r="AT206" s="125">
        <f t="shared" si="29"/>
        <v>-18798.933999999997</v>
      </c>
      <c r="AU206" s="125">
        <f>AH206*Valores!$C$74</f>
        <v>-4614.283799999999</v>
      </c>
      <c r="AV206" s="125">
        <f>AH206*Valores!$C$75</f>
        <v>-512.6981999999999</v>
      </c>
      <c r="AW206" s="125">
        <f t="shared" si="33"/>
        <v>146973.48399999997</v>
      </c>
      <c r="AX206" s="126"/>
      <c r="AY206" s="126">
        <f t="shared" si="28"/>
        <v>16</v>
      </c>
      <c r="AZ206" s="123" t="s">
        <v>4</v>
      </c>
    </row>
    <row r="207" spans="1:52" s="110" customFormat="1" ht="11.25" customHeight="1">
      <c r="A207" s="123" t="s">
        <v>470</v>
      </c>
      <c r="B207" s="123">
        <v>17</v>
      </c>
      <c r="C207" s="126">
        <v>200</v>
      </c>
      <c r="D207" s="124" t="str">
        <f t="shared" si="26"/>
        <v>Hora Cátedra Enseñanza Superior 17 hs</v>
      </c>
      <c r="E207" s="191">
        <f t="shared" si="27"/>
        <v>1683</v>
      </c>
      <c r="F207" s="125">
        <f>ROUND(E207*Valores!$C$2,2)</f>
        <v>68467.47</v>
      </c>
      <c r="G207" s="191">
        <v>0</v>
      </c>
      <c r="H207" s="125">
        <f>ROUND(G207*Valores!$C$2,2)</f>
        <v>0</v>
      </c>
      <c r="I207" s="191">
        <v>0</v>
      </c>
      <c r="J207" s="125">
        <f>ROUND(I207*Valores!$C$2,2)</f>
        <v>0</v>
      </c>
      <c r="K207" s="191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13229.75</v>
      </c>
      <c r="N207" s="125">
        <f t="shared" si="30"/>
        <v>0</v>
      </c>
      <c r="O207" s="125">
        <f>Valores!$C$7*B207</f>
        <v>23453.88</v>
      </c>
      <c r="P207" s="125">
        <f>ROUND(IF(B207&lt;15,(Valores!$E$5*B207),Valores!$D$5),2)</f>
        <v>20796.54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12354.24</v>
      </c>
      <c r="S207" s="125">
        <f>Valores!$C$18*B207</f>
        <v>7376.64</v>
      </c>
      <c r="T207" s="125">
        <f t="shared" si="36"/>
        <v>7376.64</v>
      </c>
      <c r="U207" s="125">
        <v>0</v>
      </c>
      <c r="V207" s="125">
        <v>0</v>
      </c>
      <c r="W207" s="191">
        <v>0</v>
      </c>
      <c r="X207" s="125">
        <f>ROUND(W207*Valores!$C$2,2)</f>
        <v>0</v>
      </c>
      <c r="Y207" s="125">
        <v>0</v>
      </c>
      <c r="Z207" s="125">
        <f>IF(Valores!$C$97*B207&gt;Valores!$C$96,Valores!$C$96,Valores!$C$97*B207)</f>
        <v>22519.39</v>
      </c>
      <c r="AA207" s="125">
        <f>IF((Valores!$C$28)*B207&gt;Valores!$F$28,Valores!$F$28,(Valores!$C$28)*B207)</f>
        <v>579.36</v>
      </c>
      <c r="AB207" s="210">
        <v>0</v>
      </c>
      <c r="AC207" s="125">
        <f t="shared" si="31"/>
        <v>0</v>
      </c>
      <c r="AD207" s="125">
        <f>IF(Valores!$C$29*B207&gt;Valores!$F$29,Valores!$F$29,Valores!$C$29*B207)</f>
        <v>482.46</v>
      </c>
      <c r="AE207" s="191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</f>
        <v>11021.099999999999</v>
      </c>
      <c r="AH207" s="125">
        <f t="shared" si="34"/>
        <v>180280.83000000002</v>
      </c>
      <c r="AI207" s="125">
        <f>IF(Valores!$C$32*B207&gt;Valores!$F$32,Valores!$F$32,Valores!$C$32*B207)</f>
        <v>0</v>
      </c>
      <c r="AJ207" s="125">
        <f>IF(Valores!$C$90*B207&gt;Valores!$C$89,Valores!$C$89,Valores!$C$90*B207)</f>
        <v>0</v>
      </c>
      <c r="AK207" s="125">
        <f>IF(Valores!C$39*B207&gt;Valores!F$38,Valores!F$38,Valores!C$39*B207)</f>
        <v>0</v>
      </c>
      <c r="AL207" s="125">
        <f>IF($F$3="NO",0,IF(Valores!$C$61*B207&gt;Valores!$F$61,Valores!$F$61,Valores!$C$61*B207))</f>
        <v>0</v>
      </c>
      <c r="AM207" s="125">
        <f t="shared" si="32"/>
        <v>0</v>
      </c>
      <c r="AN207" s="125">
        <f>AH207*Valores!$C$71</f>
        <v>-19830.891300000003</v>
      </c>
      <c r="AO207" s="125">
        <f>AH207*-Valores!$C$72</f>
        <v>0</v>
      </c>
      <c r="AP207" s="125">
        <f>AH207*Valores!$C$73</f>
        <v>-8112.637350000001</v>
      </c>
      <c r="AQ207" s="125">
        <f>Valores!$C$100</f>
        <v>-554.86</v>
      </c>
      <c r="AR207" s="125">
        <f>IF($F$5=0,Valores!$C$101,(Valores!$C$101+$F$5*(Valores!$C$101)))</f>
        <v>-550</v>
      </c>
      <c r="AS207" s="125">
        <f t="shared" si="35"/>
        <v>151232.44135</v>
      </c>
      <c r="AT207" s="125">
        <f t="shared" si="29"/>
        <v>-19830.891300000003</v>
      </c>
      <c r="AU207" s="125">
        <f>AH207*Valores!$C$74</f>
        <v>-4867.58241</v>
      </c>
      <c r="AV207" s="125">
        <f>AH207*Valores!$C$75</f>
        <v>-540.8424900000001</v>
      </c>
      <c r="AW207" s="125">
        <f t="shared" si="33"/>
        <v>155041.51380000002</v>
      </c>
      <c r="AX207" s="126"/>
      <c r="AY207" s="126">
        <f t="shared" si="28"/>
        <v>17</v>
      </c>
      <c r="AZ207" s="123" t="s">
        <v>4</v>
      </c>
    </row>
    <row r="208" spans="1:52" s="110" customFormat="1" ht="11.25" customHeight="1">
      <c r="A208" s="123" t="s">
        <v>470</v>
      </c>
      <c r="B208" s="123">
        <v>18</v>
      </c>
      <c r="C208" s="126">
        <v>201</v>
      </c>
      <c r="D208" s="124" t="str">
        <f t="shared" si="26"/>
        <v>Hora Cátedra Enseñanza Superior 18 hs</v>
      </c>
      <c r="E208" s="191">
        <f t="shared" si="27"/>
        <v>1782</v>
      </c>
      <c r="F208" s="125">
        <f>ROUND(E208*Valores!$C$2,2)</f>
        <v>72494.97</v>
      </c>
      <c r="G208" s="191">
        <v>0</v>
      </c>
      <c r="H208" s="125">
        <f>ROUND(G208*Valores!$C$2,2)</f>
        <v>0</v>
      </c>
      <c r="I208" s="191">
        <v>0</v>
      </c>
      <c r="J208" s="125">
        <f>ROUND(I208*Valores!$C$2,2)</f>
        <v>0</v>
      </c>
      <c r="K208" s="191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14007.97</v>
      </c>
      <c r="N208" s="125">
        <f t="shared" si="30"/>
        <v>0</v>
      </c>
      <c r="O208" s="125">
        <f>Valores!$C$7*B208</f>
        <v>24833.52</v>
      </c>
      <c r="P208" s="125">
        <f>ROUND(IF(B208&lt;15,(Valores!$E$5*B208),Valores!$D$5),2)</f>
        <v>20796.54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13080.960000000001</v>
      </c>
      <c r="S208" s="125">
        <f>Valores!$C$18*B208</f>
        <v>7810.56</v>
      </c>
      <c r="T208" s="125">
        <f t="shared" si="36"/>
        <v>7810.56</v>
      </c>
      <c r="U208" s="125">
        <v>0</v>
      </c>
      <c r="V208" s="125">
        <v>0</v>
      </c>
      <c r="W208" s="191">
        <v>0</v>
      </c>
      <c r="X208" s="125">
        <f>ROUND(W208*Valores!$C$2,2)</f>
        <v>0</v>
      </c>
      <c r="Y208" s="125">
        <v>0</v>
      </c>
      <c r="Z208" s="125">
        <f>IF(Valores!$C$97*B208&gt;Valores!$C$96,Valores!$C$96,Valores!$C$97*B208)</f>
        <v>23844.06</v>
      </c>
      <c r="AA208" s="125">
        <f>IF((Valores!$C$28)*B208&gt;Valores!$F$28,Valores!$F$28,(Valores!$C$28)*B208)</f>
        <v>613.4399999999999</v>
      </c>
      <c r="AB208" s="210">
        <v>0</v>
      </c>
      <c r="AC208" s="125">
        <f t="shared" si="31"/>
        <v>0</v>
      </c>
      <c r="AD208" s="125">
        <f>IF(Valores!$C$29*B208&gt;Valores!$F$29,Valores!$F$29,Valores!$C$29*B208)</f>
        <v>510.84</v>
      </c>
      <c r="AE208" s="191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</f>
        <v>11669.4</v>
      </c>
      <c r="AH208" s="125">
        <f t="shared" si="34"/>
        <v>189662.25999999998</v>
      </c>
      <c r="AI208" s="125">
        <f>IF(Valores!$C$32*B208&gt;Valores!$F$32,Valores!$F$32,Valores!$C$32*B208)</f>
        <v>0</v>
      </c>
      <c r="AJ208" s="125">
        <f>IF(Valores!$C$90*B208&gt;Valores!$C$89,Valores!$C$89,Valores!$C$90*B208)</f>
        <v>0</v>
      </c>
      <c r="AK208" s="125">
        <f>IF(Valores!C$39*B208&gt;Valores!F$38,Valores!F$38,Valores!C$39*B208)</f>
        <v>0</v>
      </c>
      <c r="AL208" s="125">
        <f>IF($F$3="NO",0,IF(Valores!$C$61*B208&gt;Valores!$F$61,Valores!$F$61,Valores!$C$61*B208))</f>
        <v>0</v>
      </c>
      <c r="AM208" s="125">
        <f t="shared" si="32"/>
        <v>0</v>
      </c>
      <c r="AN208" s="125">
        <f>AH208*Valores!$C$71</f>
        <v>-20862.848599999998</v>
      </c>
      <c r="AO208" s="125">
        <f>AH208*-Valores!$C$72</f>
        <v>0</v>
      </c>
      <c r="AP208" s="125">
        <f>AH208*Valores!$C$73</f>
        <v>-8534.801699999998</v>
      </c>
      <c r="AQ208" s="125">
        <f>Valores!$C$100</f>
        <v>-554.86</v>
      </c>
      <c r="AR208" s="125">
        <f>IF($F$5=0,Valores!$C$101,(Valores!$C$101+$F$5*(Valores!$C$101)))</f>
        <v>-550</v>
      </c>
      <c r="AS208" s="125">
        <f t="shared" si="35"/>
        <v>159159.7497</v>
      </c>
      <c r="AT208" s="125">
        <f t="shared" si="29"/>
        <v>-20862.848599999998</v>
      </c>
      <c r="AU208" s="125">
        <f>AH208*Valores!$C$74</f>
        <v>-5120.88102</v>
      </c>
      <c r="AV208" s="125">
        <f>AH208*Valores!$C$75</f>
        <v>-568.98678</v>
      </c>
      <c r="AW208" s="125">
        <f t="shared" si="33"/>
        <v>163109.54359999998</v>
      </c>
      <c r="AX208" s="126"/>
      <c r="AY208" s="126">
        <f t="shared" si="28"/>
        <v>18</v>
      </c>
      <c r="AZ208" s="123" t="s">
        <v>4</v>
      </c>
    </row>
    <row r="209" spans="1:52" s="110" customFormat="1" ht="11.25" customHeight="1">
      <c r="A209" s="123" t="s">
        <v>470</v>
      </c>
      <c r="B209" s="123">
        <v>19</v>
      </c>
      <c r="C209" s="126">
        <v>202</v>
      </c>
      <c r="D209" s="124" t="str">
        <f t="shared" si="26"/>
        <v>Hora Cátedra Enseñanza Superior 19 hs</v>
      </c>
      <c r="E209" s="191">
        <f t="shared" si="27"/>
        <v>1881</v>
      </c>
      <c r="F209" s="125">
        <f>ROUND(E209*Valores!$C$2,2)</f>
        <v>76522.47</v>
      </c>
      <c r="G209" s="191">
        <v>0</v>
      </c>
      <c r="H209" s="125">
        <f>ROUND(G209*Valores!$C$2,2)</f>
        <v>0</v>
      </c>
      <c r="I209" s="191">
        <v>0</v>
      </c>
      <c r="J209" s="125">
        <f>ROUND(I209*Valores!$C$2,2)</f>
        <v>0</v>
      </c>
      <c r="K209" s="191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14786.19</v>
      </c>
      <c r="N209" s="125">
        <f t="shared" si="30"/>
        <v>0</v>
      </c>
      <c r="O209" s="125">
        <f>Valores!$C$7*B209</f>
        <v>26213.160000000003</v>
      </c>
      <c r="P209" s="125">
        <f>ROUND(IF(B209&lt;15,(Valores!$E$5*B209),Valores!$D$5),2)</f>
        <v>20796.54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13807.68</v>
      </c>
      <c r="S209" s="125">
        <f>Valores!$C$18*B209</f>
        <v>8244.48</v>
      </c>
      <c r="T209" s="125">
        <f t="shared" si="36"/>
        <v>8244.48</v>
      </c>
      <c r="U209" s="125">
        <v>0</v>
      </c>
      <c r="V209" s="125">
        <v>0</v>
      </c>
      <c r="W209" s="191">
        <v>0</v>
      </c>
      <c r="X209" s="125">
        <f>ROUND(W209*Valores!$C$2,2)</f>
        <v>0</v>
      </c>
      <c r="Y209" s="125">
        <v>0</v>
      </c>
      <c r="Z209" s="125">
        <f>IF(Valores!$C$97*B209&gt;Valores!$C$96,Valores!$C$96,Valores!$C$97*B209)</f>
        <v>25168.730000000003</v>
      </c>
      <c r="AA209" s="125">
        <f>IF((Valores!$C$28)*B209&gt;Valores!$F$28,Valores!$F$28,(Valores!$C$28)*B209)</f>
        <v>647.52</v>
      </c>
      <c r="AB209" s="210">
        <v>0</v>
      </c>
      <c r="AC209" s="125">
        <f t="shared" si="31"/>
        <v>0</v>
      </c>
      <c r="AD209" s="125">
        <f>IF(Valores!$C$29*B209&gt;Valores!$F$29,Valores!$F$29,Valores!$C$29*B209)</f>
        <v>539.22</v>
      </c>
      <c r="AE209" s="191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</f>
        <v>12317.699999999999</v>
      </c>
      <c r="AH209" s="125">
        <f t="shared" si="34"/>
        <v>199043.69000000003</v>
      </c>
      <c r="AI209" s="125">
        <f>IF(Valores!$C$32*B209&gt;Valores!$F$32,Valores!$F$32,Valores!$C$32*B209)</f>
        <v>0</v>
      </c>
      <c r="AJ209" s="125">
        <f>IF(Valores!$C$90*B209&gt;Valores!$C$89,Valores!$C$89,Valores!$C$90*B209)</f>
        <v>0</v>
      </c>
      <c r="AK209" s="125">
        <f>IF(Valores!C$39*B209&gt;Valores!F$38,Valores!F$38,Valores!C$39*B209)</f>
        <v>0</v>
      </c>
      <c r="AL209" s="125">
        <f>IF($F$3="NO",0,IF(Valores!$C$61*B209&gt;Valores!$F$61,Valores!$F$61,Valores!$C$61*B209))</f>
        <v>0</v>
      </c>
      <c r="AM209" s="125">
        <f t="shared" si="32"/>
        <v>0</v>
      </c>
      <c r="AN209" s="125">
        <f>AH209*Valores!$C$71</f>
        <v>-21894.805900000003</v>
      </c>
      <c r="AO209" s="125">
        <f>AH209*-Valores!$C$72</f>
        <v>0</v>
      </c>
      <c r="AP209" s="125">
        <f>AH209*Valores!$C$73</f>
        <v>-8956.96605</v>
      </c>
      <c r="AQ209" s="125">
        <f>Valores!$C$100</f>
        <v>-554.86</v>
      </c>
      <c r="AR209" s="125">
        <f>IF($F$5=0,Valores!$C$101,(Valores!$C$101+$F$5*(Valores!$C$101)))</f>
        <v>-550</v>
      </c>
      <c r="AS209" s="125">
        <f t="shared" si="35"/>
        <v>167087.05805000002</v>
      </c>
      <c r="AT209" s="125">
        <f t="shared" si="29"/>
        <v>-21894.805900000003</v>
      </c>
      <c r="AU209" s="125">
        <f>AH209*Valores!$C$74</f>
        <v>-5374.1796300000005</v>
      </c>
      <c r="AV209" s="125">
        <f>AH209*Valores!$C$75</f>
        <v>-597.1310700000001</v>
      </c>
      <c r="AW209" s="125">
        <f t="shared" si="33"/>
        <v>171177.57340000002</v>
      </c>
      <c r="AX209" s="126"/>
      <c r="AY209" s="126">
        <f t="shared" si="28"/>
        <v>19</v>
      </c>
      <c r="AZ209" s="123" t="s">
        <v>4</v>
      </c>
    </row>
    <row r="210" spans="1:52" s="110" customFormat="1" ht="11.25" customHeight="1">
      <c r="A210" s="123" t="s">
        <v>470</v>
      </c>
      <c r="B210" s="123">
        <v>20</v>
      </c>
      <c r="C210" s="126">
        <v>203</v>
      </c>
      <c r="D210" s="124" t="str">
        <f t="shared" si="26"/>
        <v>Hora Cátedra Enseñanza Superior 20 hs</v>
      </c>
      <c r="E210" s="191">
        <f t="shared" si="27"/>
        <v>1980</v>
      </c>
      <c r="F210" s="125">
        <f>ROUND(E210*Valores!$C$2,2)</f>
        <v>80549.96</v>
      </c>
      <c r="G210" s="191">
        <v>0</v>
      </c>
      <c r="H210" s="125">
        <f>ROUND(G210*Valores!$C$2,2)</f>
        <v>0</v>
      </c>
      <c r="I210" s="191">
        <v>0</v>
      </c>
      <c r="J210" s="125">
        <f>ROUND(I210*Valores!$C$2,2)</f>
        <v>0</v>
      </c>
      <c r="K210" s="191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15564.41</v>
      </c>
      <c r="N210" s="125">
        <f t="shared" si="30"/>
        <v>0</v>
      </c>
      <c r="O210" s="125">
        <f>Valores!$C$7*B210</f>
        <v>27592.800000000003</v>
      </c>
      <c r="P210" s="125">
        <f>ROUND(IF(B210&lt;15,(Valores!$E$5*B210),Valores!$D$5),2)</f>
        <v>20796.54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14534.400000000001</v>
      </c>
      <c r="S210" s="125">
        <f>Valores!$C$18*B210</f>
        <v>8678.4</v>
      </c>
      <c r="T210" s="125">
        <f t="shared" si="36"/>
        <v>8678.4</v>
      </c>
      <c r="U210" s="125">
        <v>0</v>
      </c>
      <c r="V210" s="125">
        <v>0</v>
      </c>
      <c r="W210" s="191">
        <v>0</v>
      </c>
      <c r="X210" s="125">
        <f>ROUND(W210*Valores!$C$2,2)</f>
        <v>0</v>
      </c>
      <c r="Y210" s="125">
        <v>0</v>
      </c>
      <c r="Z210" s="125">
        <f>IF(Valores!$C$97*B210&gt;Valores!$C$96,Valores!$C$96,Valores!$C$97*B210)</f>
        <v>26493.4</v>
      </c>
      <c r="AA210" s="125">
        <f>IF((Valores!$C$28)*B210&gt;Valores!$F$28,Valores!$F$28,(Valores!$C$28)*B210)</f>
        <v>681.5999999999999</v>
      </c>
      <c r="AB210" s="210">
        <v>0</v>
      </c>
      <c r="AC210" s="125">
        <f t="shared" si="31"/>
        <v>0</v>
      </c>
      <c r="AD210" s="125">
        <f>IF(Valores!$C$29*B210&gt;Valores!$F$29,Valores!$F$29,Valores!$C$29*B210)</f>
        <v>567.6</v>
      </c>
      <c r="AE210" s="191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</f>
        <v>12966</v>
      </c>
      <c r="AH210" s="125">
        <f t="shared" si="34"/>
        <v>208425.11000000002</v>
      </c>
      <c r="AI210" s="125">
        <f>IF(Valores!$C$32*B210&gt;Valores!$F$32,Valores!$F$32,Valores!$C$32*B210)</f>
        <v>0</v>
      </c>
      <c r="AJ210" s="125">
        <f>IF(Valores!$C$90*B210&gt;Valores!$C$89,Valores!$C$89,Valores!$C$90*B210)</f>
        <v>0</v>
      </c>
      <c r="AK210" s="125">
        <f>IF(Valores!C$39*B210&gt;Valores!F$38,Valores!F$38,Valores!C$39*B210)</f>
        <v>0</v>
      </c>
      <c r="AL210" s="125">
        <f>IF($F$3="NO",0,IF(Valores!$C$61*B210&gt;Valores!$F$61,Valores!$F$61,Valores!$C$61*B210))</f>
        <v>0</v>
      </c>
      <c r="AM210" s="125">
        <f t="shared" si="32"/>
        <v>0</v>
      </c>
      <c r="AN210" s="125">
        <f>AH210*Valores!$C$71</f>
        <v>-22926.762100000004</v>
      </c>
      <c r="AO210" s="125">
        <f>AH210*-Valores!$C$72</f>
        <v>0</v>
      </c>
      <c r="AP210" s="125">
        <f>AH210*Valores!$C$73</f>
        <v>-9379.12995</v>
      </c>
      <c r="AQ210" s="125">
        <f>Valores!$C$100</f>
        <v>-554.86</v>
      </c>
      <c r="AR210" s="125">
        <f>IF($F$5=0,Valores!$C$101,(Valores!$C$101+$F$5*(Valores!$C$101)))</f>
        <v>-550</v>
      </c>
      <c r="AS210" s="125">
        <f t="shared" si="35"/>
        <v>175014.35795</v>
      </c>
      <c r="AT210" s="125">
        <f t="shared" si="29"/>
        <v>-22926.762100000004</v>
      </c>
      <c r="AU210" s="125">
        <f>AH210*Valores!$C$74</f>
        <v>-5627.47797</v>
      </c>
      <c r="AV210" s="125">
        <f>AH210*Valores!$C$75</f>
        <v>-625.27533</v>
      </c>
      <c r="AW210" s="125">
        <f t="shared" si="33"/>
        <v>179245.5946</v>
      </c>
      <c r="AX210" s="126"/>
      <c r="AY210" s="126">
        <f t="shared" si="28"/>
        <v>20</v>
      </c>
      <c r="AZ210" s="123" t="s">
        <v>4</v>
      </c>
    </row>
    <row r="211" spans="1:52" s="110" customFormat="1" ht="11.25" customHeight="1">
      <c r="A211" s="123" t="s">
        <v>470</v>
      </c>
      <c r="B211" s="123">
        <v>21</v>
      </c>
      <c r="C211" s="126">
        <v>204</v>
      </c>
      <c r="D211" s="124" t="str">
        <f t="shared" si="26"/>
        <v>Hora Cátedra Enseñanza Superior 21 hs</v>
      </c>
      <c r="E211" s="191">
        <f t="shared" si="27"/>
        <v>2079</v>
      </c>
      <c r="F211" s="125">
        <f>ROUND(E211*Valores!$C$2,2)</f>
        <v>84577.46</v>
      </c>
      <c r="G211" s="191">
        <v>0</v>
      </c>
      <c r="H211" s="125">
        <f>ROUND(G211*Valores!$C$2,2)</f>
        <v>0</v>
      </c>
      <c r="I211" s="191">
        <v>0</v>
      </c>
      <c r="J211" s="125">
        <f>ROUND(I211*Valores!$C$2,2)</f>
        <v>0</v>
      </c>
      <c r="K211" s="191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16342.64</v>
      </c>
      <c r="N211" s="125">
        <f t="shared" si="30"/>
        <v>0</v>
      </c>
      <c r="O211" s="125">
        <f>Valores!$C$7*B211</f>
        <v>28972.440000000002</v>
      </c>
      <c r="P211" s="125">
        <f>ROUND(IF(B211&lt;15,(Valores!$E$5*B211),Valores!$D$5),2)</f>
        <v>20796.54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15261.12</v>
      </c>
      <c r="S211" s="125">
        <f>Valores!$C$18*B211</f>
        <v>9112.32</v>
      </c>
      <c r="T211" s="125">
        <f t="shared" si="36"/>
        <v>9112.32</v>
      </c>
      <c r="U211" s="125">
        <v>0</v>
      </c>
      <c r="V211" s="125">
        <v>0</v>
      </c>
      <c r="W211" s="191">
        <v>0</v>
      </c>
      <c r="X211" s="125">
        <f>ROUND(W211*Valores!$C$2,2)</f>
        <v>0</v>
      </c>
      <c r="Y211" s="125">
        <v>0</v>
      </c>
      <c r="Z211" s="125">
        <f>IF(Valores!$C$97*B211&gt;Valores!$C$96,Valores!$C$96,Valores!$C$97*B211)</f>
        <v>27818.07</v>
      </c>
      <c r="AA211" s="125">
        <f>IF((Valores!$C$28)*B211&gt;Valores!$F$28,Valores!$F$28,(Valores!$C$28)*B211)</f>
        <v>715.68</v>
      </c>
      <c r="AB211" s="210">
        <v>0</v>
      </c>
      <c r="AC211" s="125">
        <f t="shared" si="31"/>
        <v>0</v>
      </c>
      <c r="AD211" s="125">
        <f>IF(Valores!$C$29*B211&gt;Valores!$F$29,Valores!$F$29,Valores!$C$29*B211)</f>
        <v>595.98</v>
      </c>
      <c r="AE211" s="191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</f>
        <v>13614.3</v>
      </c>
      <c r="AH211" s="125">
        <f t="shared" si="34"/>
        <v>217806.55000000002</v>
      </c>
      <c r="AI211" s="125">
        <f>IF(Valores!$C$32*B211&gt;Valores!$F$32,Valores!$F$32,Valores!$C$32*B211)</f>
        <v>0</v>
      </c>
      <c r="AJ211" s="125">
        <f>IF(Valores!$C$90*B211&gt;Valores!$C$89,Valores!$C$89,Valores!$C$90*B211)</f>
        <v>0</v>
      </c>
      <c r="AK211" s="125">
        <f>IF(Valores!C$39*B211&gt;Valores!F$38,Valores!F$38,Valores!C$39*B211)</f>
        <v>0</v>
      </c>
      <c r="AL211" s="125">
        <f>IF($F$3="NO",0,IF(Valores!$C$61*B211&gt;Valores!$F$61,Valores!$F$61,Valores!$C$61*B211))</f>
        <v>0</v>
      </c>
      <c r="AM211" s="125">
        <f t="shared" si="32"/>
        <v>0</v>
      </c>
      <c r="AN211" s="125">
        <f>AH211*Valores!$C$71</f>
        <v>-23958.720500000003</v>
      </c>
      <c r="AO211" s="125">
        <f>AH211*-Valores!$C$72</f>
        <v>0</v>
      </c>
      <c r="AP211" s="125">
        <f>AH211*Valores!$C$73</f>
        <v>-9801.294750000001</v>
      </c>
      <c r="AQ211" s="125">
        <f>Valores!$C$100</f>
        <v>-554.86</v>
      </c>
      <c r="AR211" s="125">
        <f>IF($F$5=0,Valores!$C$101,(Valores!$C$101+$F$5*(Valores!$C$101)))</f>
        <v>-550</v>
      </c>
      <c r="AS211" s="125">
        <f t="shared" si="35"/>
        <v>182941.67475</v>
      </c>
      <c r="AT211" s="125">
        <f t="shared" si="29"/>
        <v>-23958.720500000003</v>
      </c>
      <c r="AU211" s="125">
        <f>AH211*Valores!$C$74</f>
        <v>-5880.77685</v>
      </c>
      <c r="AV211" s="125">
        <f>AH211*Valores!$C$75</f>
        <v>-653.41965</v>
      </c>
      <c r="AW211" s="125">
        <f t="shared" si="33"/>
        <v>187313.633</v>
      </c>
      <c r="AX211" s="126"/>
      <c r="AY211" s="126">
        <f t="shared" si="28"/>
        <v>21</v>
      </c>
      <c r="AZ211" s="123" t="s">
        <v>8</v>
      </c>
    </row>
    <row r="212" spans="1:52" s="110" customFormat="1" ht="11.25" customHeight="1">
      <c r="A212" s="123" t="s">
        <v>470</v>
      </c>
      <c r="B212" s="123">
        <v>22</v>
      </c>
      <c r="C212" s="126">
        <v>205</v>
      </c>
      <c r="D212" s="124" t="str">
        <f t="shared" si="26"/>
        <v>Hora Cátedra Enseñanza Superior 22 hs</v>
      </c>
      <c r="E212" s="191">
        <f t="shared" si="27"/>
        <v>2178</v>
      </c>
      <c r="F212" s="125">
        <f>ROUND(E212*Valores!$C$2,2)</f>
        <v>88604.96</v>
      </c>
      <c r="G212" s="191">
        <v>0</v>
      </c>
      <c r="H212" s="125">
        <f>ROUND(G212*Valores!$C$2,2)</f>
        <v>0</v>
      </c>
      <c r="I212" s="191">
        <v>0</v>
      </c>
      <c r="J212" s="125">
        <f>ROUND(I212*Valores!$C$2,2)</f>
        <v>0</v>
      </c>
      <c r="K212" s="191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17120.86</v>
      </c>
      <c r="N212" s="125">
        <f t="shared" si="30"/>
        <v>0</v>
      </c>
      <c r="O212" s="125">
        <f>Valores!$C$7*B212</f>
        <v>30352.08</v>
      </c>
      <c r="P212" s="125">
        <f>ROUND(IF(B212&lt;15,(Valores!$E$5*B212),Valores!$D$5),2)</f>
        <v>20796.54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15987.84</v>
      </c>
      <c r="S212" s="125">
        <f>Valores!$C$18*B212</f>
        <v>9546.24</v>
      </c>
      <c r="T212" s="125">
        <f t="shared" si="36"/>
        <v>9546.24</v>
      </c>
      <c r="U212" s="125">
        <v>0</v>
      </c>
      <c r="V212" s="125">
        <v>0</v>
      </c>
      <c r="W212" s="191">
        <v>0</v>
      </c>
      <c r="X212" s="125">
        <f>ROUND(W212*Valores!$C$2,2)</f>
        <v>0</v>
      </c>
      <c r="Y212" s="125">
        <v>0</v>
      </c>
      <c r="Z212" s="125">
        <f>IF(Valores!$C$97*B212&gt;Valores!$C$96,Valores!$C$96,Valores!$C$97*B212)</f>
        <v>29142.74</v>
      </c>
      <c r="AA212" s="125">
        <f>IF((Valores!$C$28)*B212&gt;Valores!$F$28,Valores!$F$28,(Valores!$C$28)*B212)</f>
        <v>749.76</v>
      </c>
      <c r="AB212" s="210">
        <v>0</v>
      </c>
      <c r="AC212" s="125">
        <f t="shared" si="31"/>
        <v>0</v>
      </c>
      <c r="AD212" s="125">
        <f>IF(Valores!$C$29*B212&gt;Valores!$F$29,Valores!$F$29,Valores!$C$29*B212)</f>
        <v>624.36</v>
      </c>
      <c r="AE212" s="191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</f>
        <v>14262.599999999999</v>
      </c>
      <c r="AH212" s="125">
        <f t="shared" si="34"/>
        <v>227187.98</v>
      </c>
      <c r="AI212" s="125">
        <f>IF(Valores!$C$32*B212&gt;Valores!$F$32,Valores!$F$32,Valores!$C$32*B212)</f>
        <v>0</v>
      </c>
      <c r="AJ212" s="125">
        <f>IF(Valores!$C$90*B212&gt;Valores!$C$89,Valores!$C$89,Valores!$C$90*B212)</f>
        <v>0</v>
      </c>
      <c r="AK212" s="125">
        <f>IF(Valores!C$39*B212&gt;Valores!F$38,Valores!F$38,Valores!C$39*B212)</f>
        <v>0</v>
      </c>
      <c r="AL212" s="125">
        <f>IF($F$3="NO",0,IF(Valores!$C$61*B212&gt;Valores!$F$61,Valores!$F$61,Valores!$C$61*B212))</f>
        <v>0</v>
      </c>
      <c r="AM212" s="125">
        <f t="shared" si="32"/>
        <v>0</v>
      </c>
      <c r="AN212" s="125">
        <f>AH212*Valores!$C$71</f>
        <v>-24990.6778</v>
      </c>
      <c r="AO212" s="125">
        <f>AH212*-Valores!$C$72</f>
        <v>0</v>
      </c>
      <c r="AP212" s="125">
        <f>AH212*Valores!$C$73</f>
        <v>-10223.4591</v>
      </c>
      <c r="AQ212" s="125">
        <f>Valores!$C$100</f>
        <v>-554.86</v>
      </c>
      <c r="AR212" s="125">
        <f>IF($F$5=0,Valores!$C$101,(Valores!$C$101+$F$5*(Valores!$C$101)))</f>
        <v>-550</v>
      </c>
      <c r="AS212" s="125">
        <f t="shared" si="35"/>
        <v>190868.9831</v>
      </c>
      <c r="AT212" s="125">
        <f t="shared" si="29"/>
        <v>-24990.6778</v>
      </c>
      <c r="AU212" s="125">
        <f>AH212*Valores!$C$74</f>
        <v>-6134.07546</v>
      </c>
      <c r="AV212" s="125">
        <f>AH212*Valores!$C$75</f>
        <v>-681.56394</v>
      </c>
      <c r="AW212" s="125">
        <f t="shared" si="33"/>
        <v>195381.66280000002</v>
      </c>
      <c r="AX212" s="126"/>
      <c r="AY212" s="126">
        <f t="shared" si="28"/>
        <v>22</v>
      </c>
      <c r="AZ212" s="123" t="s">
        <v>4</v>
      </c>
    </row>
    <row r="213" spans="1:52" s="110" customFormat="1" ht="11.25" customHeight="1">
      <c r="A213" s="123" t="s">
        <v>470</v>
      </c>
      <c r="B213" s="123">
        <v>23</v>
      </c>
      <c r="C213" s="126">
        <v>206</v>
      </c>
      <c r="D213" s="124" t="str">
        <f t="shared" si="26"/>
        <v>Hora Cátedra Enseñanza Superior 23 hs</v>
      </c>
      <c r="E213" s="191">
        <f t="shared" si="27"/>
        <v>2277</v>
      </c>
      <c r="F213" s="125">
        <f>ROUND(E213*Valores!$C$2,2)</f>
        <v>92632.46</v>
      </c>
      <c r="G213" s="191">
        <v>0</v>
      </c>
      <c r="H213" s="125">
        <f>ROUND(G213*Valores!$C$2,2)</f>
        <v>0</v>
      </c>
      <c r="I213" s="191">
        <v>0</v>
      </c>
      <c r="J213" s="125">
        <f>ROUND(I213*Valores!$C$2,2)</f>
        <v>0</v>
      </c>
      <c r="K213" s="191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17899.08</v>
      </c>
      <c r="N213" s="125">
        <f t="shared" si="30"/>
        <v>0</v>
      </c>
      <c r="O213" s="125">
        <f>Valores!$C$7*B213</f>
        <v>31731.72</v>
      </c>
      <c r="P213" s="125">
        <f>ROUND(IF(B213&lt;15,(Valores!$E$5*B213),Valores!$D$5),2)</f>
        <v>20796.54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16714.56</v>
      </c>
      <c r="S213" s="125">
        <f>Valores!$C$18*B213</f>
        <v>9980.16</v>
      </c>
      <c r="T213" s="125">
        <f t="shared" si="36"/>
        <v>9980.16</v>
      </c>
      <c r="U213" s="125">
        <v>0</v>
      </c>
      <c r="V213" s="125">
        <v>0</v>
      </c>
      <c r="W213" s="191">
        <v>0</v>
      </c>
      <c r="X213" s="125">
        <f>ROUND(W213*Valores!$C$2,2)</f>
        <v>0</v>
      </c>
      <c r="Y213" s="125">
        <v>0</v>
      </c>
      <c r="Z213" s="125">
        <f>IF(Valores!$C$97*B213&gt;Valores!$C$96,Valores!$C$96,Valores!$C$97*B213)</f>
        <v>30467.410000000003</v>
      </c>
      <c r="AA213" s="125">
        <f>IF((Valores!$C$28)*B213&gt;Valores!$F$28,Valores!$F$28,(Valores!$C$28)*B213)</f>
        <v>783.8399999999999</v>
      </c>
      <c r="AB213" s="210">
        <v>0</v>
      </c>
      <c r="AC213" s="125">
        <f t="shared" si="31"/>
        <v>0</v>
      </c>
      <c r="AD213" s="125">
        <f>IF(Valores!$C$29*B213&gt;Valores!$F$29,Valores!$F$29,Valores!$C$29*B213)</f>
        <v>652.74</v>
      </c>
      <c r="AE213" s="191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</f>
        <v>14910.9</v>
      </c>
      <c r="AH213" s="125">
        <f t="shared" si="34"/>
        <v>236569.41</v>
      </c>
      <c r="AI213" s="125">
        <f>IF(Valores!$C$32*B213&gt;Valores!$F$32,Valores!$F$32,Valores!$C$32*B213)</f>
        <v>0</v>
      </c>
      <c r="AJ213" s="125">
        <f>IF(Valores!$C$90*B213&gt;Valores!$C$89,Valores!$C$89,Valores!$C$90*B213)</f>
        <v>0</v>
      </c>
      <c r="AK213" s="125">
        <f>IF(Valores!C$39*B213&gt;Valores!F$38,Valores!F$38,Valores!C$39*B213)</f>
        <v>0</v>
      </c>
      <c r="AL213" s="125">
        <f>IF($F$3="NO",0,IF(Valores!$C$61*B213&gt;Valores!$F$61,Valores!$F$61,Valores!$C$61*B213))</f>
        <v>0</v>
      </c>
      <c r="AM213" s="125">
        <f t="shared" si="32"/>
        <v>0</v>
      </c>
      <c r="AN213" s="125">
        <f>AH213*Valores!$C$71</f>
        <v>-26022.6351</v>
      </c>
      <c r="AO213" s="125">
        <f>AH213*-Valores!$C$72</f>
        <v>0</v>
      </c>
      <c r="AP213" s="125">
        <f>AH213*Valores!$C$73</f>
        <v>-10645.62345</v>
      </c>
      <c r="AQ213" s="125">
        <f>Valores!$C$100</f>
        <v>-554.86</v>
      </c>
      <c r="AR213" s="125">
        <f>IF($F$5=0,Valores!$C$101,(Valores!$C$101+$F$5*(Valores!$C$101)))</f>
        <v>-550</v>
      </c>
      <c r="AS213" s="125">
        <f t="shared" si="35"/>
        <v>198796.29145000002</v>
      </c>
      <c r="AT213" s="125">
        <f t="shared" si="29"/>
        <v>-26022.6351</v>
      </c>
      <c r="AU213" s="125">
        <f>AH213*Valores!$C$74</f>
        <v>-6387.37407</v>
      </c>
      <c r="AV213" s="125">
        <f>AH213*Valores!$C$75</f>
        <v>-709.7082300000001</v>
      </c>
      <c r="AW213" s="125">
        <f t="shared" si="33"/>
        <v>203449.6926</v>
      </c>
      <c r="AX213" s="126"/>
      <c r="AY213" s="126">
        <f t="shared" si="28"/>
        <v>23</v>
      </c>
      <c r="AZ213" s="123" t="s">
        <v>8</v>
      </c>
    </row>
    <row r="214" spans="1:52" s="110" customFormat="1" ht="11.25" customHeight="1">
      <c r="A214" s="123" t="s">
        <v>470</v>
      </c>
      <c r="B214" s="123">
        <v>24</v>
      </c>
      <c r="C214" s="126">
        <v>207</v>
      </c>
      <c r="D214" s="124" t="str">
        <f t="shared" si="26"/>
        <v>Hora Cátedra Enseñanza Superior 24 hs</v>
      </c>
      <c r="E214" s="191">
        <f t="shared" si="27"/>
        <v>2376</v>
      </c>
      <c r="F214" s="125">
        <f>ROUND(E214*Valores!$C$2,2)</f>
        <v>96659.96</v>
      </c>
      <c r="G214" s="191">
        <v>0</v>
      </c>
      <c r="H214" s="125">
        <f>ROUND(G214*Valores!$C$2,2)</f>
        <v>0</v>
      </c>
      <c r="I214" s="191">
        <v>0</v>
      </c>
      <c r="J214" s="125">
        <f>ROUND(I214*Valores!$C$2,2)</f>
        <v>0</v>
      </c>
      <c r="K214" s="191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18677.3</v>
      </c>
      <c r="N214" s="125">
        <f t="shared" si="30"/>
        <v>0</v>
      </c>
      <c r="O214" s="125">
        <f>Valores!$C$7*B214</f>
        <v>33111.36</v>
      </c>
      <c r="P214" s="125">
        <f>ROUND(IF(B214&lt;15,(Valores!$E$5*B214),Valores!$D$5),2)</f>
        <v>20796.54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17441.28</v>
      </c>
      <c r="S214" s="125">
        <f>Valores!$C$18*B214</f>
        <v>10414.08</v>
      </c>
      <c r="T214" s="125">
        <f t="shared" si="36"/>
        <v>10414.08</v>
      </c>
      <c r="U214" s="125">
        <v>0</v>
      </c>
      <c r="V214" s="125">
        <v>0</v>
      </c>
      <c r="W214" s="191">
        <v>0</v>
      </c>
      <c r="X214" s="125">
        <f>ROUND(W214*Valores!$C$2,2)</f>
        <v>0</v>
      </c>
      <c r="Y214" s="125">
        <v>0</v>
      </c>
      <c r="Z214" s="125">
        <f>IF(Valores!$C$97*B214&gt;Valores!$C$96,Valores!$C$96,Valores!$C$97*B214)</f>
        <v>31792.08</v>
      </c>
      <c r="AA214" s="125">
        <f>IF((Valores!$C$28)*B214&gt;Valores!$F$28,Valores!$F$28,(Valores!$C$28)*B214)</f>
        <v>817.92</v>
      </c>
      <c r="AB214" s="210">
        <v>0</v>
      </c>
      <c r="AC214" s="125">
        <f t="shared" si="31"/>
        <v>0</v>
      </c>
      <c r="AD214" s="125">
        <f>IF(Valores!$C$29*B214&gt;Valores!$F$29,Valores!$F$29,Valores!$C$29*B214)</f>
        <v>681.12</v>
      </c>
      <c r="AE214" s="191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</f>
        <v>15559.199999999999</v>
      </c>
      <c r="AH214" s="125">
        <f t="shared" si="34"/>
        <v>245950.84</v>
      </c>
      <c r="AI214" s="125">
        <f>IF(Valores!$C$32*B214&gt;Valores!$F$32,Valores!$F$32,Valores!$C$32*B214)</f>
        <v>0</v>
      </c>
      <c r="AJ214" s="125">
        <f>IF(Valores!$C$90*B214&gt;Valores!$C$89,Valores!$C$89,Valores!$C$90*B214)</f>
        <v>0</v>
      </c>
      <c r="AK214" s="125">
        <f>IF(Valores!C$39*B214&gt;Valores!F$38,Valores!F$38,Valores!C$39*B214)</f>
        <v>0</v>
      </c>
      <c r="AL214" s="125">
        <f>IF($F$3="NO",0,IF(Valores!$C$61*B214&gt;Valores!$F$61,Valores!$F$61,Valores!$C$61*B214))</f>
        <v>0</v>
      </c>
      <c r="AM214" s="125">
        <f t="shared" si="32"/>
        <v>0</v>
      </c>
      <c r="AN214" s="125">
        <f>AH214*Valores!$C$71</f>
        <v>-27054.5924</v>
      </c>
      <c r="AO214" s="125">
        <f>AH214*-Valores!$C$72</f>
        <v>0</v>
      </c>
      <c r="AP214" s="125">
        <f>AH214*Valores!$C$73</f>
        <v>-11067.7878</v>
      </c>
      <c r="AQ214" s="125">
        <f>Valores!$C$100</f>
        <v>-554.86</v>
      </c>
      <c r="AR214" s="125">
        <f>IF($F$5=0,Valores!$C$101,(Valores!$C$101+$F$5*(Valores!$C$101)))</f>
        <v>-550</v>
      </c>
      <c r="AS214" s="125">
        <f t="shared" si="35"/>
        <v>206723.5998</v>
      </c>
      <c r="AT214" s="125">
        <f t="shared" si="29"/>
        <v>-27054.5924</v>
      </c>
      <c r="AU214" s="125">
        <f>AH214*Valores!$C$74</f>
        <v>-6640.67268</v>
      </c>
      <c r="AV214" s="125">
        <f>AH214*Valores!$C$75</f>
        <v>-737.85252</v>
      </c>
      <c r="AW214" s="125">
        <f t="shared" si="33"/>
        <v>211517.7224</v>
      </c>
      <c r="AX214" s="126"/>
      <c r="AY214" s="126">
        <f t="shared" si="28"/>
        <v>24</v>
      </c>
      <c r="AZ214" s="123" t="s">
        <v>8</v>
      </c>
    </row>
    <row r="215" spans="1:52" s="110" customFormat="1" ht="11.25" customHeight="1">
      <c r="A215" s="123" t="s">
        <v>470</v>
      </c>
      <c r="B215" s="123">
        <v>25</v>
      </c>
      <c r="C215" s="126">
        <v>208</v>
      </c>
      <c r="D215" s="124" t="str">
        <f t="shared" si="26"/>
        <v>Hora Cátedra Enseñanza Superior 25 hs</v>
      </c>
      <c r="E215" s="191">
        <f t="shared" si="27"/>
        <v>2475</v>
      </c>
      <c r="F215" s="125">
        <f>ROUND(E215*Valores!$C$2,2)</f>
        <v>100687.46</v>
      </c>
      <c r="G215" s="191">
        <v>0</v>
      </c>
      <c r="H215" s="125">
        <f>ROUND(G215*Valores!$C$2,2)</f>
        <v>0</v>
      </c>
      <c r="I215" s="191">
        <v>0</v>
      </c>
      <c r="J215" s="125">
        <f>ROUND(I215*Valores!$C$2,2)</f>
        <v>0</v>
      </c>
      <c r="K215" s="191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19455.52</v>
      </c>
      <c r="N215" s="125">
        <f t="shared" si="30"/>
        <v>0</v>
      </c>
      <c r="O215" s="125">
        <f>Valores!$C$7*B215</f>
        <v>34491</v>
      </c>
      <c r="P215" s="125">
        <f>ROUND(IF(B215&lt;15,(Valores!$E$5*B215),Valores!$D$5),2)</f>
        <v>20796.54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18168</v>
      </c>
      <c r="S215" s="125">
        <f>Valores!$C$18*B215</f>
        <v>10848</v>
      </c>
      <c r="T215" s="125">
        <f t="shared" si="36"/>
        <v>10848</v>
      </c>
      <c r="U215" s="125">
        <v>0</v>
      </c>
      <c r="V215" s="125">
        <v>0</v>
      </c>
      <c r="W215" s="191">
        <v>0</v>
      </c>
      <c r="X215" s="125">
        <f>ROUND(W215*Valores!$C$2,2)</f>
        <v>0</v>
      </c>
      <c r="Y215" s="125">
        <v>0</v>
      </c>
      <c r="Z215" s="125">
        <f>IF(Valores!$C$97*B215&gt;Valores!$C$96,Valores!$C$96,Valores!$C$97*B215)</f>
        <v>33116.75</v>
      </c>
      <c r="AA215" s="125">
        <f>IF((Valores!$C$28)*B215&gt;Valores!$F$28,Valores!$F$28,(Valores!$C$28)*B215)</f>
        <v>852</v>
      </c>
      <c r="AB215" s="210">
        <v>0</v>
      </c>
      <c r="AC215" s="125">
        <f t="shared" si="31"/>
        <v>0</v>
      </c>
      <c r="AD215" s="125">
        <f>IF(Valores!$C$29*B215&gt;Valores!$F$29,Valores!$F$29,Valores!$C$29*B215)</f>
        <v>709.5</v>
      </c>
      <c r="AE215" s="191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</f>
        <v>16207.499999999998</v>
      </c>
      <c r="AH215" s="125">
        <f t="shared" si="34"/>
        <v>255332.27000000002</v>
      </c>
      <c r="AI215" s="125">
        <f>IF(Valores!$C$32*B215&gt;Valores!$F$32,Valores!$F$32,Valores!$C$32*B215)</f>
        <v>0</v>
      </c>
      <c r="AJ215" s="125">
        <f>IF(Valores!$C$90*B215&gt;Valores!$C$89,Valores!$C$89,Valores!$C$90*B215)</f>
        <v>0</v>
      </c>
      <c r="AK215" s="125">
        <f>IF(Valores!C$39*B215&gt;Valores!F$38,Valores!F$38,Valores!C$39*B215)</f>
        <v>0</v>
      </c>
      <c r="AL215" s="125">
        <f>IF($F$3="NO",0,IF(Valores!$C$61*B215&gt;Valores!$F$61,Valores!$F$61,Valores!$C$61*B215))</f>
        <v>0</v>
      </c>
      <c r="AM215" s="125">
        <f t="shared" si="32"/>
        <v>0</v>
      </c>
      <c r="AN215" s="125">
        <f>AH215*Valores!$C$71</f>
        <v>-28086.549700000003</v>
      </c>
      <c r="AO215" s="125">
        <f>AH215*-Valores!$C$72</f>
        <v>0</v>
      </c>
      <c r="AP215" s="125">
        <f>AH215*Valores!$C$73</f>
        <v>-11489.952150000001</v>
      </c>
      <c r="AQ215" s="125">
        <f>Valores!$C$100</f>
        <v>-554.86</v>
      </c>
      <c r="AR215" s="125">
        <f>IF($F$5=0,Valores!$C$101,(Valores!$C$101+$F$5*(Valores!$C$101)))</f>
        <v>-550</v>
      </c>
      <c r="AS215" s="125">
        <f t="shared" si="35"/>
        <v>214650.90815000003</v>
      </c>
      <c r="AT215" s="125">
        <f t="shared" si="29"/>
        <v>-28086.549700000003</v>
      </c>
      <c r="AU215" s="125">
        <f>AH215*Valores!$C$74</f>
        <v>-6893.97129</v>
      </c>
      <c r="AV215" s="125">
        <f>AH215*Valores!$C$75</f>
        <v>-765.9968100000001</v>
      </c>
      <c r="AW215" s="125">
        <f t="shared" si="33"/>
        <v>219585.75220000002</v>
      </c>
      <c r="AX215" s="126"/>
      <c r="AY215" s="126">
        <f t="shared" si="28"/>
        <v>25</v>
      </c>
      <c r="AZ215" s="123" t="s">
        <v>4</v>
      </c>
    </row>
    <row r="216" spans="1:52" s="110" customFormat="1" ht="11.25" customHeight="1">
      <c r="A216" s="123" t="s">
        <v>470</v>
      </c>
      <c r="B216" s="123">
        <v>26</v>
      </c>
      <c r="C216" s="126">
        <v>209</v>
      </c>
      <c r="D216" s="124" t="str">
        <f t="shared" si="26"/>
        <v>Hora Cátedra Enseñanza Superior 26 hs</v>
      </c>
      <c r="E216" s="191">
        <f t="shared" si="27"/>
        <v>2574</v>
      </c>
      <c r="F216" s="125">
        <f>ROUND(E216*Valores!$C$2,2)</f>
        <v>104714.95</v>
      </c>
      <c r="G216" s="191">
        <v>0</v>
      </c>
      <c r="H216" s="125">
        <f>ROUND(G216*Valores!$C$2,2)</f>
        <v>0</v>
      </c>
      <c r="I216" s="191">
        <v>0</v>
      </c>
      <c r="J216" s="125">
        <f>ROUND(I216*Valores!$C$2,2)</f>
        <v>0</v>
      </c>
      <c r="K216" s="191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20233.74</v>
      </c>
      <c r="N216" s="125">
        <f t="shared" si="30"/>
        <v>0</v>
      </c>
      <c r="O216" s="125">
        <f>Valores!$C$7*B216</f>
        <v>35870.64</v>
      </c>
      <c r="P216" s="125">
        <f>ROUND(IF(B216&lt;15,(Valores!$E$5*B216),Valores!$D$5),2)</f>
        <v>20796.54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18894.72</v>
      </c>
      <c r="S216" s="125">
        <f>Valores!$C$18*B216</f>
        <v>11281.92</v>
      </c>
      <c r="T216" s="125">
        <f t="shared" si="36"/>
        <v>11281.92</v>
      </c>
      <c r="U216" s="125">
        <v>0</v>
      </c>
      <c r="V216" s="125">
        <v>0</v>
      </c>
      <c r="W216" s="191">
        <v>0</v>
      </c>
      <c r="X216" s="125">
        <f>ROUND(W216*Valores!$C$2,2)</f>
        <v>0</v>
      </c>
      <c r="Y216" s="125">
        <v>0</v>
      </c>
      <c r="Z216" s="125">
        <f>IF(Valores!$C$97*B216&gt;Valores!$C$96,Valores!$C$96,Valores!$C$97*B216)</f>
        <v>34441.42</v>
      </c>
      <c r="AA216" s="125">
        <f>IF((Valores!$C$28)*B216&gt;Valores!$F$28,Valores!$F$28,(Valores!$C$28)*B216)</f>
        <v>886.0799999999999</v>
      </c>
      <c r="AB216" s="210">
        <v>0</v>
      </c>
      <c r="AC216" s="125">
        <f t="shared" si="31"/>
        <v>0</v>
      </c>
      <c r="AD216" s="125">
        <f>IF(Valores!$C$29*B216&gt;Valores!$F$29,Valores!$F$29,Valores!$C$29*B216)</f>
        <v>737.88</v>
      </c>
      <c r="AE216" s="191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</f>
        <v>16855.8</v>
      </c>
      <c r="AH216" s="125">
        <f t="shared" si="34"/>
        <v>264713.69000000006</v>
      </c>
      <c r="AI216" s="125">
        <f>IF(Valores!$C$32*B216&gt;Valores!$F$32,Valores!$F$32,Valores!$C$32*B216)</f>
        <v>0</v>
      </c>
      <c r="AJ216" s="125">
        <f>IF(Valores!$C$90*B216&gt;Valores!$C$89,Valores!$C$89,Valores!$C$90*B216)</f>
        <v>0</v>
      </c>
      <c r="AK216" s="125">
        <f>IF(Valores!C$39*B216&gt;Valores!F$38,Valores!F$38,Valores!C$39*B216)</f>
        <v>0</v>
      </c>
      <c r="AL216" s="125">
        <f>IF($F$3="NO",0,IF(Valores!$C$61*B216&gt;Valores!$F$61,Valores!$F$61,Valores!$C$61*B216))</f>
        <v>0</v>
      </c>
      <c r="AM216" s="125">
        <f t="shared" si="32"/>
        <v>0</v>
      </c>
      <c r="AN216" s="125">
        <f>AH216*Valores!$C$71</f>
        <v>-29118.505900000007</v>
      </c>
      <c r="AO216" s="125">
        <f>AH216*-Valores!$C$72</f>
        <v>0</v>
      </c>
      <c r="AP216" s="125">
        <f>AH216*Valores!$C$73</f>
        <v>-11912.116050000002</v>
      </c>
      <c r="AQ216" s="125">
        <f>Valores!$C$100</f>
        <v>-554.86</v>
      </c>
      <c r="AR216" s="125">
        <f>IF($F$5=0,Valores!$C$101,(Valores!$C$101+$F$5*(Valores!$C$101)))</f>
        <v>-550</v>
      </c>
      <c r="AS216" s="125">
        <f t="shared" si="35"/>
        <v>222578.20805000004</v>
      </c>
      <c r="AT216" s="125">
        <f t="shared" si="29"/>
        <v>-29118.505900000007</v>
      </c>
      <c r="AU216" s="125">
        <f>AH216*Valores!$C$74</f>
        <v>-7147.269630000002</v>
      </c>
      <c r="AV216" s="125">
        <f>AH216*Valores!$C$75</f>
        <v>-794.1410700000002</v>
      </c>
      <c r="AW216" s="125">
        <f t="shared" si="33"/>
        <v>227653.77340000006</v>
      </c>
      <c r="AX216" s="126"/>
      <c r="AY216" s="126">
        <f t="shared" si="28"/>
        <v>26</v>
      </c>
      <c r="AZ216" s="123" t="s">
        <v>8</v>
      </c>
    </row>
    <row r="217" spans="1:52" s="110" customFormat="1" ht="11.25" customHeight="1">
      <c r="A217" s="123" t="s">
        <v>470</v>
      </c>
      <c r="B217" s="123">
        <v>27</v>
      </c>
      <c r="C217" s="126">
        <v>210</v>
      </c>
      <c r="D217" s="124" t="str">
        <f t="shared" si="26"/>
        <v>Hora Cátedra Enseñanza Superior 27 hs</v>
      </c>
      <c r="E217" s="191">
        <f t="shared" si="27"/>
        <v>2673</v>
      </c>
      <c r="F217" s="125">
        <f>ROUND(E217*Valores!$C$2,2)</f>
        <v>108742.45</v>
      </c>
      <c r="G217" s="191">
        <v>0</v>
      </c>
      <c r="H217" s="125">
        <f>ROUND(G217*Valores!$C$2,2)</f>
        <v>0</v>
      </c>
      <c r="I217" s="191">
        <v>0</v>
      </c>
      <c r="J217" s="125">
        <f>ROUND(I217*Valores!$C$2,2)</f>
        <v>0</v>
      </c>
      <c r="K217" s="191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21011.96</v>
      </c>
      <c r="N217" s="125">
        <f t="shared" si="30"/>
        <v>0</v>
      </c>
      <c r="O217" s="125">
        <f>Valores!$C$7*B217</f>
        <v>37250.280000000006</v>
      </c>
      <c r="P217" s="125">
        <f>ROUND(IF(B217&lt;15,(Valores!$E$5*B217),Valores!$D$5),2)</f>
        <v>20796.54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19621.440000000002</v>
      </c>
      <c r="S217" s="125">
        <f>Valores!$C$18*B217</f>
        <v>11715.84</v>
      </c>
      <c r="T217" s="125">
        <f t="shared" si="36"/>
        <v>11715.84</v>
      </c>
      <c r="U217" s="125">
        <v>0</v>
      </c>
      <c r="V217" s="125">
        <v>0</v>
      </c>
      <c r="W217" s="191">
        <v>0</v>
      </c>
      <c r="X217" s="125">
        <f>ROUND(W217*Valores!$C$2,2)</f>
        <v>0</v>
      </c>
      <c r="Y217" s="125">
        <v>0</v>
      </c>
      <c r="Z217" s="125">
        <f>IF(Valores!$C$97*B217&gt;Valores!$C$96,Valores!$C$96,Valores!$C$97*B217)</f>
        <v>35766.090000000004</v>
      </c>
      <c r="AA217" s="125">
        <f>IF((Valores!$C$28)*B217&gt;Valores!$F$28,Valores!$F$28,(Valores!$C$28)*B217)</f>
        <v>920.16</v>
      </c>
      <c r="AB217" s="210">
        <v>0</v>
      </c>
      <c r="AC217" s="125">
        <f t="shared" si="31"/>
        <v>0</v>
      </c>
      <c r="AD217" s="125">
        <f>IF(Valores!$C$29*B217&gt;Valores!$F$29,Valores!$F$29,Valores!$C$29*B217)</f>
        <v>766.26</v>
      </c>
      <c r="AE217" s="191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</f>
        <v>17504.1</v>
      </c>
      <c r="AH217" s="125">
        <f t="shared" si="34"/>
        <v>274095.12</v>
      </c>
      <c r="AI217" s="125">
        <f>IF(Valores!$C$32*B217&gt;Valores!$F$32,Valores!$F$32,Valores!$C$32*B217)</f>
        <v>0</v>
      </c>
      <c r="AJ217" s="125">
        <f>IF(Valores!$C$90*B217&gt;Valores!$C$89,Valores!$C$89,Valores!$C$90*B217)</f>
        <v>0</v>
      </c>
      <c r="AK217" s="125">
        <f>IF(Valores!C$39*B217&gt;Valores!F$38,Valores!F$38,Valores!C$39*B217)</f>
        <v>0</v>
      </c>
      <c r="AL217" s="125">
        <f>IF($F$3="NO",0,IF(Valores!$C$61*B217&gt;Valores!$F$61,Valores!$F$61,Valores!$C$61*B217))</f>
        <v>0</v>
      </c>
      <c r="AM217" s="125">
        <f t="shared" si="32"/>
        <v>0</v>
      </c>
      <c r="AN217" s="125">
        <f>AH217*Valores!$C$71</f>
        <v>-30150.4632</v>
      </c>
      <c r="AO217" s="125">
        <f>AH217*-Valores!$C$72</f>
        <v>0</v>
      </c>
      <c r="AP217" s="125">
        <f>AH217*Valores!$C$73</f>
        <v>-12334.2804</v>
      </c>
      <c r="AQ217" s="125">
        <f>Valores!$C$100</f>
        <v>-554.86</v>
      </c>
      <c r="AR217" s="125">
        <f>IF($F$5=0,Valores!$C$101,(Valores!$C$101+$F$5*(Valores!$C$101)))</f>
        <v>-550</v>
      </c>
      <c r="AS217" s="125">
        <f t="shared" si="35"/>
        <v>230505.5164</v>
      </c>
      <c r="AT217" s="125">
        <f t="shared" si="29"/>
        <v>-30150.4632</v>
      </c>
      <c r="AU217" s="125">
        <f>AH217*Valores!$C$74</f>
        <v>-7400.56824</v>
      </c>
      <c r="AV217" s="125">
        <f>AH217*Valores!$C$75</f>
        <v>-822.28536</v>
      </c>
      <c r="AW217" s="125">
        <f t="shared" si="33"/>
        <v>235721.8032</v>
      </c>
      <c r="AX217" s="126"/>
      <c r="AY217" s="126">
        <f t="shared" si="28"/>
        <v>27</v>
      </c>
      <c r="AZ217" s="123" t="s">
        <v>8</v>
      </c>
    </row>
    <row r="218" spans="1:52" s="110" customFormat="1" ht="11.25" customHeight="1">
      <c r="A218" s="123" t="s">
        <v>470</v>
      </c>
      <c r="B218" s="123">
        <v>28</v>
      </c>
      <c r="C218" s="126">
        <v>211</v>
      </c>
      <c r="D218" s="124" t="str">
        <f t="shared" si="26"/>
        <v>Hora Cátedra Enseñanza Superior 28 hs</v>
      </c>
      <c r="E218" s="191">
        <f t="shared" si="27"/>
        <v>2772</v>
      </c>
      <c r="F218" s="125">
        <f>ROUND(E218*Valores!$C$2,2)</f>
        <v>112769.95</v>
      </c>
      <c r="G218" s="191">
        <v>0</v>
      </c>
      <c r="H218" s="125">
        <f>ROUND(G218*Valores!$C$2,2)</f>
        <v>0</v>
      </c>
      <c r="I218" s="191">
        <v>0</v>
      </c>
      <c r="J218" s="125">
        <f>ROUND(I218*Valores!$C$2,2)</f>
        <v>0</v>
      </c>
      <c r="K218" s="191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21790.18</v>
      </c>
      <c r="N218" s="125">
        <f t="shared" si="30"/>
        <v>0</v>
      </c>
      <c r="O218" s="125">
        <f>Valores!$C$7*B218</f>
        <v>38629.920000000006</v>
      </c>
      <c r="P218" s="125">
        <f>ROUND(IF(B218&lt;15,(Valores!$E$5*B218),Valores!$D$5),2)</f>
        <v>20796.54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20348.16</v>
      </c>
      <c r="S218" s="125">
        <f>Valores!$C$18*B218</f>
        <v>12149.76</v>
      </c>
      <c r="T218" s="125">
        <f t="shared" si="36"/>
        <v>12149.76</v>
      </c>
      <c r="U218" s="125">
        <v>0</v>
      </c>
      <c r="V218" s="125">
        <v>0</v>
      </c>
      <c r="W218" s="191">
        <v>0</v>
      </c>
      <c r="X218" s="125">
        <f>ROUND(W218*Valores!$C$2,2)</f>
        <v>0</v>
      </c>
      <c r="Y218" s="125">
        <v>0</v>
      </c>
      <c r="Z218" s="125">
        <f>IF(Valores!$C$97*B218&gt;Valores!$C$96,Valores!$C$96,Valores!$C$97*B218)</f>
        <v>37090.76</v>
      </c>
      <c r="AA218" s="125">
        <f>IF((Valores!$C$28)*B218&gt;Valores!$F$28,Valores!$F$28,(Valores!$C$28)*B218)</f>
        <v>954.24</v>
      </c>
      <c r="AB218" s="210">
        <v>0</v>
      </c>
      <c r="AC218" s="125">
        <f t="shared" si="31"/>
        <v>0</v>
      </c>
      <c r="AD218" s="125">
        <f>IF(Valores!$C$29*B218&gt;Valores!$F$29,Valores!$F$29,Valores!$C$29*B218)</f>
        <v>794.64</v>
      </c>
      <c r="AE218" s="191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</f>
        <v>18152.399999999998</v>
      </c>
      <c r="AH218" s="125">
        <f t="shared" si="34"/>
        <v>283476.55000000005</v>
      </c>
      <c r="AI218" s="125">
        <f>IF(Valores!$C$32*B218&gt;Valores!$F$32,Valores!$F$32,Valores!$C$32*B218)</f>
        <v>0</v>
      </c>
      <c r="AJ218" s="125">
        <f>IF(Valores!$C$90*B218&gt;Valores!$C$89,Valores!$C$89,Valores!$C$90*B218)</f>
        <v>0</v>
      </c>
      <c r="AK218" s="125">
        <f>IF(Valores!C$39*B218&gt;Valores!F$38,Valores!F$38,Valores!C$39*B218)</f>
        <v>0</v>
      </c>
      <c r="AL218" s="125">
        <f>IF($F$3="NO",0,IF(Valores!$C$61*B218&gt;Valores!$F$61,Valores!$F$61,Valores!$C$61*B218))</f>
        <v>0</v>
      </c>
      <c r="AM218" s="125">
        <f t="shared" si="32"/>
        <v>0</v>
      </c>
      <c r="AN218" s="125">
        <f>AH218*Valores!$C$71</f>
        <v>-31182.420500000004</v>
      </c>
      <c r="AO218" s="125">
        <f>AH218*-Valores!$C$72</f>
        <v>0</v>
      </c>
      <c r="AP218" s="125">
        <f>AH218*Valores!$C$73</f>
        <v>-12756.444750000002</v>
      </c>
      <c r="AQ218" s="125">
        <f>Valores!$C$100</f>
        <v>-554.86</v>
      </c>
      <c r="AR218" s="125">
        <f>IF($F$5=0,Valores!$C$101,(Valores!$C$101+$F$5*(Valores!$C$101)))</f>
        <v>-550</v>
      </c>
      <c r="AS218" s="125">
        <f t="shared" si="35"/>
        <v>238432.82475000003</v>
      </c>
      <c r="AT218" s="125">
        <f t="shared" si="29"/>
        <v>-31182.420500000004</v>
      </c>
      <c r="AU218" s="125">
        <f>AH218*Valores!$C$74</f>
        <v>-7653.866850000001</v>
      </c>
      <c r="AV218" s="125">
        <f>AH218*Valores!$C$75</f>
        <v>-850.4296500000002</v>
      </c>
      <c r="AW218" s="125">
        <f t="shared" si="33"/>
        <v>243789.83300000004</v>
      </c>
      <c r="AX218" s="126"/>
      <c r="AY218" s="126">
        <f t="shared" si="28"/>
        <v>28</v>
      </c>
      <c r="AZ218" s="123" t="s">
        <v>8</v>
      </c>
    </row>
    <row r="219" spans="1:52" s="110" customFormat="1" ht="11.25" customHeight="1">
      <c r="A219" s="123" t="s">
        <v>470</v>
      </c>
      <c r="B219" s="123">
        <v>29</v>
      </c>
      <c r="C219" s="126">
        <v>212</v>
      </c>
      <c r="D219" s="124" t="str">
        <f t="shared" si="26"/>
        <v>Hora Cátedra Enseñanza Superior 29 hs</v>
      </c>
      <c r="E219" s="191">
        <f t="shared" si="27"/>
        <v>2871</v>
      </c>
      <c r="F219" s="125">
        <f>ROUND(E219*Valores!$C$2,2)</f>
        <v>116797.45</v>
      </c>
      <c r="G219" s="191">
        <v>0</v>
      </c>
      <c r="H219" s="125">
        <f>ROUND(G219*Valores!$C$2,2)</f>
        <v>0</v>
      </c>
      <c r="I219" s="191">
        <v>0</v>
      </c>
      <c r="J219" s="125">
        <f>ROUND(I219*Valores!$C$2,2)</f>
        <v>0</v>
      </c>
      <c r="K219" s="191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22568.4</v>
      </c>
      <c r="N219" s="125">
        <f t="shared" si="30"/>
        <v>0</v>
      </c>
      <c r="O219" s="125">
        <f>Valores!$C$7*B219</f>
        <v>40009.560000000005</v>
      </c>
      <c r="P219" s="125">
        <f>ROUND(IF(B219&lt;15,(Valores!$E$5*B219),Valores!$D$5),2)</f>
        <v>20796.54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21074.88</v>
      </c>
      <c r="S219" s="125">
        <f>Valores!$C$18*B219</f>
        <v>12583.68</v>
      </c>
      <c r="T219" s="125">
        <f t="shared" si="36"/>
        <v>12583.68</v>
      </c>
      <c r="U219" s="125">
        <v>0</v>
      </c>
      <c r="V219" s="125">
        <v>0</v>
      </c>
      <c r="W219" s="191">
        <v>0</v>
      </c>
      <c r="X219" s="125">
        <f>ROUND(W219*Valores!$C$2,2)</f>
        <v>0</v>
      </c>
      <c r="Y219" s="125">
        <v>0</v>
      </c>
      <c r="Z219" s="125">
        <f>IF(Valores!$C$97*B219&gt;Valores!$C$96,Valores!$C$96,Valores!$C$97*B219)</f>
        <v>38415.43</v>
      </c>
      <c r="AA219" s="125">
        <f>IF((Valores!$C$28)*B219&gt;Valores!$F$28,Valores!$F$28,(Valores!$C$28)*B219)</f>
        <v>988.3199999999999</v>
      </c>
      <c r="AB219" s="210">
        <v>0</v>
      </c>
      <c r="AC219" s="125">
        <f t="shared" si="31"/>
        <v>0</v>
      </c>
      <c r="AD219" s="125">
        <f>IF(Valores!$C$29*B219&gt;Valores!$F$29,Valores!$F$29,Valores!$C$29*B219)</f>
        <v>823.02</v>
      </c>
      <c r="AE219" s="191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</f>
        <v>18800.699999999997</v>
      </c>
      <c r="AH219" s="125">
        <f t="shared" si="34"/>
        <v>292857.98000000004</v>
      </c>
      <c r="AI219" s="125">
        <f>IF(Valores!$C$32*B219&gt;Valores!$F$32,Valores!$F$32,Valores!$C$32*B219)</f>
        <v>0</v>
      </c>
      <c r="AJ219" s="125">
        <f>IF(Valores!$C$90*B219&gt;Valores!$C$89,Valores!$C$89,Valores!$C$90*B219)</f>
        <v>0</v>
      </c>
      <c r="AK219" s="125">
        <f>IF(Valores!C$39*B219&gt;Valores!F$38,Valores!F$38,Valores!C$39*B219)</f>
        <v>0</v>
      </c>
      <c r="AL219" s="125">
        <f>IF($F$3="NO",0,IF(Valores!$C$61*B219&gt;Valores!$F$61,Valores!$F$61,Valores!$C$61*B219))</f>
        <v>0</v>
      </c>
      <c r="AM219" s="125">
        <f t="shared" si="32"/>
        <v>0</v>
      </c>
      <c r="AN219" s="125">
        <f>AH219*Valores!$C$71</f>
        <v>-32214.377800000006</v>
      </c>
      <c r="AO219" s="125">
        <f>AH219*-Valores!$C$72</f>
        <v>0</v>
      </c>
      <c r="AP219" s="125">
        <f>AH219*Valores!$C$73</f>
        <v>-13178.609100000001</v>
      </c>
      <c r="AQ219" s="125">
        <f>Valores!$C$100</f>
        <v>-554.86</v>
      </c>
      <c r="AR219" s="125">
        <f>IF($F$5=0,Valores!$C$101,(Valores!$C$101+$F$5*(Valores!$C$101)))</f>
        <v>-550</v>
      </c>
      <c r="AS219" s="125">
        <f t="shared" si="35"/>
        <v>246360.13310000004</v>
      </c>
      <c r="AT219" s="125">
        <f t="shared" si="29"/>
        <v>-32214.377800000006</v>
      </c>
      <c r="AU219" s="125">
        <f>AH219*Valores!$C$74</f>
        <v>-7907.165460000001</v>
      </c>
      <c r="AV219" s="125">
        <f>AH219*Valores!$C$75</f>
        <v>-878.5739400000001</v>
      </c>
      <c r="AW219" s="125">
        <f t="shared" si="33"/>
        <v>251857.86280000003</v>
      </c>
      <c r="AX219" s="126"/>
      <c r="AY219" s="126">
        <f t="shared" si="28"/>
        <v>29</v>
      </c>
      <c r="AZ219" s="123" t="s">
        <v>8</v>
      </c>
    </row>
    <row r="220" spans="1:52" s="110" customFormat="1" ht="11.25" customHeight="1">
      <c r="A220" s="123" t="s">
        <v>470</v>
      </c>
      <c r="B220" s="123">
        <v>30</v>
      </c>
      <c r="C220" s="126">
        <v>213</v>
      </c>
      <c r="D220" s="124" t="str">
        <f t="shared" si="26"/>
        <v>Hora Cátedra Enseñanza Superior 30 hs</v>
      </c>
      <c r="E220" s="191">
        <f t="shared" si="27"/>
        <v>2970</v>
      </c>
      <c r="F220" s="125">
        <f>ROUND(E220*Valores!$C$2,2)</f>
        <v>120824.95</v>
      </c>
      <c r="G220" s="191">
        <v>0</v>
      </c>
      <c r="H220" s="125">
        <f>ROUND(G220*Valores!$C$2,2)</f>
        <v>0</v>
      </c>
      <c r="I220" s="191">
        <v>0</v>
      </c>
      <c r="J220" s="125">
        <f>ROUND(I220*Valores!$C$2,2)</f>
        <v>0</v>
      </c>
      <c r="K220" s="191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23346.62</v>
      </c>
      <c r="N220" s="125">
        <f t="shared" si="30"/>
        <v>0</v>
      </c>
      <c r="O220" s="125">
        <f>Valores!$C$7*B220</f>
        <v>41389.200000000004</v>
      </c>
      <c r="P220" s="125">
        <f>ROUND(IF(B220&lt;15,(Valores!$E$5*B220),Valores!$D$5),2)</f>
        <v>20796.54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21801.600000000002</v>
      </c>
      <c r="S220" s="125">
        <f>Valores!$C$18*B220</f>
        <v>13017.6</v>
      </c>
      <c r="T220" s="125">
        <f t="shared" si="36"/>
        <v>13017.6</v>
      </c>
      <c r="U220" s="125">
        <v>0</v>
      </c>
      <c r="V220" s="125">
        <v>0</v>
      </c>
      <c r="W220" s="191">
        <v>0</v>
      </c>
      <c r="X220" s="125">
        <f>ROUND(W220*Valores!$C$2,2)</f>
        <v>0</v>
      </c>
      <c r="Y220" s="125">
        <v>0</v>
      </c>
      <c r="Z220" s="125">
        <f>IF(Valores!$C$97*B220&gt;Valores!$C$96,Valores!$C$96,Valores!$C$97*B220)</f>
        <v>39740.100000000006</v>
      </c>
      <c r="AA220" s="125">
        <f>IF((Valores!$C$28)*B220&gt;Valores!$F$28,Valores!$F$28,(Valores!$C$28)*B220)</f>
        <v>1022.4</v>
      </c>
      <c r="AB220" s="210">
        <v>0</v>
      </c>
      <c r="AC220" s="125">
        <f t="shared" si="31"/>
        <v>0</v>
      </c>
      <c r="AD220" s="125">
        <f>IF(Valores!$C$29*B220&gt;Valores!$F$29,Valores!$F$29,Valores!$C$29*B220)</f>
        <v>850.59</v>
      </c>
      <c r="AE220" s="191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</f>
        <v>19448.94</v>
      </c>
      <c r="AH220" s="125">
        <f t="shared" si="34"/>
        <v>302238.5400000001</v>
      </c>
      <c r="AI220" s="125">
        <f>IF(Valores!$C$32*B220&gt;Valores!$F$32,Valores!$F$32,Valores!$C$32*B220)</f>
        <v>0</v>
      </c>
      <c r="AJ220" s="125">
        <f>IF(Valores!$C$90*B220&gt;Valores!$C$89,Valores!$C$89,Valores!$C$90*B220)</f>
        <v>0</v>
      </c>
      <c r="AK220" s="125">
        <f>IF(Valores!C$39*B220&gt;Valores!F$38,Valores!F$38,Valores!C$39*B220)</f>
        <v>0</v>
      </c>
      <c r="AL220" s="125">
        <f>IF($F$3="NO",0,IF(Valores!$C$61*B220&gt;Valores!$F$61,Valores!$F$61,Valores!$C$61*B220))</f>
        <v>0</v>
      </c>
      <c r="AM220" s="125">
        <f t="shared" si="32"/>
        <v>0</v>
      </c>
      <c r="AN220" s="125">
        <f>AH220*Valores!$C$71</f>
        <v>-33246.23940000001</v>
      </c>
      <c r="AO220" s="125">
        <f>AH220*-Valores!$C$72</f>
        <v>0</v>
      </c>
      <c r="AP220" s="125">
        <f>AH220*Valores!$C$73</f>
        <v>-13600.734300000004</v>
      </c>
      <c r="AQ220" s="125">
        <f>Valores!$C$100</f>
        <v>-554.86</v>
      </c>
      <c r="AR220" s="125">
        <f>IF($F$5=0,Valores!$C$101,(Valores!$C$101+$F$5*(Valores!$C$101)))</f>
        <v>-550</v>
      </c>
      <c r="AS220" s="125">
        <f t="shared" si="35"/>
        <v>254286.70630000008</v>
      </c>
      <c r="AT220" s="125">
        <f t="shared" si="29"/>
        <v>-33246.23940000001</v>
      </c>
      <c r="AU220" s="125">
        <f>AH220*Valores!$C$74</f>
        <v>-8160.440580000002</v>
      </c>
      <c r="AV220" s="125">
        <f>AH220*Valores!$C$75</f>
        <v>-906.7156200000003</v>
      </c>
      <c r="AW220" s="125">
        <f t="shared" si="33"/>
        <v>259925.14440000008</v>
      </c>
      <c r="AX220" s="126"/>
      <c r="AY220" s="126">
        <f t="shared" si="28"/>
        <v>30</v>
      </c>
      <c r="AZ220" s="123" t="s">
        <v>4</v>
      </c>
    </row>
    <row r="221" spans="1:52" s="110" customFormat="1" ht="11.25" customHeight="1">
      <c r="A221" s="123" t="s">
        <v>470</v>
      </c>
      <c r="B221" s="123">
        <v>31</v>
      </c>
      <c r="C221" s="126">
        <v>214</v>
      </c>
      <c r="D221" s="124" t="str">
        <f t="shared" si="26"/>
        <v>Hora Cátedra Enseñanza Superior 31 hs</v>
      </c>
      <c r="E221" s="191">
        <f t="shared" si="27"/>
        <v>3069</v>
      </c>
      <c r="F221" s="125">
        <f>ROUND(E221*Valores!$C$2,2)</f>
        <v>124852.44</v>
      </c>
      <c r="G221" s="191">
        <v>0</v>
      </c>
      <c r="H221" s="125">
        <f>ROUND(G221*Valores!$C$2,2)</f>
        <v>0</v>
      </c>
      <c r="I221" s="191">
        <v>0</v>
      </c>
      <c r="J221" s="125">
        <f>ROUND(I221*Valores!$C$2,2)</f>
        <v>0</v>
      </c>
      <c r="K221" s="191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24124.84</v>
      </c>
      <c r="N221" s="125">
        <f t="shared" si="30"/>
        <v>0</v>
      </c>
      <c r="O221" s="125">
        <f>Valores!$C$7*B221</f>
        <v>42768.840000000004</v>
      </c>
      <c r="P221" s="125">
        <f>ROUND(IF(B221&lt;15,(Valores!$E$5*B221),Valores!$D$5),2)</f>
        <v>20796.54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22528.32</v>
      </c>
      <c r="S221" s="125">
        <f>Valores!$C$18*B221</f>
        <v>13451.52</v>
      </c>
      <c r="T221" s="125">
        <f t="shared" si="36"/>
        <v>13451.52</v>
      </c>
      <c r="U221" s="125">
        <v>0</v>
      </c>
      <c r="V221" s="125">
        <v>0</v>
      </c>
      <c r="W221" s="191">
        <v>0</v>
      </c>
      <c r="X221" s="125">
        <f>ROUND(W221*Valores!$C$2,2)</f>
        <v>0</v>
      </c>
      <c r="Y221" s="125">
        <v>0</v>
      </c>
      <c r="Z221" s="125">
        <f>IF(Valores!$C$97*B221&gt;Valores!$C$96,Valores!$C$96,Valores!$C$97*B221)</f>
        <v>41064.770000000004</v>
      </c>
      <c r="AA221" s="125">
        <f>IF((Valores!$C$28)*B221&gt;Valores!$F$28,Valores!$F$28,(Valores!$C$28)*B221)</f>
        <v>1056.48</v>
      </c>
      <c r="AB221" s="210">
        <v>0</v>
      </c>
      <c r="AC221" s="125">
        <f t="shared" si="31"/>
        <v>0</v>
      </c>
      <c r="AD221" s="125">
        <f>IF(Valores!$C$29*B221&gt;Valores!$F$29,Valores!$F$29,Valores!$C$29*B221)</f>
        <v>850.59</v>
      </c>
      <c r="AE221" s="191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19448.94</v>
      </c>
      <c r="AH221" s="125">
        <f t="shared" si="34"/>
        <v>310943.28</v>
      </c>
      <c r="AI221" s="125">
        <f>IF(Valores!$C$32*B221&gt;Valores!$F$32,Valores!$F$32,Valores!$C$32*B221)</f>
        <v>0</v>
      </c>
      <c r="AJ221" s="125">
        <f>IF(Valores!$C$90*B221&gt;Valores!$C$89,Valores!$C$89,Valores!$C$90*B221)</f>
        <v>0</v>
      </c>
      <c r="AK221" s="125">
        <f>IF(Valores!C$39*B221&gt;Valores!F$38,Valores!F$38,Valores!C$39*B221)</f>
        <v>0</v>
      </c>
      <c r="AL221" s="125">
        <f>IF($F$3="NO",0,IF(Valores!$C$61*B221&gt;Valores!$F$61,Valores!$F$61,Valores!$C$61*B221))</f>
        <v>0</v>
      </c>
      <c r="AM221" s="125">
        <f t="shared" si="32"/>
        <v>0</v>
      </c>
      <c r="AN221" s="125">
        <f>AH221*Valores!$C$71</f>
        <v>-34203.760800000004</v>
      </c>
      <c r="AO221" s="125">
        <f>AH221*-Valores!$C$72</f>
        <v>0</v>
      </c>
      <c r="AP221" s="125">
        <f>AH221*Valores!$C$73</f>
        <v>-13992.447600000001</v>
      </c>
      <c r="AQ221" s="125">
        <f>Valores!$C$100</f>
        <v>-554.86</v>
      </c>
      <c r="AR221" s="125">
        <f>IF($F$5=0,Valores!$C$101,(Valores!$C$101+$F$5*(Valores!$C$101)))</f>
        <v>-550</v>
      </c>
      <c r="AS221" s="125">
        <f t="shared" si="35"/>
        <v>261642.21160000004</v>
      </c>
      <c r="AT221" s="125">
        <f t="shared" si="29"/>
        <v>-34203.760800000004</v>
      </c>
      <c r="AU221" s="125">
        <f>AH221*Valores!$C$74</f>
        <v>-8395.468560000001</v>
      </c>
      <c r="AV221" s="125">
        <f>AH221*Valores!$C$75</f>
        <v>-932.8298400000001</v>
      </c>
      <c r="AW221" s="125">
        <f t="shared" si="33"/>
        <v>267411.2208</v>
      </c>
      <c r="AX221" s="126"/>
      <c r="AY221" s="126">
        <f t="shared" si="28"/>
        <v>31</v>
      </c>
      <c r="AZ221" s="123" t="s">
        <v>8</v>
      </c>
    </row>
    <row r="222" spans="1:52" s="110" customFormat="1" ht="11.25" customHeight="1">
      <c r="A222" s="123" t="s">
        <v>470</v>
      </c>
      <c r="B222" s="123">
        <v>32</v>
      </c>
      <c r="C222" s="126">
        <v>215</v>
      </c>
      <c r="D222" s="124" t="str">
        <f t="shared" si="26"/>
        <v>Hora Cátedra Enseñanza Superior 32 hs</v>
      </c>
      <c r="E222" s="191">
        <f t="shared" si="27"/>
        <v>3168</v>
      </c>
      <c r="F222" s="125">
        <f>ROUND(E222*Valores!$C$2,2)</f>
        <v>128879.94</v>
      </c>
      <c r="G222" s="191">
        <v>0</v>
      </c>
      <c r="H222" s="125">
        <f>ROUND(G222*Valores!$C$2,2)</f>
        <v>0</v>
      </c>
      <c r="I222" s="191">
        <v>0</v>
      </c>
      <c r="J222" s="125">
        <f>ROUND(I222*Valores!$C$2,2)</f>
        <v>0</v>
      </c>
      <c r="K222" s="191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24903.06</v>
      </c>
      <c r="N222" s="125">
        <f t="shared" si="30"/>
        <v>0</v>
      </c>
      <c r="O222" s="125">
        <f>Valores!$C$7*B222</f>
        <v>44148.48</v>
      </c>
      <c r="P222" s="125">
        <f>ROUND(IF(B222&lt;15,(Valores!$E$5*B222),Valores!$D$5),2)</f>
        <v>20796.54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23255.04</v>
      </c>
      <c r="S222" s="125">
        <f>Valores!$C$18*B222</f>
        <v>13885.44</v>
      </c>
      <c r="T222" s="125">
        <f t="shared" si="36"/>
        <v>13885.44</v>
      </c>
      <c r="U222" s="125">
        <v>0</v>
      </c>
      <c r="V222" s="125">
        <v>0</v>
      </c>
      <c r="W222" s="191">
        <v>0</v>
      </c>
      <c r="X222" s="125">
        <f>ROUND(W222*Valores!$C$2,2)</f>
        <v>0</v>
      </c>
      <c r="Y222" s="125">
        <v>0</v>
      </c>
      <c r="Z222" s="125">
        <f>IF(Valores!$C$97*B222&gt;Valores!$C$96,Valores!$C$96,Valores!$C$97*B222)</f>
        <v>42389.44</v>
      </c>
      <c r="AA222" s="125">
        <f>IF((Valores!$C$28)*B222&gt;Valores!$F$28,Valores!$F$28,(Valores!$C$28)*B222)</f>
        <v>1090.56</v>
      </c>
      <c r="AB222" s="210">
        <v>0</v>
      </c>
      <c r="AC222" s="125">
        <f t="shared" si="31"/>
        <v>0</v>
      </c>
      <c r="AD222" s="125">
        <f>IF(Valores!$C$29*B222&gt;Valores!$F$29,Valores!$F$29,Valores!$C$29*B222)</f>
        <v>850.59</v>
      </c>
      <c r="AE222" s="191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19448.94</v>
      </c>
      <c r="AH222" s="125">
        <f t="shared" si="34"/>
        <v>319648.0300000001</v>
      </c>
      <c r="AI222" s="125">
        <f>IF(Valores!$C$32*B222&gt;Valores!$F$32,Valores!$F$32,Valores!$C$32*B222)</f>
        <v>0</v>
      </c>
      <c r="AJ222" s="125">
        <f>IF(Valores!$C$90*B222&gt;Valores!$C$89,Valores!$C$89,Valores!$C$90*B222)</f>
        <v>0</v>
      </c>
      <c r="AK222" s="125">
        <f>IF(Valores!C$39*B222&gt;Valores!F$38,Valores!F$38,Valores!C$39*B222)</f>
        <v>0</v>
      </c>
      <c r="AL222" s="125">
        <f>IF($F$3="NO",0,IF(Valores!$C$61*B222&gt;Valores!$F$61,Valores!$F$61,Valores!$C$61*B222))</f>
        <v>0</v>
      </c>
      <c r="AM222" s="125">
        <f t="shared" si="32"/>
        <v>0</v>
      </c>
      <c r="AN222" s="125">
        <f>AH222*Valores!$C$71</f>
        <v>-35161.28330000001</v>
      </c>
      <c r="AO222" s="125">
        <f>AH222*-Valores!$C$72</f>
        <v>0</v>
      </c>
      <c r="AP222" s="125">
        <f>AH222*Valores!$C$73</f>
        <v>-14384.161350000004</v>
      </c>
      <c r="AQ222" s="125">
        <f>Valores!$C$100</f>
        <v>-554.86</v>
      </c>
      <c r="AR222" s="125">
        <f>IF($F$5=0,Valores!$C$101,(Valores!$C$101+$F$5*(Valores!$C$101)))</f>
        <v>-550</v>
      </c>
      <c r="AS222" s="125">
        <f t="shared" si="35"/>
        <v>268997.7253500001</v>
      </c>
      <c r="AT222" s="125">
        <f t="shared" si="29"/>
        <v>-35161.28330000001</v>
      </c>
      <c r="AU222" s="125">
        <f>AH222*Valores!$C$74</f>
        <v>-8630.496810000002</v>
      </c>
      <c r="AV222" s="125">
        <f>AH222*Valores!$C$75</f>
        <v>-958.9440900000003</v>
      </c>
      <c r="AW222" s="125">
        <f t="shared" si="33"/>
        <v>274897.3058000001</v>
      </c>
      <c r="AX222" s="126"/>
      <c r="AY222" s="126">
        <f t="shared" si="28"/>
        <v>32</v>
      </c>
      <c r="AZ222" s="123" t="s">
        <v>8</v>
      </c>
    </row>
    <row r="223" spans="1:52" s="110" customFormat="1" ht="11.25" customHeight="1">
      <c r="A223" s="123" t="s">
        <v>470</v>
      </c>
      <c r="B223" s="123">
        <v>33</v>
      </c>
      <c r="C223" s="126">
        <v>216</v>
      </c>
      <c r="D223" s="124" t="str">
        <f t="shared" si="26"/>
        <v>Hora Cátedra Enseñanza Superior 33 hs</v>
      </c>
      <c r="E223" s="191">
        <f t="shared" si="27"/>
        <v>3267</v>
      </c>
      <c r="F223" s="125">
        <f>ROUND(E223*Valores!$C$2,2)</f>
        <v>132907.44</v>
      </c>
      <c r="G223" s="191">
        <v>0</v>
      </c>
      <c r="H223" s="125">
        <f>ROUND(G223*Valores!$C$2,2)</f>
        <v>0</v>
      </c>
      <c r="I223" s="191">
        <v>0</v>
      </c>
      <c r="J223" s="125">
        <f>ROUND(I223*Valores!$C$2,2)</f>
        <v>0</v>
      </c>
      <c r="K223" s="191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25681.28</v>
      </c>
      <c r="N223" s="125">
        <f t="shared" si="30"/>
        <v>0</v>
      </c>
      <c r="O223" s="125">
        <f>Valores!$C$7*B223</f>
        <v>45528.12</v>
      </c>
      <c r="P223" s="125">
        <f>ROUND(IF(B223&lt;15,(Valores!$E$5*B223),Valores!$D$5),2)</f>
        <v>20796.54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23981.760000000002</v>
      </c>
      <c r="S223" s="125">
        <f>Valores!$C$18*B223</f>
        <v>14319.36</v>
      </c>
      <c r="T223" s="125">
        <f t="shared" si="36"/>
        <v>14319.36</v>
      </c>
      <c r="U223" s="125">
        <v>0</v>
      </c>
      <c r="V223" s="125">
        <v>0</v>
      </c>
      <c r="W223" s="191">
        <v>0</v>
      </c>
      <c r="X223" s="125">
        <f>ROUND(W223*Valores!$C$2,2)</f>
        <v>0</v>
      </c>
      <c r="Y223" s="125">
        <v>0</v>
      </c>
      <c r="Z223" s="125">
        <f>IF(Valores!$C$97*B223&gt;Valores!$C$96,Valores!$C$96,Valores!$C$97*B223)</f>
        <v>43714.11</v>
      </c>
      <c r="AA223" s="125">
        <f>IF((Valores!$C$28)*B223&gt;Valores!$F$28,Valores!$F$28,(Valores!$C$28)*B223)</f>
        <v>1124.6399999999999</v>
      </c>
      <c r="AB223" s="210">
        <v>0</v>
      </c>
      <c r="AC223" s="125">
        <f t="shared" si="31"/>
        <v>0</v>
      </c>
      <c r="AD223" s="125">
        <f>IF(Valores!$C$29*B223&gt;Valores!$F$29,Valores!$F$29,Valores!$C$29*B223)</f>
        <v>850.59</v>
      </c>
      <c r="AE223" s="191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19448.94</v>
      </c>
      <c r="AH223" s="125">
        <f t="shared" si="34"/>
        <v>328352.78</v>
      </c>
      <c r="AI223" s="125">
        <f>IF(Valores!$C$32*B223&gt;Valores!$F$32,Valores!$F$32,Valores!$C$32*B223)</f>
        <v>0</v>
      </c>
      <c r="AJ223" s="125">
        <f>IF(Valores!$C$90*B223&gt;Valores!$C$89,Valores!$C$89,Valores!$C$90*B223)</f>
        <v>0</v>
      </c>
      <c r="AK223" s="125">
        <f>IF(Valores!C$39*B223&gt;Valores!F$38,Valores!F$38,Valores!C$39*B223)</f>
        <v>0</v>
      </c>
      <c r="AL223" s="125">
        <f>IF($F$3="NO",0,IF(Valores!$C$61*B223&gt;Valores!$F$61,Valores!$F$61,Valores!$C$61*B223))</f>
        <v>0</v>
      </c>
      <c r="AM223" s="125">
        <f t="shared" si="32"/>
        <v>0</v>
      </c>
      <c r="AN223" s="125">
        <f>AH223*Valores!$C$71</f>
        <v>-36118.8058</v>
      </c>
      <c r="AO223" s="125">
        <f>AH223*-Valores!$C$72</f>
        <v>0</v>
      </c>
      <c r="AP223" s="125">
        <f>AH223*Valores!$C$73</f>
        <v>-14775.875100000001</v>
      </c>
      <c r="AQ223" s="125">
        <f>Valores!$C$100</f>
        <v>-554.86</v>
      </c>
      <c r="AR223" s="125">
        <f>IF($F$5=0,Valores!$C$101,(Valores!$C$101+$F$5*(Valores!$C$101)))</f>
        <v>-550</v>
      </c>
      <c r="AS223" s="125">
        <f t="shared" si="35"/>
        <v>276353.2391</v>
      </c>
      <c r="AT223" s="125">
        <f t="shared" si="29"/>
        <v>-36118.8058</v>
      </c>
      <c r="AU223" s="125">
        <f>AH223*Valores!$C$74</f>
        <v>-8865.52506</v>
      </c>
      <c r="AV223" s="125">
        <f>AH223*Valores!$C$75</f>
        <v>-985.0583400000002</v>
      </c>
      <c r="AW223" s="125">
        <f t="shared" si="33"/>
        <v>282383.39080000005</v>
      </c>
      <c r="AX223" s="126"/>
      <c r="AY223" s="126">
        <f aca="true" t="shared" si="37" ref="AY223:AY254">1*B223</f>
        <v>33</v>
      </c>
      <c r="AZ223" s="123" t="s">
        <v>8</v>
      </c>
    </row>
    <row r="224" spans="1:52" s="110" customFormat="1" ht="11.25" customHeight="1">
      <c r="A224" s="123" t="s">
        <v>470</v>
      </c>
      <c r="B224" s="123">
        <v>34</v>
      </c>
      <c r="C224" s="126">
        <v>217</v>
      </c>
      <c r="D224" s="124" t="str">
        <f t="shared" si="26"/>
        <v>Hora Cátedra Enseñanza Superior 34 hs</v>
      </c>
      <c r="E224" s="191">
        <f t="shared" si="27"/>
        <v>3366</v>
      </c>
      <c r="F224" s="125">
        <f>ROUND(E224*Valores!$C$2,2)</f>
        <v>136934.94</v>
      </c>
      <c r="G224" s="191">
        <v>0</v>
      </c>
      <c r="H224" s="125">
        <f>ROUND(G224*Valores!$C$2,2)</f>
        <v>0</v>
      </c>
      <c r="I224" s="191">
        <v>0</v>
      </c>
      <c r="J224" s="125">
        <f>ROUND(I224*Valores!$C$2,2)</f>
        <v>0</v>
      </c>
      <c r="K224" s="191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26459.51</v>
      </c>
      <c r="N224" s="125">
        <f t="shared" si="30"/>
        <v>0</v>
      </c>
      <c r="O224" s="125">
        <f>Valores!$C$7*B224</f>
        <v>46907.76</v>
      </c>
      <c r="P224" s="125">
        <f>ROUND(IF(B224&lt;15,(Valores!$E$5*B224),Valores!$D$5),2)</f>
        <v>20796.54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24708.48</v>
      </c>
      <c r="S224" s="125">
        <f>Valores!$C$18*B224</f>
        <v>14753.28</v>
      </c>
      <c r="T224" s="125">
        <f t="shared" si="36"/>
        <v>14753.28</v>
      </c>
      <c r="U224" s="125">
        <v>0</v>
      </c>
      <c r="V224" s="125">
        <v>0</v>
      </c>
      <c r="W224" s="191">
        <v>0</v>
      </c>
      <c r="X224" s="125">
        <f>ROUND(W224*Valores!$C$2,2)</f>
        <v>0</v>
      </c>
      <c r="Y224" s="125">
        <v>0</v>
      </c>
      <c r="Z224" s="125">
        <f>IF(Valores!$C$97*B224&gt;Valores!$C$96,Valores!$C$96,Valores!$C$97*B224)</f>
        <v>45038.78</v>
      </c>
      <c r="AA224" s="125">
        <f>IF((Valores!$C$28)*B224&gt;Valores!$F$28,Valores!$F$28,(Valores!$C$28)*B224)</f>
        <v>1158.72</v>
      </c>
      <c r="AB224" s="210">
        <v>0</v>
      </c>
      <c r="AC224" s="125">
        <f t="shared" si="31"/>
        <v>0</v>
      </c>
      <c r="AD224" s="125">
        <f>IF(Valores!$C$29*B224&gt;Valores!$F$29,Valores!$F$29,Valores!$C$29*B224)</f>
        <v>850.59</v>
      </c>
      <c r="AE224" s="191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19448.94</v>
      </c>
      <c r="AH224" s="125">
        <f t="shared" si="34"/>
        <v>337057.54000000004</v>
      </c>
      <c r="AI224" s="125">
        <f>IF(Valores!$C$32*B224&gt;Valores!$F$32,Valores!$F$32,Valores!$C$32*B224)</f>
        <v>0</v>
      </c>
      <c r="AJ224" s="125">
        <f>IF(Valores!$C$90*B224&gt;Valores!$C$89,Valores!$C$89,Valores!$C$90*B224)</f>
        <v>0</v>
      </c>
      <c r="AK224" s="125">
        <f>IF(Valores!C$39*B224&gt;Valores!F$38,Valores!F$38,Valores!C$39*B224)</f>
        <v>0</v>
      </c>
      <c r="AL224" s="125">
        <f>IF($F$3="NO",0,IF(Valores!$C$61*B224&gt;Valores!$F$61,Valores!$F$61,Valores!$C$61*B224))</f>
        <v>0</v>
      </c>
      <c r="AM224" s="125">
        <f t="shared" si="32"/>
        <v>0</v>
      </c>
      <c r="AN224" s="125">
        <f>AH224*Valores!$C$71</f>
        <v>-37076.3294</v>
      </c>
      <c r="AO224" s="125">
        <f>AH224*-Valores!$C$72</f>
        <v>0</v>
      </c>
      <c r="AP224" s="125">
        <f>AH224*Valores!$C$73</f>
        <v>-15167.589300000001</v>
      </c>
      <c r="AQ224" s="125">
        <f>Valores!$C$100</f>
        <v>-554.86</v>
      </c>
      <c r="AR224" s="125">
        <f>IF($F$5=0,Valores!$C$101,(Valores!$C$101+$F$5*(Valores!$C$101)))</f>
        <v>-550</v>
      </c>
      <c r="AS224" s="125">
        <f t="shared" si="35"/>
        <v>283708.7613</v>
      </c>
      <c r="AT224" s="125">
        <f t="shared" si="29"/>
        <v>-37076.3294</v>
      </c>
      <c r="AU224" s="125">
        <f>AH224*Valores!$C$74</f>
        <v>-9100.553580000002</v>
      </c>
      <c r="AV224" s="125">
        <f>AH224*Valores!$C$75</f>
        <v>-1011.1726200000002</v>
      </c>
      <c r="AW224" s="125">
        <f t="shared" si="33"/>
        <v>289869.4844</v>
      </c>
      <c r="AX224" s="126"/>
      <c r="AY224" s="126">
        <f t="shared" si="37"/>
        <v>34</v>
      </c>
      <c r="AZ224" s="123" t="s">
        <v>8</v>
      </c>
    </row>
    <row r="225" spans="1:52" s="110" customFormat="1" ht="11.25" customHeight="1">
      <c r="A225" s="123" t="s">
        <v>470</v>
      </c>
      <c r="B225" s="123">
        <v>35</v>
      </c>
      <c r="C225" s="126">
        <v>218</v>
      </c>
      <c r="D225" s="124" t="str">
        <f t="shared" si="26"/>
        <v>Hora Cátedra Enseñanza Superior 35 hs</v>
      </c>
      <c r="E225" s="191">
        <f t="shared" si="27"/>
        <v>3465</v>
      </c>
      <c r="F225" s="125">
        <f>ROUND(E225*Valores!$C$2,2)</f>
        <v>140962.44</v>
      </c>
      <c r="G225" s="191">
        <v>0</v>
      </c>
      <c r="H225" s="125">
        <f>ROUND(G225*Valores!$C$2,2)</f>
        <v>0</v>
      </c>
      <c r="I225" s="191">
        <v>0</v>
      </c>
      <c r="J225" s="125">
        <f>ROUND(I225*Valores!$C$2,2)</f>
        <v>0</v>
      </c>
      <c r="K225" s="191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27210.8</v>
      </c>
      <c r="N225" s="125">
        <f t="shared" si="30"/>
        <v>0</v>
      </c>
      <c r="O225" s="125">
        <f>Valores!$C$7*B225</f>
        <v>48287.4</v>
      </c>
      <c r="P225" s="125">
        <f>ROUND(IF(B225&lt;15,(Valores!$E$5*B225),Valores!$D$5),2)</f>
        <v>20796.54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25255.725000000002</v>
      </c>
      <c r="S225" s="125">
        <f>Valores!$C$18*B225</f>
        <v>15187.2</v>
      </c>
      <c r="T225" s="125">
        <f t="shared" si="36"/>
        <v>15187.2</v>
      </c>
      <c r="U225" s="125">
        <v>0</v>
      </c>
      <c r="V225" s="125">
        <v>0</v>
      </c>
      <c r="W225" s="191">
        <v>0</v>
      </c>
      <c r="X225" s="125">
        <f>ROUND(W225*Valores!$C$2,2)</f>
        <v>0</v>
      </c>
      <c r="Y225" s="125">
        <v>0</v>
      </c>
      <c r="Z225" s="125">
        <f>IF(Valores!$C$97*B225&gt;Valores!$C$96,Valores!$C$96,Valores!$C$97*B225)</f>
        <v>46363.450000000004</v>
      </c>
      <c r="AA225" s="125">
        <f>IF((Valores!$C$28)*B225&gt;Valores!$F$28,Valores!$F$28,(Valores!$C$28)*B225)</f>
        <v>1192.8</v>
      </c>
      <c r="AB225" s="210">
        <v>0</v>
      </c>
      <c r="AC225" s="125">
        <f t="shared" si="31"/>
        <v>0</v>
      </c>
      <c r="AD225" s="125">
        <f>IF(Valores!$C$29*B225&gt;Valores!$F$29,Valores!$F$29,Valores!$C$29*B225)</f>
        <v>850.59</v>
      </c>
      <c r="AE225" s="191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19448.94</v>
      </c>
      <c r="AH225" s="125">
        <f t="shared" si="34"/>
        <v>345555.885</v>
      </c>
      <c r="AI225" s="125">
        <f>IF(Valores!$C$32*B225&gt;Valores!$F$32,Valores!$F$32,Valores!$C$32*B225)</f>
        <v>0</v>
      </c>
      <c r="AJ225" s="125">
        <f>IF(Valores!$C$90*B225&gt;Valores!$C$89,Valores!$C$89,Valores!$C$90*B225)</f>
        <v>0</v>
      </c>
      <c r="AK225" s="125">
        <f>IF(Valores!C$39*B225&gt;Valores!F$38,Valores!F$38,Valores!C$39*B225)</f>
        <v>0</v>
      </c>
      <c r="AL225" s="125">
        <f>IF($F$3="NO",0,IF(Valores!$C$61*B225&gt;Valores!$F$61,Valores!$F$61,Valores!$C$61*B225))</f>
        <v>0</v>
      </c>
      <c r="AM225" s="125">
        <f t="shared" si="32"/>
        <v>0</v>
      </c>
      <c r="AN225" s="125">
        <f>AH225*Valores!$C$71</f>
        <v>-38011.14735</v>
      </c>
      <c r="AO225" s="125">
        <f>AH225*-Valores!$C$72</f>
        <v>0</v>
      </c>
      <c r="AP225" s="125">
        <f>AH225*Valores!$C$73</f>
        <v>-15550.014825</v>
      </c>
      <c r="AQ225" s="125">
        <f>Valores!$C$100</f>
        <v>-554.86</v>
      </c>
      <c r="AR225" s="125">
        <f>IF($F$5=0,Valores!$C$101,(Valores!$C$101+$F$5*(Valores!$C$101)))</f>
        <v>-550</v>
      </c>
      <c r="AS225" s="125">
        <f t="shared" si="35"/>
        <v>290889.862825</v>
      </c>
      <c r="AT225" s="125">
        <f t="shared" si="29"/>
        <v>-38011.14735</v>
      </c>
      <c r="AU225" s="125">
        <f>AH225*Valores!$C$74</f>
        <v>-9330.008895</v>
      </c>
      <c r="AV225" s="125">
        <f>AH225*Valores!$C$75</f>
        <v>-1036.667655</v>
      </c>
      <c r="AW225" s="125">
        <f t="shared" si="33"/>
        <v>297178.0611</v>
      </c>
      <c r="AX225" s="126"/>
      <c r="AY225" s="126">
        <f t="shared" si="37"/>
        <v>35</v>
      </c>
      <c r="AZ225" s="123" t="s">
        <v>8</v>
      </c>
    </row>
    <row r="226" spans="1:52" s="110" customFormat="1" ht="11.25" customHeight="1">
      <c r="A226" s="123" t="s">
        <v>470</v>
      </c>
      <c r="B226" s="123">
        <v>36</v>
      </c>
      <c r="C226" s="126">
        <v>219</v>
      </c>
      <c r="D226" s="124" t="str">
        <f t="shared" si="26"/>
        <v>Hora Cátedra Enseñanza Superior 36 hs</v>
      </c>
      <c r="E226" s="191">
        <f t="shared" si="27"/>
        <v>3564</v>
      </c>
      <c r="F226" s="125">
        <f>ROUND(E226*Valores!$C$2,2)</f>
        <v>144989.94</v>
      </c>
      <c r="G226" s="191">
        <v>0</v>
      </c>
      <c r="H226" s="125">
        <f>ROUND(G226*Valores!$C$2,2)</f>
        <v>0</v>
      </c>
      <c r="I226" s="191">
        <v>0</v>
      </c>
      <c r="J226" s="125">
        <f>ROUND(I226*Valores!$C$2,2)</f>
        <v>0</v>
      </c>
      <c r="K226" s="191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27880.02</v>
      </c>
      <c r="N226" s="125">
        <f t="shared" si="30"/>
        <v>0</v>
      </c>
      <c r="O226" s="125">
        <f>Valores!$C$7*B226</f>
        <v>49667.04</v>
      </c>
      <c r="P226" s="125">
        <f>ROUND(IF(B226&lt;15,(Valores!$E$5*B226),Valores!$D$5),2)</f>
        <v>20796.54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25255.725000000002</v>
      </c>
      <c r="S226" s="125">
        <f>Valores!$C$18*B226</f>
        <v>15621.12</v>
      </c>
      <c r="T226" s="125">
        <f t="shared" si="36"/>
        <v>15621.12</v>
      </c>
      <c r="U226" s="125">
        <v>0</v>
      </c>
      <c r="V226" s="125">
        <v>0</v>
      </c>
      <c r="W226" s="191">
        <v>0</v>
      </c>
      <c r="X226" s="125">
        <f>ROUND(W226*Valores!$C$2,2)</f>
        <v>0</v>
      </c>
      <c r="Y226" s="125">
        <v>0</v>
      </c>
      <c r="Z226" s="125">
        <f>IF(Valores!$C$97*B226&gt;Valores!$C$96,Valores!$C$96,Valores!$C$97*B226)</f>
        <v>47688.12</v>
      </c>
      <c r="AA226" s="125">
        <f>IF((Valores!$C$28)*B226&gt;Valores!$F$28,Valores!$F$28,(Valores!$C$28)*B226)</f>
        <v>1226.8799999999999</v>
      </c>
      <c r="AB226" s="210">
        <v>0</v>
      </c>
      <c r="AC226" s="125">
        <f t="shared" si="31"/>
        <v>0</v>
      </c>
      <c r="AD226" s="125">
        <f>IF(Valores!$C$29*B226&gt;Valores!$F$29,Valores!$F$29,Valores!$C$29*B226)</f>
        <v>850.59</v>
      </c>
      <c r="AE226" s="191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19448.94</v>
      </c>
      <c r="AH226" s="125">
        <f t="shared" si="34"/>
        <v>353424.91500000004</v>
      </c>
      <c r="AI226" s="125">
        <f>IF(Valores!$C$32*B226&gt;Valores!$F$32,Valores!$F$32,Valores!$C$32*B226)</f>
        <v>0</v>
      </c>
      <c r="AJ226" s="125">
        <f>IF(Valores!$C$90*B226&gt;Valores!$C$89,Valores!$C$89,Valores!$C$90*B226)</f>
        <v>0</v>
      </c>
      <c r="AK226" s="125">
        <f>IF(Valores!C$39*B226&gt;Valores!F$38,Valores!F$38,Valores!C$39*B226)</f>
        <v>0</v>
      </c>
      <c r="AL226" s="125">
        <f>IF($F$3="NO",0,IF(Valores!$C$61*B226&gt;Valores!$F$61,Valores!$F$61,Valores!$C$61*B226))</f>
        <v>0</v>
      </c>
      <c r="AM226" s="125">
        <f t="shared" si="32"/>
        <v>0</v>
      </c>
      <c r="AN226" s="125">
        <f>AH226*Valores!$C$71</f>
        <v>-38876.74065000001</v>
      </c>
      <c r="AO226" s="125">
        <f>AH226*-Valores!$C$72</f>
        <v>0</v>
      </c>
      <c r="AP226" s="125">
        <f>AH226*Valores!$C$73</f>
        <v>-15904.121175</v>
      </c>
      <c r="AQ226" s="125">
        <f>Valores!$C$100</f>
        <v>-554.86</v>
      </c>
      <c r="AR226" s="125">
        <f>IF($F$5=0,Valores!$C$101,(Valores!$C$101+$F$5*(Valores!$C$101)))</f>
        <v>-550</v>
      </c>
      <c r="AS226" s="125">
        <f t="shared" si="35"/>
        <v>297539.193175</v>
      </c>
      <c r="AT226" s="125">
        <f t="shared" si="29"/>
        <v>-38876.74065000001</v>
      </c>
      <c r="AU226" s="125">
        <f>AH226*Valores!$C$74</f>
        <v>-9542.472705</v>
      </c>
      <c r="AV226" s="125">
        <f>AH226*Valores!$C$75</f>
        <v>-1060.2747450000002</v>
      </c>
      <c r="AW226" s="125">
        <f t="shared" si="33"/>
        <v>303945.4269</v>
      </c>
      <c r="AX226" s="126"/>
      <c r="AY226" s="126">
        <f t="shared" si="37"/>
        <v>36</v>
      </c>
      <c r="AZ226" s="123" t="s">
        <v>8</v>
      </c>
    </row>
    <row r="227" spans="1:52" s="110" customFormat="1" ht="11.25" customHeight="1">
      <c r="A227" s="123" t="s">
        <v>471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1">
        <f aca="true" t="shared" si="38" ref="E227:E258">79*B227</f>
        <v>79</v>
      </c>
      <c r="F227" s="125">
        <f>ROUND(E227*Valores!$C$2,2)</f>
        <v>3213.86</v>
      </c>
      <c r="G227" s="191">
        <v>0</v>
      </c>
      <c r="H227" s="125">
        <f>ROUND(G227*Valores!$C$2,2)</f>
        <v>0</v>
      </c>
      <c r="I227" s="191">
        <v>0</v>
      </c>
      <c r="J227" s="125">
        <f>ROUND(I227*Valores!$C$2,2)</f>
        <v>0</v>
      </c>
      <c r="K227" s="191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656.18</v>
      </c>
      <c r="N227" s="125">
        <f t="shared" si="30"/>
        <v>0</v>
      </c>
      <c r="O227" s="125">
        <f>Valores!$C$7*B227</f>
        <v>1379.64</v>
      </c>
      <c r="P227" s="125">
        <f>ROUND(IF(B227&lt;15,(Valores!$E$5*B227),Valores!$D$5),2)</f>
        <v>1386.44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726.72</v>
      </c>
      <c r="S227" s="125">
        <f>Valores!$C$18*B227</f>
        <v>433.92</v>
      </c>
      <c r="T227" s="125">
        <f t="shared" si="36"/>
        <v>433.92</v>
      </c>
      <c r="U227" s="125">
        <v>0</v>
      </c>
      <c r="V227" s="125">
        <v>0</v>
      </c>
      <c r="W227" s="191">
        <v>0</v>
      </c>
      <c r="X227" s="125">
        <f>ROUND(W227*Valores!$C$2,2)</f>
        <v>0</v>
      </c>
      <c r="Y227" s="125">
        <v>0</v>
      </c>
      <c r="Z227" s="125">
        <f>IF(Valores!$C$97*B227&gt;Valores!$C$96,Valores!$C$96,Valores!$C$97*B227)</f>
        <v>1324.67</v>
      </c>
      <c r="AA227" s="125">
        <f>IF((Valores!$C$28)*B227&gt;Valores!$F$28,Valores!$F$28,(Valores!$C$28)*B227)</f>
        <v>34.08</v>
      </c>
      <c r="AB227" s="210">
        <v>0</v>
      </c>
      <c r="AC227" s="125">
        <f t="shared" si="31"/>
        <v>0</v>
      </c>
      <c r="AD227" s="125">
        <f>IF(Valores!$C$29*B227&gt;Valores!$F$29,Valores!$F$29,Valores!$C$29*B227)</f>
        <v>28.38</v>
      </c>
      <c r="AE227" s="191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648.3</v>
      </c>
      <c r="AH227" s="125">
        <f t="shared" si="34"/>
        <v>9832.189999999999</v>
      </c>
      <c r="AI227" s="125">
        <f>IF(Valores!$C$32*B227&gt;Valores!$F$32,Valores!$F$32,Valores!$C$32*B227)</f>
        <v>0</v>
      </c>
      <c r="AJ227" s="125">
        <f>IF(Valores!$C$90*B227&gt;Valores!$C$89,Valores!$C$89,Valores!$C$90*B227)</f>
        <v>0</v>
      </c>
      <c r="AK227" s="125">
        <f>IF(Valores!C$39*B227&gt;Valores!F$38,Valores!F$38,Valores!C$39*B227)</f>
        <v>0</v>
      </c>
      <c r="AL227" s="125">
        <f>IF($F$3="NO",0,IF(Valores!$C$62*B227&gt;Valores!$F$62,Valores!$F$62,Valores!$C$62*B227))</f>
        <v>0</v>
      </c>
      <c r="AM227" s="125">
        <f t="shared" si="32"/>
        <v>0</v>
      </c>
      <c r="AN227" s="125">
        <f>AH227*Valores!$C$71</f>
        <v>-1081.5409</v>
      </c>
      <c r="AO227" s="125">
        <f>AH227*-Valores!$C$72</f>
        <v>0</v>
      </c>
      <c r="AP227" s="125">
        <f>AH227*Valores!$C$73</f>
        <v>-442.4485499999999</v>
      </c>
      <c r="AQ227" s="125">
        <f>Valores!$C$100</f>
        <v>-554.86</v>
      </c>
      <c r="AR227" s="125">
        <f>IF($F$5=0,Valores!$C$101,(Valores!$C$101+$F$5*(Valores!$C$101)))</f>
        <v>-550</v>
      </c>
      <c r="AS227" s="125">
        <f t="shared" si="35"/>
        <v>7203.340549999999</v>
      </c>
      <c r="AT227" s="125">
        <f t="shared" si="29"/>
        <v>-1081.5409</v>
      </c>
      <c r="AU227" s="125">
        <f>AH227*Valores!$C$74</f>
        <v>-265.46912999999995</v>
      </c>
      <c r="AV227" s="125">
        <f>AH227*Valores!$C$75</f>
        <v>-29.49657</v>
      </c>
      <c r="AW227" s="125">
        <f t="shared" si="33"/>
        <v>8455.683399999998</v>
      </c>
      <c r="AX227" s="126"/>
      <c r="AY227" s="126">
        <f t="shared" si="37"/>
        <v>1</v>
      </c>
      <c r="AZ227" s="123" t="s">
        <v>4</v>
      </c>
    </row>
    <row r="228" spans="1:52" s="110" customFormat="1" ht="11.25" customHeight="1">
      <c r="A228" s="123" t="s">
        <v>471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1">
        <f t="shared" si="38"/>
        <v>79</v>
      </c>
      <c r="F228" s="125">
        <f>ROUND(E228*Valores!$C$2,2)</f>
        <v>3213.86</v>
      </c>
      <c r="G228" s="191">
        <v>0</v>
      </c>
      <c r="H228" s="125">
        <f>ROUND(G228*Valores!$C$2,2)</f>
        <v>0</v>
      </c>
      <c r="I228" s="191">
        <v>0</v>
      </c>
      <c r="J228" s="125">
        <f>ROUND(I228*Valores!$C$2,2)</f>
        <v>0</v>
      </c>
      <c r="K228" s="191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656.18</v>
      </c>
      <c r="N228" s="125">
        <f t="shared" si="30"/>
        <v>0</v>
      </c>
      <c r="O228" s="125">
        <f>Valores!$C$7*B228</f>
        <v>1379.64</v>
      </c>
      <c r="P228" s="125">
        <f>ROUND(IF(B228&lt;15,(Valores!$E$5*B228),Valores!$D$5),2)</f>
        <v>1386.44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726.72</v>
      </c>
      <c r="S228" s="125">
        <f>Valores!$C$18*B228</f>
        <v>433.92</v>
      </c>
      <c r="T228" s="125">
        <f t="shared" si="36"/>
        <v>433.92</v>
      </c>
      <c r="U228" s="125">
        <v>0</v>
      </c>
      <c r="V228" s="125">
        <v>0</v>
      </c>
      <c r="W228" s="191">
        <v>0</v>
      </c>
      <c r="X228" s="125">
        <f>ROUND(W228*Valores!$C$2,2)</f>
        <v>0</v>
      </c>
      <c r="Y228" s="125">
        <v>0</v>
      </c>
      <c r="Z228" s="125">
        <f>IF(Valores!$C$97*B228&gt;Valores!$C$96,Valores!$C$96,Valores!$C$97*B228)</f>
        <v>1324.67</v>
      </c>
      <c r="AA228" s="125">
        <f>IF((Valores!$C$28)*B228&gt;Valores!$F$28,Valores!$F$28,(Valores!$C$28)*B228)</f>
        <v>34.08</v>
      </c>
      <c r="AB228" s="210">
        <v>0</v>
      </c>
      <c r="AC228" s="125">
        <f t="shared" si="31"/>
        <v>0</v>
      </c>
      <c r="AD228" s="125">
        <f>IF(Valores!$C$29*B228&gt;Valores!$F$29,Valores!$F$29,Valores!$C$29*B228)</f>
        <v>28.38</v>
      </c>
      <c r="AE228" s="191">
        <v>94</v>
      </c>
      <c r="AF228" s="125">
        <f>ROUND(AE228*Valores!$C$2,2)</f>
        <v>3824.09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648.3</v>
      </c>
      <c r="AH228" s="125">
        <f t="shared" si="34"/>
        <v>13656.279999999999</v>
      </c>
      <c r="AI228" s="125">
        <f>IF(Valores!$C$32*B228&gt;Valores!$F$32,Valores!$F$32,Valores!$C$32*B228)</f>
        <v>0</v>
      </c>
      <c r="AJ228" s="125">
        <f>IF(Valores!$C$90*B228&gt;Valores!$C$89,Valores!$C$89,Valores!$C$90*B228)</f>
        <v>0</v>
      </c>
      <c r="AK228" s="125">
        <f>IF(Valores!C$39*B228&gt;Valores!F$38,Valores!F$38,Valores!C$39*B228)</f>
        <v>0</v>
      </c>
      <c r="AL228" s="125">
        <f>IF($F$3="NO",0,IF(Valores!$C$62*B228&gt;Valores!$F$62,Valores!$F$62,Valores!$C$62*B228))</f>
        <v>0</v>
      </c>
      <c r="AM228" s="125">
        <f t="shared" si="32"/>
        <v>0</v>
      </c>
      <c r="AN228" s="125">
        <f>AH228*Valores!$C$71</f>
        <v>-1502.1907999999999</v>
      </c>
      <c r="AO228" s="125">
        <f>AH228*-Valores!$C$72</f>
        <v>0</v>
      </c>
      <c r="AP228" s="125">
        <f>AH228*Valores!$C$73</f>
        <v>-614.5325999999999</v>
      </c>
      <c r="AQ228" s="125">
        <f>Valores!$C$100</f>
        <v>-554.86</v>
      </c>
      <c r="AR228" s="125">
        <f>IF($F$5=0,Valores!$C$101,(Valores!$C$101+$F$5*(Valores!$C$101)))</f>
        <v>-550</v>
      </c>
      <c r="AS228" s="125">
        <f t="shared" si="35"/>
        <v>10434.6966</v>
      </c>
      <c r="AT228" s="125">
        <f t="shared" si="29"/>
        <v>-1502.1907999999999</v>
      </c>
      <c r="AU228" s="125">
        <f>AH228*Valores!$C$74</f>
        <v>-368.71955999999994</v>
      </c>
      <c r="AV228" s="125">
        <f>AH228*Valores!$C$75</f>
        <v>-40.96884</v>
      </c>
      <c r="AW228" s="125">
        <f t="shared" si="33"/>
        <v>11744.4008</v>
      </c>
      <c r="AX228" s="126"/>
      <c r="AY228" s="126">
        <f t="shared" si="37"/>
        <v>1</v>
      </c>
      <c r="AZ228" s="123" t="s">
        <v>4</v>
      </c>
    </row>
    <row r="229" spans="1:52" s="110" customFormat="1" ht="11.25" customHeight="1">
      <c r="A229" s="123" t="s">
        <v>471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1">
        <f t="shared" si="38"/>
        <v>158</v>
      </c>
      <c r="F229" s="125">
        <f>ROUND(E229*Valores!$C$2,2)</f>
        <v>6427.72</v>
      </c>
      <c r="G229" s="191">
        <v>0</v>
      </c>
      <c r="H229" s="125">
        <f>ROUND(G229*Valores!$C$2,2)</f>
        <v>0</v>
      </c>
      <c r="I229" s="191">
        <v>0</v>
      </c>
      <c r="J229" s="125">
        <f>ROUND(I229*Valores!$C$2,2)</f>
        <v>0</v>
      </c>
      <c r="K229" s="191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1312.35</v>
      </c>
      <c r="N229" s="125">
        <f t="shared" si="30"/>
        <v>0</v>
      </c>
      <c r="O229" s="125">
        <f>Valores!$C$7*B229</f>
        <v>2759.28</v>
      </c>
      <c r="P229" s="125">
        <f>ROUND(IF(B229&lt;15,(Valores!$E$5*B229),Valores!$D$5),2)</f>
        <v>2772.88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1453.44</v>
      </c>
      <c r="S229" s="125">
        <f>Valores!$C$18*B229</f>
        <v>867.84</v>
      </c>
      <c r="T229" s="125">
        <f t="shared" si="36"/>
        <v>867.84</v>
      </c>
      <c r="U229" s="125">
        <v>0</v>
      </c>
      <c r="V229" s="125">
        <v>0</v>
      </c>
      <c r="W229" s="191">
        <v>0</v>
      </c>
      <c r="X229" s="125">
        <f>ROUND(W229*Valores!$C$2,2)</f>
        <v>0</v>
      </c>
      <c r="Y229" s="125">
        <v>0</v>
      </c>
      <c r="Z229" s="125">
        <f>IF(Valores!$C$97*B229&gt;Valores!$C$96,Valores!$C$96,Valores!$C$97*B229)</f>
        <v>2649.34</v>
      </c>
      <c r="AA229" s="125">
        <f>IF((Valores!$C$28)*B229&gt;Valores!$F$28,Valores!$F$28,(Valores!$C$28)*B229)</f>
        <v>68.16</v>
      </c>
      <c r="AB229" s="210">
        <v>0</v>
      </c>
      <c r="AC229" s="125">
        <f t="shared" si="31"/>
        <v>0</v>
      </c>
      <c r="AD229" s="125">
        <f>IF(Valores!$C$29*B229&gt;Valores!$F$29,Valores!$F$29,Valores!$C$29*B229)</f>
        <v>56.76</v>
      </c>
      <c r="AE229" s="191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1296.6</v>
      </c>
      <c r="AH229" s="125">
        <f t="shared" si="34"/>
        <v>19664.369999999995</v>
      </c>
      <c r="AI229" s="125">
        <f>IF(Valores!$C$32*B229&gt;Valores!$F$32,Valores!$F$32,Valores!$C$32*B229)</f>
        <v>0</v>
      </c>
      <c r="AJ229" s="125">
        <f>IF(Valores!$C$90*B229&gt;Valores!$C$89,Valores!$C$89,Valores!$C$90*B229)</f>
        <v>0</v>
      </c>
      <c r="AK229" s="125">
        <f>IF(Valores!C$39*B229&gt;Valores!F$38,Valores!F$38,Valores!C$39*B229)</f>
        <v>0</v>
      </c>
      <c r="AL229" s="125">
        <f>IF($F$3="NO",0,IF(Valores!$C$62*B229&gt;Valores!$F$62,Valores!$F$62,Valores!$C$62*B229))</f>
        <v>0</v>
      </c>
      <c r="AM229" s="125">
        <f t="shared" si="32"/>
        <v>0</v>
      </c>
      <c r="AN229" s="125">
        <f>AH229*Valores!$C$71</f>
        <v>-2163.0806999999995</v>
      </c>
      <c r="AO229" s="125">
        <f>AH229*-Valores!$C$72</f>
        <v>0</v>
      </c>
      <c r="AP229" s="125">
        <f>AH229*Valores!$C$73</f>
        <v>-884.8966499999998</v>
      </c>
      <c r="AQ229" s="125">
        <f>Valores!$C$100</f>
        <v>-554.86</v>
      </c>
      <c r="AR229" s="125">
        <f>IF($F$5=0,Valores!$C$101,(Valores!$C$101+$F$5*(Valores!$C$101)))</f>
        <v>-550</v>
      </c>
      <c r="AS229" s="125">
        <f t="shared" si="35"/>
        <v>15511.532649999996</v>
      </c>
      <c r="AT229" s="125">
        <f t="shared" si="29"/>
        <v>-2163.0806999999995</v>
      </c>
      <c r="AU229" s="125">
        <f>AH229*Valores!$C$74</f>
        <v>-530.9379899999999</v>
      </c>
      <c r="AV229" s="125">
        <f>AH229*Valores!$C$75</f>
        <v>-58.99310999999999</v>
      </c>
      <c r="AW229" s="125">
        <f t="shared" si="33"/>
        <v>16911.358199999995</v>
      </c>
      <c r="AX229" s="126"/>
      <c r="AY229" s="126">
        <f t="shared" si="37"/>
        <v>2</v>
      </c>
      <c r="AZ229" s="123" t="s">
        <v>4</v>
      </c>
    </row>
    <row r="230" spans="1:52" s="110" customFormat="1" ht="11.25" customHeight="1">
      <c r="A230" s="123" t="s">
        <v>471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1">
        <f t="shared" si="38"/>
        <v>158</v>
      </c>
      <c r="F230" s="125">
        <f>ROUND(E230*Valores!$C$2,2)</f>
        <v>6427.72</v>
      </c>
      <c r="G230" s="191">
        <v>0</v>
      </c>
      <c r="H230" s="125">
        <f>ROUND(G230*Valores!$C$2,2)</f>
        <v>0</v>
      </c>
      <c r="I230" s="191">
        <v>0</v>
      </c>
      <c r="J230" s="125">
        <f>ROUND(I230*Valores!$C$2,2)</f>
        <v>0</v>
      </c>
      <c r="K230" s="191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1312.35</v>
      </c>
      <c r="N230" s="125">
        <f t="shared" si="30"/>
        <v>0</v>
      </c>
      <c r="O230" s="125">
        <f>Valores!$C$7*B230</f>
        <v>2759.28</v>
      </c>
      <c r="P230" s="125">
        <f>ROUND(IF(B230&lt;15,(Valores!$E$5*B230),Valores!$D$5),2)</f>
        <v>2772.88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1453.44</v>
      </c>
      <c r="S230" s="125">
        <f>Valores!$C$18*B230</f>
        <v>867.84</v>
      </c>
      <c r="T230" s="125">
        <f t="shared" si="36"/>
        <v>867.84</v>
      </c>
      <c r="U230" s="125">
        <v>0</v>
      </c>
      <c r="V230" s="125">
        <v>0</v>
      </c>
      <c r="W230" s="191">
        <v>0</v>
      </c>
      <c r="X230" s="125">
        <f>ROUND(W230*Valores!$C$2,2)</f>
        <v>0</v>
      </c>
      <c r="Y230" s="125">
        <v>0</v>
      </c>
      <c r="Z230" s="125">
        <f>IF(Valores!$C$97*B230&gt;Valores!$C$96,Valores!$C$96,Valores!$C$97*B230)</f>
        <v>2649.34</v>
      </c>
      <c r="AA230" s="125">
        <f>IF((Valores!$C$28)*B230&gt;Valores!$F$28,Valores!$F$28,(Valores!$C$28)*B230)</f>
        <v>68.16</v>
      </c>
      <c r="AB230" s="210">
        <v>0</v>
      </c>
      <c r="AC230" s="125">
        <f t="shared" si="31"/>
        <v>0</v>
      </c>
      <c r="AD230" s="125">
        <f>IF(Valores!$C$29*B230&gt;Valores!$F$29,Valores!$F$29,Valores!$C$29*B230)</f>
        <v>56.76</v>
      </c>
      <c r="AE230" s="191">
        <v>94</v>
      </c>
      <c r="AF230" s="125">
        <f>ROUND(AE230*Valores!$C$2,2)</f>
        <v>3824.09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1296.6</v>
      </c>
      <c r="AH230" s="125">
        <f t="shared" si="34"/>
        <v>23488.459999999995</v>
      </c>
      <c r="AI230" s="125">
        <f>IF(Valores!$C$32*B230&gt;Valores!$F$32,Valores!$F$32,Valores!$C$32*B230)</f>
        <v>0</v>
      </c>
      <c r="AJ230" s="125">
        <f>IF(Valores!$C$90*B230&gt;Valores!$C$89,Valores!$C$89,Valores!$C$90*B230)</f>
        <v>0</v>
      </c>
      <c r="AK230" s="125">
        <f>IF(Valores!C$39*B230&gt;Valores!F$38,Valores!F$38,Valores!C$39*B230)</f>
        <v>0</v>
      </c>
      <c r="AL230" s="125">
        <f>IF($F$3="NO",0,IF(Valores!$C$62*B230&gt;Valores!$F$62,Valores!$F$62,Valores!$C$62*B230))</f>
        <v>0</v>
      </c>
      <c r="AM230" s="125">
        <f t="shared" si="32"/>
        <v>0</v>
      </c>
      <c r="AN230" s="125">
        <f>AH230*Valores!$C$71</f>
        <v>-2583.7305999999994</v>
      </c>
      <c r="AO230" s="125">
        <f>AH230*-Valores!$C$72</f>
        <v>0</v>
      </c>
      <c r="AP230" s="125">
        <f>AH230*Valores!$C$73</f>
        <v>-1056.9806999999998</v>
      </c>
      <c r="AQ230" s="125">
        <f>Valores!$C$100</f>
        <v>-554.86</v>
      </c>
      <c r="AR230" s="125">
        <f>IF($F$5=0,Valores!$C$101,(Valores!$C$101+$F$5*(Valores!$C$101)))</f>
        <v>-550</v>
      </c>
      <c r="AS230" s="125">
        <f t="shared" si="35"/>
        <v>18742.888699999996</v>
      </c>
      <c r="AT230" s="125">
        <f t="shared" si="29"/>
        <v>-2583.7305999999994</v>
      </c>
      <c r="AU230" s="125">
        <f>AH230*Valores!$C$74</f>
        <v>-634.1884199999998</v>
      </c>
      <c r="AV230" s="125">
        <f>AH230*Valores!$C$75</f>
        <v>-70.46537999999998</v>
      </c>
      <c r="AW230" s="125">
        <f t="shared" si="33"/>
        <v>20200.075599999996</v>
      </c>
      <c r="AX230" s="126"/>
      <c r="AY230" s="126">
        <f t="shared" si="37"/>
        <v>2</v>
      </c>
      <c r="AZ230" s="123" t="s">
        <v>4</v>
      </c>
    </row>
    <row r="231" spans="1:52" s="110" customFormat="1" ht="11.25" customHeight="1">
      <c r="A231" s="123" t="s">
        <v>471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1">
        <f t="shared" si="38"/>
        <v>237</v>
      </c>
      <c r="F231" s="125">
        <f>ROUND(E231*Valores!$C$2,2)</f>
        <v>9641.59</v>
      </c>
      <c r="G231" s="191">
        <v>0</v>
      </c>
      <c r="H231" s="125">
        <f>ROUND(G231*Valores!$C$2,2)</f>
        <v>0</v>
      </c>
      <c r="I231" s="191">
        <v>0</v>
      </c>
      <c r="J231" s="125">
        <f>ROUND(I231*Valores!$C$2,2)</f>
        <v>0</v>
      </c>
      <c r="K231" s="191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1968.53</v>
      </c>
      <c r="N231" s="125">
        <f t="shared" si="30"/>
        <v>0</v>
      </c>
      <c r="O231" s="125">
        <f>Valores!$C$7*B231</f>
        <v>4138.92</v>
      </c>
      <c r="P231" s="125">
        <f>ROUND(IF(B231&lt;15,(Valores!$E$5*B231),Valores!$D$5),2)</f>
        <v>4159.32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2180.16</v>
      </c>
      <c r="S231" s="125">
        <f>Valores!$C$18*B231</f>
        <v>1301.76</v>
      </c>
      <c r="T231" s="125">
        <f t="shared" si="36"/>
        <v>1301.76</v>
      </c>
      <c r="U231" s="125">
        <v>0</v>
      </c>
      <c r="V231" s="125">
        <v>0</v>
      </c>
      <c r="W231" s="191">
        <v>0</v>
      </c>
      <c r="X231" s="125">
        <f>ROUND(W231*Valores!$C$2,2)</f>
        <v>0</v>
      </c>
      <c r="Y231" s="125">
        <v>0</v>
      </c>
      <c r="Z231" s="125">
        <f>IF(Valores!$C$97*B231&gt;Valores!$C$96,Valores!$C$96,Valores!$C$97*B231)</f>
        <v>3974.01</v>
      </c>
      <c r="AA231" s="125">
        <f>IF((Valores!$C$28)*B231&gt;Valores!$F$28,Valores!$F$28,(Valores!$C$28)*B231)</f>
        <v>102.24</v>
      </c>
      <c r="AB231" s="210">
        <v>0</v>
      </c>
      <c r="AC231" s="125">
        <f t="shared" si="31"/>
        <v>0</v>
      </c>
      <c r="AD231" s="125">
        <f>IF(Valores!$C$29*B231&gt;Valores!$F$29,Valores!$F$29,Valores!$C$29*B231)</f>
        <v>85.14</v>
      </c>
      <c r="AE231" s="191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</f>
        <v>1944.8999999999999</v>
      </c>
      <c r="AH231" s="125">
        <f t="shared" si="34"/>
        <v>29496.570000000003</v>
      </c>
      <c r="AI231" s="125">
        <f>IF(Valores!$C$32*B231&gt;Valores!$F$32,Valores!$F$32,Valores!$C$32*B231)</f>
        <v>0</v>
      </c>
      <c r="AJ231" s="125">
        <f>IF(Valores!$C$90*B231&gt;Valores!$C$89,Valores!$C$89,Valores!$C$90*B231)</f>
        <v>0</v>
      </c>
      <c r="AK231" s="125">
        <f>IF(Valores!C$39*B231&gt;Valores!F$38,Valores!F$38,Valores!C$39*B231)</f>
        <v>0</v>
      </c>
      <c r="AL231" s="125">
        <f>IF($F$3="NO",0,IF(Valores!$C$62*B231&gt;Valores!$F$62,Valores!$F$62,Valores!$C$62*B231))</f>
        <v>0</v>
      </c>
      <c r="AM231" s="125">
        <f t="shared" si="32"/>
        <v>0</v>
      </c>
      <c r="AN231" s="125">
        <f>AH231*Valores!$C$71</f>
        <v>-3244.6227000000003</v>
      </c>
      <c r="AO231" s="125">
        <f>AH231*-Valores!$C$72</f>
        <v>0</v>
      </c>
      <c r="AP231" s="125">
        <f>AH231*Valores!$C$73</f>
        <v>-1327.3456500000002</v>
      </c>
      <c r="AQ231" s="125">
        <f>Valores!$C$100</f>
        <v>-554.86</v>
      </c>
      <c r="AR231" s="125">
        <f>IF($F$5=0,Valores!$C$101,(Valores!$C$101+$F$5*(Valores!$C$101)))</f>
        <v>-550</v>
      </c>
      <c r="AS231" s="125">
        <f t="shared" si="35"/>
        <v>23819.741650000004</v>
      </c>
      <c r="AT231" s="125">
        <f t="shared" si="29"/>
        <v>-3244.6227000000003</v>
      </c>
      <c r="AU231" s="125">
        <f>AH231*Valores!$C$74</f>
        <v>-796.4073900000001</v>
      </c>
      <c r="AV231" s="125">
        <f>AH231*Valores!$C$75</f>
        <v>-88.48971000000002</v>
      </c>
      <c r="AW231" s="125">
        <f t="shared" si="33"/>
        <v>25367.050200000005</v>
      </c>
      <c r="AX231" s="126"/>
      <c r="AY231" s="126">
        <f t="shared" si="37"/>
        <v>3</v>
      </c>
      <c r="AZ231" s="123" t="s">
        <v>4</v>
      </c>
    </row>
    <row r="232" spans="1:52" s="110" customFormat="1" ht="11.25" customHeight="1">
      <c r="A232" s="123" t="s">
        <v>471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1">
        <f t="shared" si="38"/>
        <v>237</v>
      </c>
      <c r="F232" s="125">
        <f>ROUND(E232*Valores!$C$2,2)</f>
        <v>9641.59</v>
      </c>
      <c r="G232" s="191">
        <v>0</v>
      </c>
      <c r="H232" s="125">
        <f>ROUND(G232*Valores!$C$2,2)</f>
        <v>0</v>
      </c>
      <c r="I232" s="191">
        <v>0</v>
      </c>
      <c r="J232" s="125">
        <f>ROUND(I232*Valores!$C$2,2)</f>
        <v>0</v>
      </c>
      <c r="K232" s="191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1968.53</v>
      </c>
      <c r="N232" s="125">
        <f t="shared" si="30"/>
        <v>0</v>
      </c>
      <c r="O232" s="125">
        <f>Valores!$C$7*B232</f>
        <v>4138.92</v>
      </c>
      <c r="P232" s="125">
        <f>ROUND(IF(B232&lt;15,(Valores!$E$5*B232),Valores!$D$5),2)</f>
        <v>4159.32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2180.16</v>
      </c>
      <c r="S232" s="125">
        <f>Valores!$C$18*B232</f>
        <v>1301.76</v>
      </c>
      <c r="T232" s="125">
        <f t="shared" si="36"/>
        <v>1301.76</v>
      </c>
      <c r="U232" s="125">
        <v>0</v>
      </c>
      <c r="V232" s="125">
        <v>0</v>
      </c>
      <c r="W232" s="191">
        <v>0</v>
      </c>
      <c r="X232" s="125">
        <f>ROUND(W232*Valores!$C$2,2)</f>
        <v>0</v>
      </c>
      <c r="Y232" s="125">
        <v>0</v>
      </c>
      <c r="Z232" s="125">
        <f>IF(Valores!$C$97*B232&gt;Valores!$C$96,Valores!$C$96,Valores!$C$97*B232)</f>
        <v>3974.01</v>
      </c>
      <c r="AA232" s="125">
        <f>IF((Valores!$C$28)*B232&gt;Valores!$F$28,Valores!$F$28,(Valores!$C$28)*B232)</f>
        <v>102.24</v>
      </c>
      <c r="AB232" s="210">
        <v>0</v>
      </c>
      <c r="AC232" s="125">
        <f t="shared" si="31"/>
        <v>0</v>
      </c>
      <c r="AD232" s="125">
        <f>IF(Valores!$C$29*B232&gt;Valores!$F$29,Valores!$F$29,Valores!$C$29*B232)</f>
        <v>85.14</v>
      </c>
      <c r="AE232" s="191">
        <v>94</v>
      </c>
      <c r="AF232" s="125">
        <f>ROUND(AE232*Valores!$C$2,2)</f>
        <v>3824.09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</f>
        <v>1944.8999999999999</v>
      </c>
      <c r="AH232" s="125">
        <f t="shared" si="34"/>
        <v>33320.66</v>
      </c>
      <c r="AI232" s="125">
        <f>IF(Valores!$C$32*B232&gt;Valores!$F$32,Valores!$F$32,Valores!$C$32*B232)</f>
        <v>0</v>
      </c>
      <c r="AJ232" s="125">
        <f>IF(Valores!$C$90*B232&gt;Valores!$C$89,Valores!$C$89,Valores!$C$90*B232)</f>
        <v>0</v>
      </c>
      <c r="AK232" s="125">
        <f>IF(Valores!C$39*B232&gt;Valores!F$38,Valores!F$38,Valores!C$39*B232)</f>
        <v>0</v>
      </c>
      <c r="AL232" s="125">
        <f>IF($F$3="NO",0,IF(Valores!$C$62*B232&gt;Valores!$F$62,Valores!$F$62,Valores!$C$62*B232))</f>
        <v>0</v>
      </c>
      <c r="AM232" s="125">
        <f t="shared" si="32"/>
        <v>0</v>
      </c>
      <c r="AN232" s="125">
        <f>AH232*Valores!$C$71</f>
        <v>-3665.2726000000002</v>
      </c>
      <c r="AO232" s="125">
        <f>AH232*-Valores!$C$72</f>
        <v>0</v>
      </c>
      <c r="AP232" s="125">
        <f>AH232*Valores!$C$73</f>
        <v>-1499.4297000000001</v>
      </c>
      <c r="AQ232" s="125">
        <f>Valores!$C$100</f>
        <v>-554.86</v>
      </c>
      <c r="AR232" s="125">
        <f>IF($F$5=0,Valores!$C$101,(Valores!$C$101+$F$5*(Valores!$C$101)))</f>
        <v>-550</v>
      </c>
      <c r="AS232" s="125">
        <f t="shared" si="35"/>
        <v>27051.097700000002</v>
      </c>
      <c r="AT232" s="125">
        <f t="shared" si="29"/>
        <v>-3665.2726000000002</v>
      </c>
      <c r="AU232" s="125">
        <f>AH232*Valores!$C$74</f>
        <v>-899.6578200000001</v>
      </c>
      <c r="AV232" s="125">
        <f>AH232*Valores!$C$75</f>
        <v>-99.96198000000001</v>
      </c>
      <c r="AW232" s="125">
        <f t="shared" si="33"/>
        <v>28655.767600000003</v>
      </c>
      <c r="AX232" s="126"/>
      <c r="AY232" s="126">
        <f t="shared" si="37"/>
        <v>3</v>
      </c>
      <c r="AZ232" s="123" t="s">
        <v>4</v>
      </c>
    </row>
    <row r="233" spans="1:52" s="110" customFormat="1" ht="11.25" customHeight="1">
      <c r="A233" s="123" t="s">
        <v>471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1">
        <f t="shared" si="38"/>
        <v>316</v>
      </c>
      <c r="F233" s="125">
        <f>ROUND(E233*Valores!$C$2,2)</f>
        <v>12855.45</v>
      </c>
      <c r="G233" s="191">
        <v>0</v>
      </c>
      <c r="H233" s="125">
        <f>ROUND(G233*Valores!$C$2,2)</f>
        <v>0</v>
      </c>
      <c r="I233" s="191">
        <v>0</v>
      </c>
      <c r="J233" s="125">
        <f>ROUND(I233*Valores!$C$2,2)</f>
        <v>0</v>
      </c>
      <c r="K233" s="191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2624.7</v>
      </c>
      <c r="N233" s="125">
        <f t="shared" si="30"/>
        <v>0</v>
      </c>
      <c r="O233" s="125">
        <f>Valores!$C$7*B233</f>
        <v>5518.56</v>
      </c>
      <c r="P233" s="125">
        <f>ROUND(IF(B233&lt;15,(Valores!$E$5*B233),Valores!$D$5),2)</f>
        <v>5545.76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2906.88</v>
      </c>
      <c r="S233" s="125">
        <f>Valores!$C$18*B233</f>
        <v>1735.68</v>
      </c>
      <c r="T233" s="125">
        <f t="shared" si="36"/>
        <v>1735.68</v>
      </c>
      <c r="U233" s="125">
        <v>0</v>
      </c>
      <c r="V233" s="125">
        <v>0</v>
      </c>
      <c r="W233" s="191">
        <v>0</v>
      </c>
      <c r="X233" s="125">
        <f>ROUND(W233*Valores!$C$2,2)</f>
        <v>0</v>
      </c>
      <c r="Y233" s="125">
        <v>0</v>
      </c>
      <c r="Z233" s="125">
        <f>IF(Valores!$C$97*B233&gt;Valores!$C$96,Valores!$C$96,Valores!$C$97*B233)</f>
        <v>5298.68</v>
      </c>
      <c r="AA233" s="125">
        <f>IF((Valores!$C$28)*B233&gt;Valores!$F$28,Valores!$F$28,(Valores!$C$28)*B233)</f>
        <v>136.32</v>
      </c>
      <c r="AB233" s="210">
        <v>0</v>
      </c>
      <c r="AC233" s="125">
        <f t="shared" si="31"/>
        <v>0</v>
      </c>
      <c r="AD233" s="125">
        <f>IF(Valores!$C$29*B233&gt;Valores!$F$29,Valores!$F$29,Valores!$C$29*B233)</f>
        <v>113.52</v>
      </c>
      <c r="AE233" s="191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</f>
        <v>2593.2</v>
      </c>
      <c r="AH233" s="125">
        <f t="shared" si="34"/>
        <v>39328.75</v>
      </c>
      <c r="AI233" s="125">
        <f>IF(Valores!$C$32*B233&gt;Valores!$F$32,Valores!$F$32,Valores!$C$32*B233)</f>
        <v>0</v>
      </c>
      <c r="AJ233" s="125">
        <f>IF(Valores!$C$90*B233&gt;Valores!$C$89,Valores!$C$89,Valores!$C$90*B233)</f>
        <v>0</v>
      </c>
      <c r="AK233" s="125">
        <f>IF(Valores!C$39*B233&gt;Valores!F$38,Valores!F$38,Valores!C$39*B233)</f>
        <v>0</v>
      </c>
      <c r="AL233" s="125">
        <f>IF($F$3="NO",0,IF(Valores!$C$62*B233&gt;Valores!$F$62,Valores!$F$62,Valores!$C$62*B233))</f>
        <v>0</v>
      </c>
      <c r="AM233" s="125">
        <f t="shared" si="32"/>
        <v>0</v>
      </c>
      <c r="AN233" s="125">
        <f>AH233*Valores!$C$71</f>
        <v>-4326.1625</v>
      </c>
      <c r="AO233" s="125">
        <f>AH233*-Valores!$C$72</f>
        <v>0</v>
      </c>
      <c r="AP233" s="125">
        <f>AH233*Valores!$C$73</f>
        <v>-1769.79375</v>
      </c>
      <c r="AQ233" s="125">
        <f>Valores!$C$100</f>
        <v>-554.86</v>
      </c>
      <c r="AR233" s="125">
        <f>IF($F$5=0,Valores!$C$101,(Valores!$C$101+$F$5*(Valores!$C$101)))</f>
        <v>-550</v>
      </c>
      <c r="AS233" s="125">
        <f t="shared" si="35"/>
        <v>32127.93375</v>
      </c>
      <c r="AT233" s="125">
        <f t="shared" si="29"/>
        <v>-4326.1625</v>
      </c>
      <c r="AU233" s="125">
        <f>AH233*Valores!$C$74</f>
        <v>-1061.87625</v>
      </c>
      <c r="AV233" s="125">
        <f>AH233*Valores!$C$75</f>
        <v>-117.98625</v>
      </c>
      <c r="AW233" s="125">
        <f t="shared" si="33"/>
        <v>33822.725</v>
      </c>
      <c r="AX233" s="126"/>
      <c r="AY233" s="126">
        <f t="shared" si="37"/>
        <v>4</v>
      </c>
      <c r="AZ233" s="123" t="s">
        <v>4</v>
      </c>
    </row>
    <row r="234" spans="1:52" s="110" customFormat="1" ht="11.25" customHeight="1">
      <c r="A234" s="123" t="s">
        <v>471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1">
        <f t="shared" si="38"/>
        <v>316</v>
      </c>
      <c r="F234" s="125">
        <f>ROUND(E234*Valores!$C$2,2)</f>
        <v>12855.45</v>
      </c>
      <c r="G234" s="191">
        <v>0</v>
      </c>
      <c r="H234" s="125">
        <f>ROUND(G234*Valores!$C$2,2)</f>
        <v>0</v>
      </c>
      <c r="I234" s="191">
        <v>0</v>
      </c>
      <c r="J234" s="125">
        <f>ROUND(I234*Valores!$C$2,2)</f>
        <v>0</v>
      </c>
      <c r="K234" s="191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2624.7</v>
      </c>
      <c r="N234" s="125">
        <f t="shared" si="30"/>
        <v>0</v>
      </c>
      <c r="O234" s="125">
        <f>Valores!$C$7*B234</f>
        <v>5518.56</v>
      </c>
      <c r="P234" s="125">
        <f>ROUND(IF(B234&lt;15,(Valores!$E$5*B234),Valores!$D$5),2)</f>
        <v>5545.76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2906.88</v>
      </c>
      <c r="S234" s="125">
        <f>Valores!$C$18*B234</f>
        <v>1735.68</v>
      </c>
      <c r="T234" s="125">
        <f t="shared" si="36"/>
        <v>1735.68</v>
      </c>
      <c r="U234" s="125">
        <v>0</v>
      </c>
      <c r="V234" s="125">
        <v>0</v>
      </c>
      <c r="W234" s="191">
        <v>0</v>
      </c>
      <c r="X234" s="125">
        <f>ROUND(W234*Valores!$C$2,2)</f>
        <v>0</v>
      </c>
      <c r="Y234" s="125">
        <v>0</v>
      </c>
      <c r="Z234" s="125">
        <f>IF(Valores!$C$97*B234&gt;Valores!$C$96,Valores!$C$96,Valores!$C$97*B234)</f>
        <v>5298.68</v>
      </c>
      <c r="AA234" s="125">
        <f>IF((Valores!$C$28)*B234&gt;Valores!$F$28,Valores!$F$28,(Valores!$C$28)*B234)</f>
        <v>136.32</v>
      </c>
      <c r="AB234" s="210">
        <v>0</v>
      </c>
      <c r="AC234" s="125">
        <f t="shared" si="31"/>
        <v>0</v>
      </c>
      <c r="AD234" s="125">
        <f>IF(Valores!$C$29*B234&gt;Valores!$F$29,Valores!$F$29,Valores!$C$29*B234)</f>
        <v>113.52</v>
      </c>
      <c r="AE234" s="191">
        <v>94</v>
      </c>
      <c r="AF234" s="125">
        <f>ROUND(AE234*Valores!$C$2,2)</f>
        <v>3824.09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</f>
        <v>2593.2</v>
      </c>
      <c r="AH234" s="125">
        <f t="shared" si="34"/>
        <v>43152.84</v>
      </c>
      <c r="AI234" s="125">
        <f>IF(Valores!$C$32*B234&gt;Valores!$F$32,Valores!$F$32,Valores!$C$32*B234)</f>
        <v>0</v>
      </c>
      <c r="AJ234" s="125">
        <f>IF(Valores!$C$90*B234&gt;Valores!$C$89,Valores!$C$89,Valores!$C$90*B234)</f>
        <v>0</v>
      </c>
      <c r="AK234" s="125">
        <f>IF(Valores!C$39*B234&gt;Valores!F$38,Valores!F$38,Valores!C$39*B234)</f>
        <v>0</v>
      </c>
      <c r="AL234" s="125">
        <f>IF($F$3="NO",0,IF(Valores!$C$62*B234&gt;Valores!$F$62,Valores!$F$62,Valores!$C$62*B234))</f>
        <v>0</v>
      </c>
      <c r="AM234" s="125">
        <f t="shared" si="32"/>
        <v>0</v>
      </c>
      <c r="AN234" s="125">
        <f>AH234*Valores!$C$71</f>
        <v>-4746.8124</v>
      </c>
      <c r="AO234" s="125">
        <f>AH234*-Valores!$C$72</f>
        <v>0</v>
      </c>
      <c r="AP234" s="125">
        <f>AH234*Valores!$C$73</f>
        <v>-1941.8777999999998</v>
      </c>
      <c r="AQ234" s="125">
        <f>Valores!$C$100</f>
        <v>-554.86</v>
      </c>
      <c r="AR234" s="125">
        <f>IF($F$5=0,Valores!$C$101,(Valores!$C$101+$F$5*(Valores!$C$101)))</f>
        <v>-550</v>
      </c>
      <c r="AS234" s="125">
        <f t="shared" si="35"/>
        <v>35359.2898</v>
      </c>
      <c r="AT234" s="125">
        <f t="shared" si="29"/>
        <v>-4746.8124</v>
      </c>
      <c r="AU234" s="125">
        <f>AH234*Valores!$C$74</f>
        <v>-1165.1266799999999</v>
      </c>
      <c r="AV234" s="125">
        <f>AH234*Valores!$C$75</f>
        <v>-129.45852</v>
      </c>
      <c r="AW234" s="125">
        <f t="shared" si="33"/>
        <v>37111.4424</v>
      </c>
      <c r="AX234" s="126"/>
      <c r="AY234" s="126">
        <f t="shared" si="37"/>
        <v>4</v>
      </c>
      <c r="AZ234" s="123" t="s">
        <v>4</v>
      </c>
    </row>
    <row r="235" spans="1:52" s="110" customFormat="1" ht="11.25" customHeight="1">
      <c r="A235" s="123" t="s">
        <v>471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1">
        <f t="shared" si="38"/>
        <v>395</v>
      </c>
      <c r="F235" s="125">
        <f>ROUND(E235*Valores!$C$2,2)</f>
        <v>16069.31</v>
      </c>
      <c r="G235" s="191">
        <v>0</v>
      </c>
      <c r="H235" s="125">
        <f>ROUND(G235*Valores!$C$2,2)</f>
        <v>0</v>
      </c>
      <c r="I235" s="191">
        <v>0</v>
      </c>
      <c r="J235" s="125">
        <f>ROUND(I235*Valores!$C$2,2)</f>
        <v>0</v>
      </c>
      <c r="K235" s="191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3280.88</v>
      </c>
      <c r="N235" s="125">
        <f t="shared" si="30"/>
        <v>0</v>
      </c>
      <c r="O235" s="125">
        <f>Valores!$C$7*B235</f>
        <v>6898.200000000001</v>
      </c>
      <c r="P235" s="125">
        <f>ROUND(IF(B235&lt;15,(Valores!$E$5*B235),Valores!$D$5),2)</f>
        <v>6932.2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3633.6000000000004</v>
      </c>
      <c r="S235" s="125">
        <f>Valores!$C$18*B235</f>
        <v>2169.6</v>
      </c>
      <c r="T235" s="125">
        <f t="shared" si="36"/>
        <v>2169.6</v>
      </c>
      <c r="U235" s="125">
        <v>0</v>
      </c>
      <c r="V235" s="125">
        <v>0</v>
      </c>
      <c r="W235" s="191">
        <v>0</v>
      </c>
      <c r="X235" s="125">
        <f>ROUND(W235*Valores!$C$2,2)</f>
        <v>0</v>
      </c>
      <c r="Y235" s="125">
        <v>0</v>
      </c>
      <c r="Z235" s="125">
        <f>IF(Valores!$C$97*B235&gt;Valores!$C$96,Valores!$C$96,Valores!$C$97*B235)</f>
        <v>6623.35</v>
      </c>
      <c r="AA235" s="125">
        <f>IF((Valores!$C$28)*B235&gt;Valores!$F$28,Valores!$F$28,(Valores!$C$28)*B235)</f>
        <v>170.39999999999998</v>
      </c>
      <c r="AB235" s="210">
        <v>0</v>
      </c>
      <c r="AC235" s="125">
        <f t="shared" si="31"/>
        <v>0</v>
      </c>
      <c r="AD235" s="125">
        <f>IF(Valores!$C$29*B235&gt;Valores!$F$29,Valores!$F$29,Valores!$C$29*B235)</f>
        <v>141.9</v>
      </c>
      <c r="AE235" s="191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</f>
        <v>3241.5</v>
      </c>
      <c r="AH235" s="125">
        <f t="shared" si="34"/>
        <v>49160.939999999995</v>
      </c>
      <c r="AI235" s="125">
        <f>IF(Valores!$C$32*B235&gt;Valores!$F$32,Valores!$F$32,Valores!$C$32*B235)</f>
        <v>0</v>
      </c>
      <c r="AJ235" s="125">
        <f>IF(Valores!$C$90*B235&gt;Valores!$C$89,Valores!$C$89,Valores!$C$90*B235)</f>
        <v>0</v>
      </c>
      <c r="AK235" s="125">
        <f>IF(Valores!C$39*B235&gt;Valores!F$38,Valores!F$38,Valores!C$39*B235)</f>
        <v>0</v>
      </c>
      <c r="AL235" s="125">
        <f>IF($F$3="NO",0,IF(Valores!$C$62*B235&gt;Valores!$F$62,Valores!$F$62,Valores!$C$62*B235))</f>
        <v>0</v>
      </c>
      <c r="AM235" s="125">
        <f t="shared" si="32"/>
        <v>0</v>
      </c>
      <c r="AN235" s="125">
        <f>AH235*Valores!$C$71</f>
        <v>-5407.703399999999</v>
      </c>
      <c r="AO235" s="125">
        <f>AH235*-Valores!$C$72</f>
        <v>0</v>
      </c>
      <c r="AP235" s="125">
        <f>AH235*Valores!$C$73</f>
        <v>-2212.2423</v>
      </c>
      <c r="AQ235" s="125">
        <f>Valores!$C$100</f>
        <v>-554.86</v>
      </c>
      <c r="AR235" s="125">
        <f>IF($F$5=0,Valores!$C$101,(Valores!$C$101+$F$5*(Valores!$C$101)))</f>
        <v>-550</v>
      </c>
      <c r="AS235" s="125">
        <f t="shared" si="35"/>
        <v>40436.1343</v>
      </c>
      <c r="AT235" s="125">
        <f t="shared" si="29"/>
        <v>-5407.703399999999</v>
      </c>
      <c r="AU235" s="125">
        <f>AH235*Valores!$C$74</f>
        <v>-1327.3453799999997</v>
      </c>
      <c r="AV235" s="125">
        <f>AH235*Valores!$C$75</f>
        <v>-147.48281999999998</v>
      </c>
      <c r="AW235" s="125">
        <f t="shared" si="33"/>
        <v>42278.40839999999</v>
      </c>
      <c r="AX235" s="126"/>
      <c r="AY235" s="126">
        <f t="shared" si="37"/>
        <v>5</v>
      </c>
      <c r="AZ235" s="123" t="s">
        <v>4</v>
      </c>
    </row>
    <row r="236" spans="1:52" s="110" customFormat="1" ht="11.25" customHeight="1">
      <c r="A236" s="123" t="s">
        <v>471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1">
        <f t="shared" si="38"/>
        <v>395</v>
      </c>
      <c r="F236" s="125">
        <f>ROUND(E236*Valores!$C$2,2)</f>
        <v>16069.31</v>
      </c>
      <c r="G236" s="191">
        <v>0</v>
      </c>
      <c r="H236" s="125">
        <f>ROUND(G236*Valores!$C$2,2)</f>
        <v>0</v>
      </c>
      <c r="I236" s="191">
        <v>0</v>
      </c>
      <c r="J236" s="125">
        <f>ROUND(I236*Valores!$C$2,2)</f>
        <v>0</v>
      </c>
      <c r="K236" s="191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3280.88</v>
      </c>
      <c r="N236" s="125">
        <f t="shared" si="30"/>
        <v>0</v>
      </c>
      <c r="O236" s="125">
        <f>Valores!$C$7*B236</f>
        <v>6898.200000000001</v>
      </c>
      <c r="P236" s="125">
        <f>ROUND(IF(B236&lt;15,(Valores!$E$5*B236),Valores!$D$5),2)</f>
        <v>6932.2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3633.6000000000004</v>
      </c>
      <c r="S236" s="125">
        <f>Valores!$C$18*B236</f>
        <v>2169.6</v>
      </c>
      <c r="T236" s="125">
        <f t="shared" si="36"/>
        <v>2169.6</v>
      </c>
      <c r="U236" s="125">
        <v>0</v>
      </c>
      <c r="V236" s="125">
        <v>0</v>
      </c>
      <c r="W236" s="191">
        <v>0</v>
      </c>
      <c r="X236" s="125">
        <f>ROUND(W236*Valores!$C$2,2)</f>
        <v>0</v>
      </c>
      <c r="Y236" s="125">
        <v>0</v>
      </c>
      <c r="Z236" s="125">
        <f>IF(Valores!$C$97*B236&gt;Valores!$C$96,Valores!$C$96,Valores!$C$97*B236)</f>
        <v>6623.35</v>
      </c>
      <c r="AA236" s="125">
        <f>IF((Valores!$C$28)*B236&gt;Valores!$F$28,Valores!$F$28,(Valores!$C$28)*B236)</f>
        <v>170.39999999999998</v>
      </c>
      <c r="AB236" s="210">
        <v>0</v>
      </c>
      <c r="AC236" s="125">
        <f t="shared" si="31"/>
        <v>0</v>
      </c>
      <c r="AD236" s="125">
        <f>IF(Valores!$C$29*B236&gt;Valores!$F$29,Valores!$F$29,Valores!$C$29*B236)</f>
        <v>141.9</v>
      </c>
      <c r="AE236" s="191">
        <v>94</v>
      </c>
      <c r="AF236" s="125">
        <f>ROUND(AE236*Valores!$C$2,2)</f>
        <v>3824.09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</f>
        <v>3241.5</v>
      </c>
      <c r="AH236" s="125">
        <f t="shared" si="34"/>
        <v>52985.03</v>
      </c>
      <c r="AI236" s="125">
        <f>IF(Valores!$C$32*B236&gt;Valores!$F$32,Valores!$F$32,Valores!$C$32*B236)</f>
        <v>0</v>
      </c>
      <c r="AJ236" s="125">
        <f>IF(Valores!$C$90*B236&gt;Valores!$C$89,Valores!$C$89,Valores!$C$90*B236)</f>
        <v>0</v>
      </c>
      <c r="AK236" s="125">
        <f>IF(Valores!C$39*B236&gt;Valores!F$38,Valores!F$38,Valores!C$39*B236)</f>
        <v>0</v>
      </c>
      <c r="AL236" s="125">
        <f>IF($F$3="NO",0,IF(Valores!$C$62*B236&gt;Valores!$F$62,Valores!$F$62,Valores!$C$62*B236))</f>
        <v>0</v>
      </c>
      <c r="AM236" s="125">
        <f t="shared" si="32"/>
        <v>0</v>
      </c>
      <c r="AN236" s="125">
        <f>AH236*Valores!$C$71</f>
        <v>-5828.3533</v>
      </c>
      <c r="AO236" s="125">
        <f>AH236*-Valores!$C$72</f>
        <v>0</v>
      </c>
      <c r="AP236" s="125">
        <f>AH236*Valores!$C$73</f>
        <v>-2384.32635</v>
      </c>
      <c r="AQ236" s="125">
        <f>Valores!$C$100</f>
        <v>-554.86</v>
      </c>
      <c r="AR236" s="125">
        <f>IF($F$5=0,Valores!$C$101,(Valores!$C$101+$F$5*(Valores!$C$101)))</f>
        <v>-550</v>
      </c>
      <c r="AS236" s="125">
        <f t="shared" si="35"/>
        <v>43667.49035</v>
      </c>
      <c r="AT236" s="125">
        <f t="shared" si="29"/>
        <v>-5828.3533</v>
      </c>
      <c r="AU236" s="125">
        <f>AH236*Valores!$C$74</f>
        <v>-1430.59581</v>
      </c>
      <c r="AV236" s="125">
        <f>AH236*Valores!$C$75</f>
        <v>-158.95509</v>
      </c>
      <c r="AW236" s="125">
        <f t="shared" si="33"/>
        <v>45567.1258</v>
      </c>
      <c r="AX236" s="126"/>
      <c r="AY236" s="126">
        <f t="shared" si="37"/>
        <v>5</v>
      </c>
      <c r="AZ236" s="123" t="s">
        <v>4</v>
      </c>
    </row>
    <row r="237" spans="1:52" s="110" customFormat="1" ht="11.25" customHeight="1">
      <c r="A237" s="123" t="s">
        <v>471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1">
        <f t="shared" si="38"/>
        <v>474</v>
      </c>
      <c r="F237" s="125">
        <f>ROUND(E237*Valores!$C$2,2)</f>
        <v>19283.17</v>
      </c>
      <c r="G237" s="191">
        <v>0</v>
      </c>
      <c r="H237" s="125">
        <f>ROUND(G237*Valores!$C$2,2)</f>
        <v>0</v>
      </c>
      <c r="I237" s="191">
        <v>0</v>
      </c>
      <c r="J237" s="125">
        <f>ROUND(I237*Valores!$C$2,2)</f>
        <v>0</v>
      </c>
      <c r="K237" s="191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3937.05</v>
      </c>
      <c r="N237" s="125">
        <f t="shared" si="30"/>
        <v>0</v>
      </c>
      <c r="O237" s="125">
        <f>Valores!$C$7*B237</f>
        <v>8277.84</v>
      </c>
      <c r="P237" s="125">
        <f>ROUND(IF(B237&lt;15,(Valores!$E$5*B237),Valores!$D$5),2)</f>
        <v>8318.64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4360.32</v>
      </c>
      <c r="S237" s="125">
        <f>Valores!$C$18*B237</f>
        <v>2603.52</v>
      </c>
      <c r="T237" s="125">
        <f t="shared" si="36"/>
        <v>2603.52</v>
      </c>
      <c r="U237" s="125">
        <v>0</v>
      </c>
      <c r="V237" s="125">
        <v>0</v>
      </c>
      <c r="W237" s="191">
        <v>0</v>
      </c>
      <c r="X237" s="125">
        <f>ROUND(W237*Valores!$C$2,2)</f>
        <v>0</v>
      </c>
      <c r="Y237" s="125">
        <v>0</v>
      </c>
      <c r="Z237" s="125">
        <f>IF(Valores!$C$97*B237&gt;Valores!$C$96,Valores!$C$96,Valores!$C$97*B237)</f>
        <v>7948.02</v>
      </c>
      <c r="AA237" s="125">
        <f>IF((Valores!$C$28)*B237&gt;Valores!$F$28,Valores!$F$28,(Valores!$C$28)*B237)</f>
        <v>204.48</v>
      </c>
      <c r="AB237" s="210">
        <v>0</v>
      </c>
      <c r="AC237" s="125">
        <f t="shared" si="31"/>
        <v>0</v>
      </c>
      <c r="AD237" s="125">
        <f>IF(Valores!$C$29*B237&gt;Valores!$F$29,Valores!$F$29,Valores!$C$29*B237)</f>
        <v>170.28</v>
      </c>
      <c r="AE237" s="191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</f>
        <v>3889.7999999999997</v>
      </c>
      <c r="AH237" s="125">
        <f t="shared" si="34"/>
        <v>58993.12</v>
      </c>
      <c r="AI237" s="125">
        <f>IF(Valores!$C$32*B237&gt;Valores!$F$32,Valores!$F$32,Valores!$C$32*B237)</f>
        <v>0</v>
      </c>
      <c r="AJ237" s="125">
        <f>IF(Valores!$C$90*B237&gt;Valores!$C$89,Valores!$C$89,Valores!$C$90*B237)</f>
        <v>0</v>
      </c>
      <c r="AK237" s="125">
        <f>IF(Valores!C$39*B237&gt;Valores!F$38,Valores!F$38,Valores!C$39*B237)</f>
        <v>0</v>
      </c>
      <c r="AL237" s="125">
        <f>IF($F$3="NO",0,IF(Valores!$C$62*B237&gt;Valores!$F$62,Valores!$F$62,Valores!$C$62*B237))</f>
        <v>0</v>
      </c>
      <c r="AM237" s="125">
        <f t="shared" si="32"/>
        <v>0</v>
      </c>
      <c r="AN237" s="125">
        <f>AH237*Valores!$C$71</f>
        <v>-6489.2432</v>
      </c>
      <c r="AO237" s="125">
        <f>AH237*-Valores!$C$72</f>
        <v>0</v>
      </c>
      <c r="AP237" s="125">
        <f>AH237*Valores!$C$73</f>
        <v>-2654.6904</v>
      </c>
      <c r="AQ237" s="125">
        <f>Valores!$C$100</f>
        <v>-554.86</v>
      </c>
      <c r="AR237" s="125">
        <f>IF($F$5=0,Valores!$C$101,(Valores!$C$101+$F$5*(Valores!$C$101)))</f>
        <v>-550</v>
      </c>
      <c r="AS237" s="125">
        <f t="shared" si="35"/>
        <v>48744.326400000005</v>
      </c>
      <c r="AT237" s="125">
        <f t="shared" si="29"/>
        <v>-6489.2432</v>
      </c>
      <c r="AU237" s="125">
        <f>AH237*Valores!$C$74</f>
        <v>-1592.8142400000002</v>
      </c>
      <c r="AV237" s="125">
        <f>AH237*Valores!$C$75</f>
        <v>-176.97936</v>
      </c>
      <c r="AW237" s="125">
        <f t="shared" si="33"/>
        <v>50734.0832</v>
      </c>
      <c r="AX237" s="126"/>
      <c r="AY237" s="126">
        <f t="shared" si="37"/>
        <v>6</v>
      </c>
      <c r="AZ237" s="123" t="s">
        <v>4</v>
      </c>
    </row>
    <row r="238" spans="1:52" s="110" customFormat="1" ht="11.25" customHeight="1">
      <c r="A238" s="123" t="s">
        <v>471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1">
        <f t="shared" si="38"/>
        <v>474</v>
      </c>
      <c r="F238" s="125">
        <f>ROUND(E238*Valores!$C$2,2)</f>
        <v>19283.17</v>
      </c>
      <c r="G238" s="191">
        <v>0</v>
      </c>
      <c r="H238" s="125">
        <f>ROUND(G238*Valores!$C$2,2)</f>
        <v>0</v>
      </c>
      <c r="I238" s="191">
        <v>0</v>
      </c>
      <c r="J238" s="125">
        <f>ROUND(I238*Valores!$C$2,2)</f>
        <v>0</v>
      </c>
      <c r="K238" s="191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3937.05</v>
      </c>
      <c r="N238" s="125">
        <f t="shared" si="30"/>
        <v>0</v>
      </c>
      <c r="O238" s="125">
        <f>Valores!$C$7*B238</f>
        <v>8277.84</v>
      </c>
      <c r="P238" s="125">
        <f>ROUND(IF(B238&lt;15,(Valores!$E$5*B238),Valores!$D$5),2)</f>
        <v>8318.64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4360.32</v>
      </c>
      <c r="S238" s="125">
        <f>Valores!$C$18*B238</f>
        <v>2603.52</v>
      </c>
      <c r="T238" s="125">
        <f t="shared" si="36"/>
        <v>2603.52</v>
      </c>
      <c r="U238" s="125">
        <v>0</v>
      </c>
      <c r="V238" s="125">
        <v>0</v>
      </c>
      <c r="W238" s="191">
        <v>0</v>
      </c>
      <c r="X238" s="125">
        <f>ROUND(W238*Valores!$C$2,2)</f>
        <v>0</v>
      </c>
      <c r="Y238" s="125">
        <v>0</v>
      </c>
      <c r="Z238" s="125">
        <f>IF(Valores!$C$97*B238&gt;Valores!$C$96,Valores!$C$96,Valores!$C$97*B238)</f>
        <v>7948.02</v>
      </c>
      <c r="AA238" s="125">
        <f>IF((Valores!$C$28)*B238&gt;Valores!$F$28,Valores!$F$28,(Valores!$C$28)*B238)</f>
        <v>204.48</v>
      </c>
      <c r="AB238" s="210">
        <v>0</v>
      </c>
      <c r="AC238" s="125">
        <f t="shared" si="31"/>
        <v>0</v>
      </c>
      <c r="AD238" s="125">
        <f>IF(Valores!$C$29*B238&gt;Valores!$F$29,Valores!$F$29,Valores!$C$29*B238)</f>
        <v>170.28</v>
      </c>
      <c r="AE238" s="191">
        <v>94</v>
      </c>
      <c r="AF238" s="125">
        <f>ROUND(AE238*Valores!$C$2,2)</f>
        <v>3824.09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</f>
        <v>3889.7999999999997</v>
      </c>
      <c r="AH238" s="125">
        <f t="shared" si="34"/>
        <v>62817.21000000001</v>
      </c>
      <c r="AI238" s="125">
        <f>IF(Valores!$C$32*B238&gt;Valores!$F$32,Valores!$F$32,Valores!$C$32*B238)</f>
        <v>0</v>
      </c>
      <c r="AJ238" s="125">
        <f>IF(Valores!$C$90*B238&gt;Valores!$C$89,Valores!$C$89,Valores!$C$90*B238)</f>
        <v>0</v>
      </c>
      <c r="AK238" s="125">
        <f>IF(Valores!C$39*B238&gt;Valores!F$38,Valores!F$38,Valores!C$39*B238)</f>
        <v>0</v>
      </c>
      <c r="AL238" s="125">
        <f>IF($F$3="NO",0,IF(Valores!$C$62*B238&gt;Valores!$F$62,Valores!$F$62,Valores!$C$62*B238))</f>
        <v>0</v>
      </c>
      <c r="AM238" s="125">
        <f t="shared" si="32"/>
        <v>0</v>
      </c>
      <c r="AN238" s="125">
        <f>AH238*Valores!$C$71</f>
        <v>-6909.893100000001</v>
      </c>
      <c r="AO238" s="125">
        <f>AH238*-Valores!$C$72</f>
        <v>0</v>
      </c>
      <c r="AP238" s="125">
        <f>AH238*Valores!$C$73</f>
        <v>-2826.7744500000003</v>
      </c>
      <c r="AQ238" s="125">
        <f>Valores!$C$100</f>
        <v>-554.86</v>
      </c>
      <c r="AR238" s="125">
        <f>IF($F$5=0,Valores!$C$101,(Valores!$C$101+$F$5*(Valores!$C$101)))</f>
        <v>-550</v>
      </c>
      <c r="AS238" s="125">
        <f t="shared" si="35"/>
        <v>51975.68245000001</v>
      </c>
      <c r="AT238" s="125">
        <f t="shared" si="29"/>
        <v>-6909.893100000001</v>
      </c>
      <c r="AU238" s="125">
        <f>AH238*Valores!$C$74</f>
        <v>-1696.0646700000002</v>
      </c>
      <c r="AV238" s="125">
        <f>AH238*Valores!$C$75</f>
        <v>-188.45163000000002</v>
      </c>
      <c r="AW238" s="125">
        <f t="shared" si="33"/>
        <v>54022.8006</v>
      </c>
      <c r="AX238" s="126"/>
      <c r="AY238" s="126">
        <f t="shared" si="37"/>
        <v>6</v>
      </c>
      <c r="AZ238" s="123" t="s">
        <v>4</v>
      </c>
    </row>
    <row r="239" spans="1:52" s="110" customFormat="1" ht="11.25" customHeight="1">
      <c r="A239" s="123" t="s">
        <v>471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1">
        <f t="shared" si="38"/>
        <v>553</v>
      </c>
      <c r="F239" s="125">
        <f>ROUND(E239*Valores!$C$2,2)</f>
        <v>22497.04</v>
      </c>
      <c r="G239" s="191">
        <v>0</v>
      </c>
      <c r="H239" s="125">
        <f>ROUND(G239*Valores!$C$2,2)</f>
        <v>0</v>
      </c>
      <c r="I239" s="191">
        <v>0</v>
      </c>
      <c r="J239" s="125">
        <f>ROUND(I239*Valores!$C$2,2)</f>
        <v>0</v>
      </c>
      <c r="K239" s="191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4593.23</v>
      </c>
      <c r="N239" s="125">
        <f t="shared" si="30"/>
        <v>0</v>
      </c>
      <c r="O239" s="125">
        <f>Valores!$C$7*B239</f>
        <v>9657.480000000001</v>
      </c>
      <c r="P239" s="125">
        <f>ROUND(IF(B239&lt;15,(Valores!$E$5*B239),Valores!$D$5),2)</f>
        <v>9705.08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5087.04</v>
      </c>
      <c r="S239" s="125">
        <f>Valores!$C$18*B239</f>
        <v>3037.44</v>
      </c>
      <c r="T239" s="125">
        <f t="shared" si="36"/>
        <v>3037.44</v>
      </c>
      <c r="U239" s="125">
        <v>0</v>
      </c>
      <c r="V239" s="125">
        <v>0</v>
      </c>
      <c r="W239" s="191">
        <v>0</v>
      </c>
      <c r="X239" s="125">
        <f>ROUND(W239*Valores!$C$2,2)</f>
        <v>0</v>
      </c>
      <c r="Y239" s="125">
        <v>0</v>
      </c>
      <c r="Z239" s="125">
        <f>IF(Valores!$C$97*B239&gt;Valores!$C$96,Valores!$C$96,Valores!$C$97*B239)</f>
        <v>9272.69</v>
      </c>
      <c r="AA239" s="125">
        <f>IF((Valores!$C$28)*B239&gt;Valores!$F$28,Valores!$F$28,(Valores!$C$28)*B239)</f>
        <v>238.56</v>
      </c>
      <c r="AB239" s="210">
        <v>0</v>
      </c>
      <c r="AC239" s="125">
        <f t="shared" si="31"/>
        <v>0</v>
      </c>
      <c r="AD239" s="125">
        <f>IF(Valores!$C$29*B239&gt;Valores!$F$29,Valores!$F$29,Valores!$C$29*B239)</f>
        <v>198.66</v>
      </c>
      <c r="AE239" s="191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</f>
        <v>4538.099999999999</v>
      </c>
      <c r="AH239" s="125">
        <f t="shared" si="34"/>
        <v>68825.32</v>
      </c>
      <c r="AI239" s="125">
        <f>IF(Valores!$C$32*B239&gt;Valores!$F$32,Valores!$F$32,Valores!$C$32*B239)</f>
        <v>0</v>
      </c>
      <c r="AJ239" s="125">
        <f>IF(Valores!$C$90*B239&gt;Valores!$C$89,Valores!$C$89,Valores!$C$90*B239)</f>
        <v>0</v>
      </c>
      <c r="AK239" s="125">
        <f>IF(Valores!C$39*B239&gt;Valores!F$38,Valores!F$38,Valores!C$39*B239)</f>
        <v>0</v>
      </c>
      <c r="AL239" s="125">
        <f>IF($F$3="NO",0,IF(Valores!$C$62*B239&gt;Valores!$F$62,Valores!$F$62,Valores!$C$62*B239))</f>
        <v>0</v>
      </c>
      <c r="AM239" s="125">
        <f t="shared" si="32"/>
        <v>0</v>
      </c>
      <c r="AN239" s="125">
        <f>AH239*Valores!$C$71</f>
        <v>-7570.785200000001</v>
      </c>
      <c r="AO239" s="125">
        <f>AH239*-Valores!$C$72</f>
        <v>0</v>
      </c>
      <c r="AP239" s="125">
        <f>AH239*Valores!$C$73</f>
        <v>-3097.1394</v>
      </c>
      <c r="AQ239" s="125">
        <f>Valores!$C$100</f>
        <v>-554.86</v>
      </c>
      <c r="AR239" s="125">
        <f>IF($F$5=0,Valores!$C$101,(Valores!$C$101+$F$5*(Valores!$C$101)))</f>
        <v>-550</v>
      </c>
      <c r="AS239" s="125">
        <f t="shared" si="35"/>
        <v>57052.53540000001</v>
      </c>
      <c r="AT239" s="125">
        <f t="shared" si="29"/>
        <v>-7570.785200000001</v>
      </c>
      <c r="AU239" s="125">
        <f>AH239*Valores!$C$74</f>
        <v>-1858.28364</v>
      </c>
      <c r="AV239" s="125">
        <f>AH239*Valores!$C$75</f>
        <v>-206.47596000000001</v>
      </c>
      <c r="AW239" s="125">
        <f t="shared" si="33"/>
        <v>59189.775200000004</v>
      </c>
      <c r="AX239" s="126"/>
      <c r="AY239" s="126">
        <f t="shared" si="37"/>
        <v>7</v>
      </c>
      <c r="AZ239" s="123" t="s">
        <v>4</v>
      </c>
    </row>
    <row r="240" spans="1:52" s="110" customFormat="1" ht="11.25" customHeight="1">
      <c r="A240" s="123" t="s">
        <v>471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1">
        <f t="shared" si="38"/>
        <v>553</v>
      </c>
      <c r="F240" s="125">
        <f>ROUND(E240*Valores!$C$2,2)</f>
        <v>22497.04</v>
      </c>
      <c r="G240" s="191">
        <v>0</v>
      </c>
      <c r="H240" s="125">
        <f>ROUND(G240*Valores!$C$2,2)</f>
        <v>0</v>
      </c>
      <c r="I240" s="191">
        <v>0</v>
      </c>
      <c r="J240" s="125">
        <f>ROUND(I240*Valores!$C$2,2)</f>
        <v>0</v>
      </c>
      <c r="K240" s="191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4593.23</v>
      </c>
      <c r="N240" s="125">
        <f t="shared" si="30"/>
        <v>0</v>
      </c>
      <c r="O240" s="125">
        <f>Valores!$C$7*B240</f>
        <v>9657.480000000001</v>
      </c>
      <c r="P240" s="125">
        <f>ROUND(IF(B240&lt;15,(Valores!$E$5*B240),Valores!$D$5),2)</f>
        <v>9705.08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5087.04</v>
      </c>
      <c r="S240" s="125">
        <f>Valores!$C$18*B240</f>
        <v>3037.44</v>
      </c>
      <c r="T240" s="125">
        <f t="shared" si="36"/>
        <v>3037.44</v>
      </c>
      <c r="U240" s="125">
        <v>0</v>
      </c>
      <c r="V240" s="125">
        <v>0</v>
      </c>
      <c r="W240" s="191">
        <v>0</v>
      </c>
      <c r="X240" s="125">
        <f>ROUND(W240*Valores!$C$2,2)</f>
        <v>0</v>
      </c>
      <c r="Y240" s="125">
        <v>0</v>
      </c>
      <c r="Z240" s="125">
        <f>IF(Valores!$C$97*B240&gt;Valores!$C$96,Valores!$C$96,Valores!$C$97*B240)</f>
        <v>9272.69</v>
      </c>
      <c r="AA240" s="125">
        <f>IF((Valores!$C$28)*B240&gt;Valores!$F$28,Valores!$F$28,(Valores!$C$28)*B240)</f>
        <v>238.56</v>
      </c>
      <c r="AB240" s="210">
        <v>0</v>
      </c>
      <c r="AC240" s="125">
        <f t="shared" si="31"/>
        <v>0</v>
      </c>
      <c r="AD240" s="125">
        <f>IF(Valores!$C$29*B240&gt;Valores!$F$29,Valores!$F$29,Valores!$C$29*B240)</f>
        <v>198.66</v>
      </c>
      <c r="AE240" s="191">
        <v>94</v>
      </c>
      <c r="AF240" s="125">
        <f>ROUND(AE240*Valores!$C$2,2)</f>
        <v>3824.09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</f>
        <v>4538.099999999999</v>
      </c>
      <c r="AH240" s="125">
        <f t="shared" si="34"/>
        <v>72649.41000000002</v>
      </c>
      <c r="AI240" s="125">
        <f>IF(Valores!$C$32*B240&gt;Valores!$F$32,Valores!$F$32,Valores!$C$32*B240)</f>
        <v>0</v>
      </c>
      <c r="AJ240" s="125">
        <f>IF(Valores!$C$90*B240&gt;Valores!$C$89,Valores!$C$89,Valores!$C$90*B240)</f>
        <v>0</v>
      </c>
      <c r="AK240" s="125">
        <f>IF(Valores!C$39*B240&gt;Valores!F$38,Valores!F$38,Valores!C$39*B240)</f>
        <v>0</v>
      </c>
      <c r="AL240" s="125">
        <f>IF($F$3="NO",0,IF(Valores!$C$62*B240&gt;Valores!$F$62,Valores!$F$62,Valores!$C$62*B240))</f>
        <v>0</v>
      </c>
      <c r="AM240" s="125">
        <f t="shared" si="32"/>
        <v>0</v>
      </c>
      <c r="AN240" s="125">
        <f>AH240*Valores!$C$71</f>
        <v>-7991.435100000002</v>
      </c>
      <c r="AO240" s="125">
        <f>AH240*-Valores!$C$72</f>
        <v>0</v>
      </c>
      <c r="AP240" s="125">
        <f>AH240*Valores!$C$73</f>
        <v>-3269.223450000001</v>
      </c>
      <c r="AQ240" s="125">
        <f>Valores!$C$100</f>
        <v>-554.86</v>
      </c>
      <c r="AR240" s="125">
        <f>IF($F$5=0,Valores!$C$101,(Valores!$C$101+$F$5*(Valores!$C$101)))</f>
        <v>-550</v>
      </c>
      <c r="AS240" s="125">
        <f t="shared" si="35"/>
        <v>60283.89145000001</v>
      </c>
      <c r="AT240" s="125">
        <f t="shared" si="29"/>
        <v>-7991.435100000002</v>
      </c>
      <c r="AU240" s="125">
        <f>AH240*Valores!$C$74</f>
        <v>-1961.5340700000004</v>
      </c>
      <c r="AV240" s="125">
        <f>AH240*Valores!$C$75</f>
        <v>-217.94823000000005</v>
      </c>
      <c r="AW240" s="125">
        <f t="shared" si="33"/>
        <v>62478.49260000001</v>
      </c>
      <c r="AX240" s="126"/>
      <c r="AY240" s="126">
        <f t="shared" si="37"/>
        <v>7</v>
      </c>
      <c r="AZ240" s="123" t="s">
        <v>4</v>
      </c>
    </row>
    <row r="241" spans="1:52" s="110" customFormat="1" ht="11.25" customHeight="1">
      <c r="A241" s="123" t="s">
        <v>471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1">
        <f t="shared" si="38"/>
        <v>632</v>
      </c>
      <c r="F241" s="125">
        <f>ROUND(E241*Valores!$C$2,2)</f>
        <v>25710.9</v>
      </c>
      <c r="G241" s="191">
        <v>0</v>
      </c>
      <c r="H241" s="125">
        <f>ROUND(G241*Valores!$C$2,2)</f>
        <v>0</v>
      </c>
      <c r="I241" s="191">
        <v>0</v>
      </c>
      <c r="J241" s="125">
        <f>ROUND(I241*Valores!$C$2,2)</f>
        <v>0</v>
      </c>
      <c r="K241" s="191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5249.4</v>
      </c>
      <c r="N241" s="125">
        <f t="shared" si="30"/>
        <v>0</v>
      </c>
      <c r="O241" s="125">
        <f>Valores!$C$7*B241</f>
        <v>11037.12</v>
      </c>
      <c r="P241" s="125">
        <f>ROUND(IF(B241&lt;15,(Valores!$E$5*B241),Valores!$D$5),2)</f>
        <v>11091.52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5813.76</v>
      </c>
      <c r="S241" s="125">
        <f>Valores!$C$18*B241</f>
        <v>3471.36</v>
      </c>
      <c r="T241" s="125">
        <f t="shared" si="36"/>
        <v>3471.36</v>
      </c>
      <c r="U241" s="125">
        <v>0</v>
      </c>
      <c r="V241" s="125">
        <v>0</v>
      </c>
      <c r="W241" s="191">
        <v>0</v>
      </c>
      <c r="X241" s="125">
        <f>ROUND(W241*Valores!$C$2,2)</f>
        <v>0</v>
      </c>
      <c r="Y241" s="125">
        <v>0</v>
      </c>
      <c r="Z241" s="125">
        <f>IF(Valores!$C$97*B241&gt;Valores!$C$96,Valores!$C$96,Valores!$C$97*B241)</f>
        <v>10597.36</v>
      </c>
      <c r="AA241" s="125">
        <f>IF((Valores!$C$28)*B241&gt;Valores!$F$28,Valores!$F$28,(Valores!$C$28)*B241)</f>
        <v>272.64</v>
      </c>
      <c r="AB241" s="210">
        <v>0</v>
      </c>
      <c r="AC241" s="125">
        <f t="shared" si="31"/>
        <v>0</v>
      </c>
      <c r="AD241" s="125">
        <f>IF(Valores!$C$29*B241&gt;Valores!$F$29,Valores!$F$29,Valores!$C$29*B241)</f>
        <v>227.04</v>
      </c>
      <c r="AE241" s="191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</f>
        <v>5186.4</v>
      </c>
      <c r="AH241" s="125">
        <f t="shared" si="34"/>
        <v>78657.5</v>
      </c>
      <c r="AI241" s="125">
        <f>IF(Valores!$C$32*B241&gt;Valores!$F$32,Valores!$F$32,Valores!$C$32*B241)</f>
        <v>0</v>
      </c>
      <c r="AJ241" s="125">
        <f>IF(Valores!$C$90*B241&gt;Valores!$C$89,Valores!$C$89,Valores!$C$90*B241)</f>
        <v>0</v>
      </c>
      <c r="AK241" s="125">
        <f>IF(Valores!C$39*B241&gt;Valores!F$38,Valores!F$38,Valores!C$39*B241)</f>
        <v>0</v>
      </c>
      <c r="AL241" s="125">
        <f>IF($F$3="NO",0,IF(Valores!$C$62*B241&gt;Valores!$F$62,Valores!$F$62,Valores!$C$62*B241))</f>
        <v>0</v>
      </c>
      <c r="AM241" s="125">
        <f t="shared" si="32"/>
        <v>0</v>
      </c>
      <c r="AN241" s="125">
        <f>AH241*Valores!$C$71</f>
        <v>-8652.325</v>
      </c>
      <c r="AO241" s="125">
        <f>AH241*-Valores!$C$72</f>
        <v>0</v>
      </c>
      <c r="AP241" s="125">
        <f>AH241*Valores!$C$73</f>
        <v>-3539.5875</v>
      </c>
      <c r="AQ241" s="125">
        <f>Valores!$C$100</f>
        <v>-554.86</v>
      </c>
      <c r="AR241" s="125">
        <f>IF($F$5=0,Valores!$C$101,(Valores!$C$101+$F$5*(Valores!$C$101)))</f>
        <v>-550</v>
      </c>
      <c r="AS241" s="125">
        <f t="shared" si="35"/>
        <v>65360.7275</v>
      </c>
      <c r="AT241" s="125">
        <f t="shared" si="29"/>
        <v>-8652.325</v>
      </c>
      <c r="AU241" s="125">
        <f>AH241*Valores!$C$74</f>
        <v>-2123.7525</v>
      </c>
      <c r="AV241" s="125">
        <f>AH241*Valores!$C$75</f>
        <v>-235.9725</v>
      </c>
      <c r="AW241" s="125">
        <f t="shared" si="33"/>
        <v>67645.45</v>
      </c>
      <c r="AX241" s="126"/>
      <c r="AY241" s="126">
        <f t="shared" si="37"/>
        <v>8</v>
      </c>
      <c r="AZ241" s="123" t="s">
        <v>4</v>
      </c>
    </row>
    <row r="242" spans="1:52" s="110" customFormat="1" ht="11.25" customHeight="1">
      <c r="A242" s="123" t="s">
        <v>471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1">
        <f t="shared" si="38"/>
        <v>632</v>
      </c>
      <c r="F242" s="125">
        <f>ROUND(E242*Valores!$C$2,2)</f>
        <v>25710.9</v>
      </c>
      <c r="G242" s="191">
        <v>0</v>
      </c>
      <c r="H242" s="125">
        <f>ROUND(G242*Valores!$C$2,2)</f>
        <v>0</v>
      </c>
      <c r="I242" s="191">
        <v>0</v>
      </c>
      <c r="J242" s="125">
        <f>ROUND(I242*Valores!$C$2,2)</f>
        <v>0</v>
      </c>
      <c r="K242" s="191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5249.4</v>
      </c>
      <c r="N242" s="125">
        <f t="shared" si="30"/>
        <v>0</v>
      </c>
      <c r="O242" s="125">
        <f>Valores!$C$7*B242</f>
        <v>11037.12</v>
      </c>
      <c r="P242" s="125">
        <f>ROUND(IF(B242&lt;15,(Valores!$E$5*B242),Valores!$D$5),2)</f>
        <v>11091.52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5813.76</v>
      </c>
      <c r="S242" s="125">
        <f>Valores!$C$18*B242</f>
        <v>3471.36</v>
      </c>
      <c r="T242" s="125">
        <f t="shared" si="36"/>
        <v>3471.36</v>
      </c>
      <c r="U242" s="125">
        <v>0</v>
      </c>
      <c r="V242" s="125">
        <v>0</v>
      </c>
      <c r="W242" s="191">
        <v>0</v>
      </c>
      <c r="X242" s="125">
        <f>ROUND(W242*Valores!$C$2,2)</f>
        <v>0</v>
      </c>
      <c r="Y242" s="125">
        <v>0</v>
      </c>
      <c r="Z242" s="125">
        <f>IF(Valores!$C$97*B242&gt;Valores!$C$96,Valores!$C$96,Valores!$C$97*B242)</f>
        <v>10597.36</v>
      </c>
      <c r="AA242" s="125">
        <f>IF((Valores!$C$28)*B242&gt;Valores!$F$28,Valores!$F$28,(Valores!$C$28)*B242)</f>
        <v>272.64</v>
      </c>
      <c r="AB242" s="210">
        <v>0</v>
      </c>
      <c r="AC242" s="125">
        <f t="shared" si="31"/>
        <v>0</v>
      </c>
      <c r="AD242" s="125">
        <f>IF(Valores!$C$29*B242&gt;Valores!$F$29,Valores!$F$29,Valores!$C$29*B242)</f>
        <v>227.04</v>
      </c>
      <c r="AE242" s="191">
        <v>94</v>
      </c>
      <c r="AF242" s="125">
        <f>ROUND(AE242*Valores!$C$2,2)</f>
        <v>3824.09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</f>
        <v>5186.4</v>
      </c>
      <c r="AH242" s="125">
        <f t="shared" si="34"/>
        <v>82481.59</v>
      </c>
      <c r="AI242" s="125">
        <f>IF(Valores!$C$32*B242&gt;Valores!$F$32,Valores!$F$32,Valores!$C$32*B242)</f>
        <v>0</v>
      </c>
      <c r="AJ242" s="125">
        <f>IF(Valores!$C$90*B242&gt;Valores!$C$89,Valores!$C$89,Valores!$C$90*B242)</f>
        <v>0</v>
      </c>
      <c r="AK242" s="125">
        <f>IF(Valores!C$39*B242&gt;Valores!F$38,Valores!F$38,Valores!C$39*B242)</f>
        <v>0</v>
      </c>
      <c r="AL242" s="125">
        <f>IF($F$3="NO",0,IF(Valores!$C$62*B242&gt;Valores!$F$62,Valores!$F$62,Valores!$C$62*B242))</f>
        <v>0</v>
      </c>
      <c r="AM242" s="125">
        <f t="shared" si="32"/>
        <v>0</v>
      </c>
      <c r="AN242" s="125">
        <f>AH242*Valores!$C$71</f>
        <v>-9072.9749</v>
      </c>
      <c r="AO242" s="125">
        <f>AH242*-Valores!$C$72</f>
        <v>0</v>
      </c>
      <c r="AP242" s="125">
        <f>AH242*Valores!$C$73</f>
        <v>-3711.6715499999996</v>
      </c>
      <c r="AQ242" s="125">
        <f>Valores!$C$100</f>
        <v>-554.86</v>
      </c>
      <c r="AR242" s="125">
        <f>IF($F$5=0,Valores!$C$101,(Valores!$C$101+$F$5*(Valores!$C$101)))</f>
        <v>-550</v>
      </c>
      <c r="AS242" s="125">
        <f t="shared" si="35"/>
        <v>68592.08355</v>
      </c>
      <c r="AT242" s="125">
        <f t="shared" si="29"/>
        <v>-9072.9749</v>
      </c>
      <c r="AU242" s="125">
        <f>AH242*Valores!$C$74</f>
        <v>-2227.00293</v>
      </c>
      <c r="AV242" s="125">
        <f>AH242*Valores!$C$75</f>
        <v>-247.44477</v>
      </c>
      <c r="AW242" s="125">
        <f t="shared" si="33"/>
        <v>70934.16739999999</v>
      </c>
      <c r="AX242" s="126"/>
      <c r="AY242" s="126">
        <f t="shared" si="37"/>
        <v>8</v>
      </c>
      <c r="AZ242" s="123" t="s">
        <v>4</v>
      </c>
    </row>
    <row r="243" spans="1:52" s="110" customFormat="1" ht="11.25" customHeight="1">
      <c r="A243" s="123" t="s">
        <v>471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1">
        <f t="shared" si="38"/>
        <v>711</v>
      </c>
      <c r="F243" s="125">
        <f>ROUND(E243*Valores!$C$2,2)</f>
        <v>28924.76</v>
      </c>
      <c r="G243" s="191">
        <v>0</v>
      </c>
      <c r="H243" s="125">
        <f>ROUND(G243*Valores!$C$2,2)</f>
        <v>0</v>
      </c>
      <c r="I243" s="191">
        <v>0</v>
      </c>
      <c r="J243" s="125">
        <f>ROUND(I243*Valores!$C$2,2)</f>
        <v>0</v>
      </c>
      <c r="K243" s="191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5905.58</v>
      </c>
      <c r="N243" s="125">
        <f t="shared" si="30"/>
        <v>0</v>
      </c>
      <c r="O243" s="125">
        <f>Valores!$C$7*B243</f>
        <v>12416.76</v>
      </c>
      <c r="P243" s="125">
        <f>ROUND(IF(B243&lt;15,(Valores!$E$5*B243),Valores!$D$5),2)</f>
        <v>12477.96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6540.4800000000005</v>
      </c>
      <c r="S243" s="125">
        <f>Valores!$C$18*B243</f>
        <v>3905.28</v>
      </c>
      <c r="T243" s="125">
        <f t="shared" si="36"/>
        <v>3905.28</v>
      </c>
      <c r="U243" s="125">
        <v>0</v>
      </c>
      <c r="V243" s="125">
        <v>0</v>
      </c>
      <c r="W243" s="191">
        <v>0</v>
      </c>
      <c r="X243" s="125">
        <f>ROUND(W243*Valores!$C$2,2)</f>
        <v>0</v>
      </c>
      <c r="Y243" s="125">
        <v>0</v>
      </c>
      <c r="Z243" s="125">
        <f>IF(Valores!$C$97*B243&gt;Valores!$C$96,Valores!$C$96,Valores!$C$97*B243)</f>
        <v>11922.03</v>
      </c>
      <c r="AA243" s="125">
        <f>IF((Valores!$C$28)*B243&gt;Valores!$F$28,Valores!$F$28,(Valores!$C$28)*B243)</f>
        <v>306.71999999999997</v>
      </c>
      <c r="AB243" s="210">
        <v>0</v>
      </c>
      <c r="AC243" s="125">
        <f t="shared" si="31"/>
        <v>0</v>
      </c>
      <c r="AD243" s="125">
        <f>IF(Valores!$C$29*B243&gt;Valores!$F$29,Valores!$F$29,Valores!$C$29*B243)</f>
        <v>255.42</v>
      </c>
      <c r="AE243" s="191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</f>
        <v>5834.7</v>
      </c>
      <c r="AH243" s="125">
        <f t="shared" si="34"/>
        <v>88489.68999999999</v>
      </c>
      <c r="AI243" s="125">
        <f>IF(Valores!$C$32*B243&gt;Valores!$F$32,Valores!$F$32,Valores!$C$32*B243)</f>
        <v>0</v>
      </c>
      <c r="AJ243" s="125">
        <f>IF(Valores!$C$90*B243&gt;Valores!$C$89,Valores!$C$89,Valores!$C$90*B243)</f>
        <v>0</v>
      </c>
      <c r="AK243" s="125">
        <f>IF(Valores!C$39*B243&gt;Valores!F$38,Valores!F$38,Valores!C$39*B243)</f>
        <v>0</v>
      </c>
      <c r="AL243" s="125">
        <f>IF($F$3="NO",0,IF(Valores!$C$62*B243&gt;Valores!$F$62,Valores!$F$62,Valores!$C$62*B243))</f>
        <v>0</v>
      </c>
      <c r="AM243" s="125">
        <f t="shared" si="32"/>
        <v>0</v>
      </c>
      <c r="AN243" s="125">
        <f>AH243*Valores!$C$71</f>
        <v>-9733.865899999999</v>
      </c>
      <c r="AO243" s="125">
        <f>AH243*-Valores!$C$72</f>
        <v>0</v>
      </c>
      <c r="AP243" s="125">
        <f>AH243*Valores!$C$73</f>
        <v>-3982.0360499999992</v>
      </c>
      <c r="AQ243" s="125">
        <f>Valores!$C$100</f>
        <v>-554.86</v>
      </c>
      <c r="AR243" s="125">
        <f>IF($F$5=0,Valores!$C$101,(Valores!$C$101+$F$5*(Valores!$C$101)))</f>
        <v>-550</v>
      </c>
      <c r="AS243" s="125">
        <f t="shared" si="35"/>
        <v>73668.92804999999</v>
      </c>
      <c r="AT243" s="125">
        <f t="shared" si="29"/>
        <v>-9733.865899999999</v>
      </c>
      <c r="AU243" s="125">
        <f>AH243*Valores!$C$74</f>
        <v>-2389.2216299999995</v>
      </c>
      <c r="AV243" s="125">
        <f>AH243*Valores!$C$75</f>
        <v>-265.46907</v>
      </c>
      <c r="AW243" s="125">
        <f t="shared" si="33"/>
        <v>76101.13339999999</v>
      </c>
      <c r="AX243" s="126"/>
      <c r="AY243" s="126">
        <f t="shared" si="37"/>
        <v>9</v>
      </c>
      <c r="AZ243" s="123" t="s">
        <v>4</v>
      </c>
    </row>
    <row r="244" spans="1:52" s="110" customFormat="1" ht="11.25" customHeight="1">
      <c r="A244" s="123" t="s">
        <v>471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1">
        <f t="shared" si="38"/>
        <v>711</v>
      </c>
      <c r="F244" s="125">
        <f>ROUND(E244*Valores!$C$2,2)</f>
        <v>28924.76</v>
      </c>
      <c r="G244" s="191">
        <v>0</v>
      </c>
      <c r="H244" s="125">
        <f>ROUND(G244*Valores!$C$2,2)</f>
        <v>0</v>
      </c>
      <c r="I244" s="191">
        <v>0</v>
      </c>
      <c r="J244" s="125">
        <f>ROUND(I244*Valores!$C$2,2)</f>
        <v>0</v>
      </c>
      <c r="K244" s="191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5905.58</v>
      </c>
      <c r="N244" s="125">
        <f t="shared" si="30"/>
        <v>0</v>
      </c>
      <c r="O244" s="125">
        <f>Valores!$C$7*B244</f>
        <v>12416.76</v>
      </c>
      <c r="P244" s="125">
        <f>ROUND(IF(B244&lt;15,(Valores!$E$5*B244),Valores!$D$5),2)</f>
        <v>12477.96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6540.4800000000005</v>
      </c>
      <c r="S244" s="125">
        <f>Valores!$C$18*B244</f>
        <v>3905.28</v>
      </c>
      <c r="T244" s="125">
        <f t="shared" si="36"/>
        <v>3905.28</v>
      </c>
      <c r="U244" s="125">
        <v>0</v>
      </c>
      <c r="V244" s="125">
        <v>0</v>
      </c>
      <c r="W244" s="191">
        <v>0</v>
      </c>
      <c r="X244" s="125">
        <f>ROUND(W244*Valores!$C$2,2)</f>
        <v>0</v>
      </c>
      <c r="Y244" s="125">
        <v>0</v>
      </c>
      <c r="Z244" s="125">
        <f>IF(Valores!$C$97*B244&gt;Valores!$C$96,Valores!$C$96,Valores!$C$97*B244)</f>
        <v>11922.03</v>
      </c>
      <c r="AA244" s="125">
        <f>IF((Valores!$C$28)*B244&gt;Valores!$F$28,Valores!$F$28,(Valores!$C$28)*B244)</f>
        <v>306.71999999999997</v>
      </c>
      <c r="AB244" s="210">
        <v>0</v>
      </c>
      <c r="AC244" s="125">
        <f t="shared" si="31"/>
        <v>0</v>
      </c>
      <c r="AD244" s="125">
        <f>IF(Valores!$C$29*B244&gt;Valores!$F$29,Valores!$F$29,Valores!$C$29*B244)</f>
        <v>255.42</v>
      </c>
      <c r="AE244" s="191">
        <v>94</v>
      </c>
      <c r="AF244" s="125">
        <f>ROUND(AE244*Valores!$C$2,2)</f>
        <v>3824.09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</f>
        <v>5834.7</v>
      </c>
      <c r="AH244" s="125">
        <f t="shared" si="34"/>
        <v>92313.77999999998</v>
      </c>
      <c r="AI244" s="125">
        <f>IF(Valores!$C$32*B244&gt;Valores!$F$32,Valores!$F$32,Valores!$C$32*B244)</f>
        <v>0</v>
      </c>
      <c r="AJ244" s="125">
        <f>IF(Valores!$C$90*B244&gt;Valores!$C$89,Valores!$C$89,Valores!$C$90*B244)</f>
        <v>0</v>
      </c>
      <c r="AK244" s="125">
        <f>IF(Valores!C$39*B244&gt;Valores!F$38,Valores!F$38,Valores!C$39*B244)</f>
        <v>0</v>
      </c>
      <c r="AL244" s="125">
        <f>IF($F$3="NO",0,IF(Valores!$C$62*B244&gt;Valores!$F$62,Valores!$F$62,Valores!$C$62*B244))</f>
        <v>0</v>
      </c>
      <c r="AM244" s="125">
        <f t="shared" si="32"/>
        <v>0</v>
      </c>
      <c r="AN244" s="125">
        <f>AH244*Valores!$C$71</f>
        <v>-10154.5158</v>
      </c>
      <c r="AO244" s="125">
        <f>AH244*-Valores!$C$72</f>
        <v>0</v>
      </c>
      <c r="AP244" s="125">
        <f>AH244*Valores!$C$73</f>
        <v>-4154.120099999999</v>
      </c>
      <c r="AQ244" s="125">
        <f>Valores!$C$100</f>
        <v>-554.86</v>
      </c>
      <c r="AR244" s="125">
        <f>IF($F$5=0,Valores!$C$101,(Valores!$C$101+$F$5*(Valores!$C$101)))</f>
        <v>-550</v>
      </c>
      <c r="AS244" s="125">
        <f t="shared" si="35"/>
        <v>76900.28409999999</v>
      </c>
      <c r="AT244" s="125">
        <f t="shared" si="29"/>
        <v>-10154.5158</v>
      </c>
      <c r="AU244" s="125">
        <f>AH244*Valores!$C$74</f>
        <v>-2492.4720599999996</v>
      </c>
      <c r="AV244" s="125">
        <f>AH244*Valores!$C$75</f>
        <v>-276.94133999999997</v>
      </c>
      <c r="AW244" s="125">
        <f t="shared" si="33"/>
        <v>79389.85079999999</v>
      </c>
      <c r="AX244" s="126"/>
      <c r="AY244" s="126">
        <f t="shared" si="37"/>
        <v>9</v>
      </c>
      <c r="AZ244" s="123" t="s">
        <v>4</v>
      </c>
    </row>
    <row r="245" spans="1:52" s="110" customFormat="1" ht="11.25" customHeight="1">
      <c r="A245" s="123" t="s">
        <v>471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1">
        <f t="shared" si="38"/>
        <v>790</v>
      </c>
      <c r="F245" s="125">
        <f>ROUND(E245*Valores!$C$2,2)</f>
        <v>32138.62</v>
      </c>
      <c r="G245" s="191">
        <v>0</v>
      </c>
      <c r="H245" s="125">
        <f>ROUND(G245*Valores!$C$2,2)</f>
        <v>0</v>
      </c>
      <c r="I245" s="191">
        <v>0</v>
      </c>
      <c r="J245" s="125">
        <f>ROUND(I245*Valores!$C$2,2)</f>
        <v>0</v>
      </c>
      <c r="K245" s="191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6561.75</v>
      </c>
      <c r="N245" s="125">
        <f t="shared" si="30"/>
        <v>0</v>
      </c>
      <c r="O245" s="125">
        <f>Valores!$C$7*B245</f>
        <v>13796.400000000001</v>
      </c>
      <c r="P245" s="125">
        <f>ROUND(IF(B245&lt;15,(Valores!$E$5*B245),Valores!$D$5),2)</f>
        <v>13864.4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7267.200000000001</v>
      </c>
      <c r="S245" s="125">
        <f>Valores!$C$18*B245</f>
        <v>4339.2</v>
      </c>
      <c r="T245" s="125">
        <f t="shared" si="36"/>
        <v>4339.2</v>
      </c>
      <c r="U245" s="125">
        <v>0</v>
      </c>
      <c r="V245" s="125">
        <v>0</v>
      </c>
      <c r="W245" s="191">
        <v>0</v>
      </c>
      <c r="X245" s="125">
        <f>ROUND(W245*Valores!$C$2,2)</f>
        <v>0</v>
      </c>
      <c r="Y245" s="125">
        <v>0</v>
      </c>
      <c r="Z245" s="125">
        <f>IF(Valores!$C$97*B245&gt;Valores!$C$96,Valores!$C$96,Valores!$C$97*B245)</f>
        <v>13246.7</v>
      </c>
      <c r="AA245" s="125">
        <f>IF((Valores!$C$28)*B245&gt;Valores!$F$28,Valores!$F$28,(Valores!$C$28)*B245)</f>
        <v>340.79999999999995</v>
      </c>
      <c r="AB245" s="210">
        <v>0</v>
      </c>
      <c r="AC245" s="125">
        <f t="shared" si="31"/>
        <v>0</v>
      </c>
      <c r="AD245" s="125">
        <f>IF(Valores!$C$29*B245&gt;Valores!$F$29,Valores!$F$29,Valores!$C$29*B245)</f>
        <v>283.8</v>
      </c>
      <c r="AE245" s="191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</f>
        <v>6483</v>
      </c>
      <c r="AH245" s="125">
        <f t="shared" si="34"/>
        <v>98321.87</v>
      </c>
      <c r="AI245" s="125">
        <f>IF(Valores!$C$32*B245&gt;Valores!$F$32,Valores!$F$32,Valores!$C$32*B245)</f>
        <v>0</v>
      </c>
      <c r="AJ245" s="125">
        <f>IF(Valores!$C$90*B245&gt;Valores!$C$89,Valores!$C$89,Valores!$C$90*B245)</f>
        <v>0</v>
      </c>
      <c r="AK245" s="125">
        <f>IF(Valores!C$39*B245&gt;Valores!F$38,Valores!F$38,Valores!C$39*B245)</f>
        <v>0</v>
      </c>
      <c r="AL245" s="125">
        <f>IF($F$3="NO",0,IF(Valores!$C$62*B245&gt;Valores!$F$62,Valores!$F$62,Valores!$C$62*B245))</f>
        <v>0</v>
      </c>
      <c r="AM245" s="125">
        <f t="shared" si="32"/>
        <v>0</v>
      </c>
      <c r="AN245" s="125">
        <f>AH245*Valores!$C$71</f>
        <v>-10815.4057</v>
      </c>
      <c r="AO245" s="125">
        <f>AH245*-Valores!$C$72</f>
        <v>0</v>
      </c>
      <c r="AP245" s="125">
        <f>AH245*Valores!$C$73</f>
        <v>-4424.484149999999</v>
      </c>
      <c r="AQ245" s="125">
        <f>Valores!$C$100</f>
        <v>-554.86</v>
      </c>
      <c r="AR245" s="125">
        <f>IF($F$5=0,Valores!$C$101,(Valores!$C$101+$F$5*(Valores!$C$101)))</f>
        <v>-550</v>
      </c>
      <c r="AS245" s="125">
        <f t="shared" si="35"/>
        <v>81977.12015</v>
      </c>
      <c r="AT245" s="125">
        <f t="shared" si="29"/>
        <v>-10815.4057</v>
      </c>
      <c r="AU245" s="125">
        <f>AH245*Valores!$C$74</f>
        <v>-2654.69049</v>
      </c>
      <c r="AV245" s="125">
        <f>AH245*Valores!$C$75</f>
        <v>-294.96560999999997</v>
      </c>
      <c r="AW245" s="125">
        <f t="shared" si="33"/>
        <v>84556.8082</v>
      </c>
      <c r="AX245" s="126"/>
      <c r="AY245" s="126">
        <f t="shared" si="37"/>
        <v>10</v>
      </c>
      <c r="AZ245" s="123" t="s">
        <v>4</v>
      </c>
    </row>
    <row r="246" spans="1:52" s="110" customFormat="1" ht="11.25" customHeight="1">
      <c r="A246" s="123" t="s">
        <v>471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1">
        <f t="shared" si="38"/>
        <v>790</v>
      </c>
      <c r="F246" s="125">
        <f>ROUND(E246*Valores!$C$2,2)</f>
        <v>32138.62</v>
      </c>
      <c r="G246" s="191">
        <v>0</v>
      </c>
      <c r="H246" s="125">
        <f>ROUND(G246*Valores!$C$2,2)</f>
        <v>0</v>
      </c>
      <c r="I246" s="191">
        <v>0</v>
      </c>
      <c r="J246" s="125">
        <f>ROUND(I246*Valores!$C$2,2)</f>
        <v>0</v>
      </c>
      <c r="K246" s="191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6561.75</v>
      </c>
      <c r="N246" s="125">
        <f t="shared" si="30"/>
        <v>0</v>
      </c>
      <c r="O246" s="125">
        <f>Valores!$C$7*B246</f>
        <v>13796.400000000001</v>
      </c>
      <c r="P246" s="125">
        <f>ROUND(IF(B246&lt;15,(Valores!$E$5*B246),Valores!$D$5),2)</f>
        <v>13864.4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7267.200000000001</v>
      </c>
      <c r="S246" s="125">
        <f>Valores!$C$18*B246</f>
        <v>4339.2</v>
      </c>
      <c r="T246" s="125">
        <f t="shared" si="36"/>
        <v>4339.2</v>
      </c>
      <c r="U246" s="125">
        <v>0</v>
      </c>
      <c r="V246" s="125">
        <v>0</v>
      </c>
      <c r="W246" s="191">
        <v>0</v>
      </c>
      <c r="X246" s="125">
        <f>ROUND(W246*Valores!$C$2,2)</f>
        <v>0</v>
      </c>
      <c r="Y246" s="125">
        <v>0</v>
      </c>
      <c r="Z246" s="125">
        <f>IF(Valores!$C$97*B246&gt;Valores!$C$96,Valores!$C$96,Valores!$C$97*B246)</f>
        <v>13246.7</v>
      </c>
      <c r="AA246" s="125">
        <f>IF((Valores!$C$28)*B246&gt;Valores!$F$28,Valores!$F$28,(Valores!$C$28)*B246)</f>
        <v>340.79999999999995</v>
      </c>
      <c r="AB246" s="210">
        <v>0</v>
      </c>
      <c r="AC246" s="125">
        <f t="shared" si="31"/>
        <v>0</v>
      </c>
      <c r="AD246" s="125">
        <f>IF(Valores!$C$29*B246&gt;Valores!$F$29,Valores!$F$29,Valores!$C$29*B246)</f>
        <v>283.8</v>
      </c>
      <c r="AE246" s="191">
        <v>94</v>
      </c>
      <c r="AF246" s="125">
        <f>ROUND(AE246*Valores!$C$2,2)</f>
        <v>3824.09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</f>
        <v>6483</v>
      </c>
      <c r="AH246" s="125">
        <f t="shared" si="34"/>
        <v>102145.95999999999</v>
      </c>
      <c r="AI246" s="125">
        <f>IF(Valores!$C$32*B246&gt;Valores!$F$32,Valores!$F$32,Valores!$C$32*B246)</f>
        <v>0</v>
      </c>
      <c r="AJ246" s="125">
        <f>IF(Valores!$C$90*B246&gt;Valores!$C$89,Valores!$C$89,Valores!$C$90*B246)</f>
        <v>0</v>
      </c>
      <c r="AK246" s="125">
        <f>IF(Valores!C$39*B246&gt;Valores!F$38,Valores!F$38,Valores!C$39*B246)</f>
        <v>0</v>
      </c>
      <c r="AL246" s="125">
        <f>IF($F$3="NO",0,IF(Valores!$C$62*B246&gt;Valores!$F$62,Valores!$F$62,Valores!$C$62*B246))</f>
        <v>0</v>
      </c>
      <c r="AM246" s="125">
        <f t="shared" si="32"/>
        <v>0</v>
      </c>
      <c r="AN246" s="125">
        <f>AH246*Valores!$C$71</f>
        <v>-11236.0556</v>
      </c>
      <c r="AO246" s="125">
        <f>AH246*-Valores!$C$72</f>
        <v>0</v>
      </c>
      <c r="AP246" s="125">
        <f>AH246*Valores!$C$73</f>
        <v>-4596.5682</v>
      </c>
      <c r="AQ246" s="125">
        <f>Valores!$C$100</f>
        <v>-554.86</v>
      </c>
      <c r="AR246" s="125">
        <f>IF($F$5=0,Valores!$C$101,(Valores!$C$101+$F$5*(Valores!$C$101)))</f>
        <v>-550</v>
      </c>
      <c r="AS246" s="125">
        <f t="shared" si="35"/>
        <v>85208.47619999999</v>
      </c>
      <c r="AT246" s="125">
        <f t="shared" si="29"/>
        <v>-11236.0556</v>
      </c>
      <c r="AU246" s="125">
        <f>AH246*Valores!$C$74</f>
        <v>-2757.9409199999996</v>
      </c>
      <c r="AV246" s="125">
        <f>AH246*Valores!$C$75</f>
        <v>-306.43788</v>
      </c>
      <c r="AW246" s="125">
        <f t="shared" si="33"/>
        <v>87845.5256</v>
      </c>
      <c r="AX246" s="126"/>
      <c r="AY246" s="126">
        <f t="shared" si="37"/>
        <v>10</v>
      </c>
      <c r="AZ246" s="123" t="s">
        <v>4</v>
      </c>
    </row>
    <row r="247" spans="1:52" s="110" customFormat="1" ht="11.25" customHeight="1">
      <c r="A247" s="123" t="s">
        <v>471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1">
        <f t="shared" si="38"/>
        <v>869</v>
      </c>
      <c r="F247" s="125">
        <f>ROUND(E247*Valores!$C$2,2)</f>
        <v>35352.48</v>
      </c>
      <c r="G247" s="191">
        <v>0</v>
      </c>
      <c r="H247" s="125">
        <f>ROUND(G247*Valores!$C$2,2)</f>
        <v>0</v>
      </c>
      <c r="I247" s="191">
        <v>0</v>
      </c>
      <c r="J247" s="125">
        <f>ROUND(I247*Valores!$C$2,2)</f>
        <v>0</v>
      </c>
      <c r="K247" s="191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7217.93</v>
      </c>
      <c r="N247" s="125">
        <f t="shared" si="30"/>
        <v>0</v>
      </c>
      <c r="O247" s="125">
        <f>Valores!$C$7*B247</f>
        <v>15176.04</v>
      </c>
      <c r="P247" s="125">
        <f>ROUND(IF(B247&lt;15,(Valores!$E$5*B247),Valores!$D$5),2)</f>
        <v>15250.84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7993.92</v>
      </c>
      <c r="S247" s="125">
        <f>Valores!$C$18*B247</f>
        <v>4773.12</v>
      </c>
      <c r="T247" s="125">
        <f t="shared" si="36"/>
        <v>4773.12</v>
      </c>
      <c r="U247" s="125">
        <v>0</v>
      </c>
      <c r="V247" s="125">
        <v>0</v>
      </c>
      <c r="W247" s="191">
        <v>0</v>
      </c>
      <c r="X247" s="125">
        <f>ROUND(W247*Valores!$C$2,2)</f>
        <v>0</v>
      </c>
      <c r="Y247" s="125">
        <v>0</v>
      </c>
      <c r="Z247" s="125">
        <f>IF(Valores!$C$97*B247&gt;Valores!$C$96,Valores!$C$96,Valores!$C$97*B247)</f>
        <v>14571.37</v>
      </c>
      <c r="AA247" s="125">
        <f>IF((Valores!$C$28)*B247&gt;Valores!$F$28,Valores!$F$28,(Valores!$C$28)*B247)</f>
        <v>374.88</v>
      </c>
      <c r="AB247" s="210">
        <v>0</v>
      </c>
      <c r="AC247" s="125">
        <f t="shared" si="31"/>
        <v>0</v>
      </c>
      <c r="AD247" s="125">
        <f>IF(Valores!$C$29*B247&gt;Valores!$F$29,Valores!$F$29,Valores!$C$29*B247)</f>
        <v>312.18</v>
      </c>
      <c r="AE247" s="191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</f>
        <v>7131.299999999999</v>
      </c>
      <c r="AH247" s="125">
        <f t="shared" si="34"/>
        <v>108154.06</v>
      </c>
      <c r="AI247" s="125">
        <f>IF(Valores!$C$32*B247&gt;Valores!$F$32,Valores!$F$32,Valores!$C$32*B247)</f>
        <v>0</v>
      </c>
      <c r="AJ247" s="125">
        <f>IF(Valores!$C$90*B247&gt;Valores!$C$89,Valores!$C$89,Valores!$C$90*B247)</f>
        <v>0</v>
      </c>
      <c r="AK247" s="125">
        <f>IF(Valores!C$39*B247&gt;Valores!F$38,Valores!F$38,Valores!C$39*B247)</f>
        <v>0</v>
      </c>
      <c r="AL247" s="125">
        <f>IF($F$3="NO",0,IF(Valores!$C$62*B247&gt;Valores!$F$62,Valores!$F$62,Valores!$C$62*B247))</f>
        <v>0</v>
      </c>
      <c r="AM247" s="125">
        <f t="shared" si="32"/>
        <v>0</v>
      </c>
      <c r="AN247" s="125">
        <f>AH247*Valores!$C$71</f>
        <v>-11896.9466</v>
      </c>
      <c r="AO247" s="125">
        <f>AH247*-Valores!$C$72</f>
        <v>0</v>
      </c>
      <c r="AP247" s="125">
        <f>AH247*Valores!$C$73</f>
        <v>-4866.932699999999</v>
      </c>
      <c r="AQ247" s="125">
        <f>Valores!$C$100</f>
        <v>-554.86</v>
      </c>
      <c r="AR247" s="125">
        <f>IF($F$5=0,Valores!$C$101,(Valores!$C$101+$F$5*(Valores!$C$101)))</f>
        <v>-550</v>
      </c>
      <c r="AS247" s="125">
        <f t="shared" si="35"/>
        <v>90285.3207</v>
      </c>
      <c r="AT247" s="125">
        <f t="shared" si="29"/>
        <v>-11896.9466</v>
      </c>
      <c r="AU247" s="125">
        <f>AH247*Valores!$C$74</f>
        <v>-2920.15962</v>
      </c>
      <c r="AV247" s="125">
        <f>AH247*Valores!$C$75</f>
        <v>-324.46218</v>
      </c>
      <c r="AW247" s="125">
        <f t="shared" si="33"/>
        <v>93012.4916</v>
      </c>
      <c r="AX247" s="126"/>
      <c r="AY247" s="126">
        <f t="shared" si="37"/>
        <v>11</v>
      </c>
      <c r="AZ247" s="123" t="s">
        <v>4</v>
      </c>
    </row>
    <row r="248" spans="1:52" s="110" customFormat="1" ht="11.25" customHeight="1">
      <c r="A248" s="123" t="s">
        <v>471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1">
        <f t="shared" si="38"/>
        <v>869</v>
      </c>
      <c r="F248" s="125">
        <f>ROUND(E248*Valores!$C$2,2)</f>
        <v>35352.48</v>
      </c>
      <c r="G248" s="191">
        <v>0</v>
      </c>
      <c r="H248" s="125">
        <f>ROUND(G248*Valores!$C$2,2)</f>
        <v>0</v>
      </c>
      <c r="I248" s="191">
        <v>0</v>
      </c>
      <c r="J248" s="125">
        <f>ROUND(I248*Valores!$C$2,2)</f>
        <v>0</v>
      </c>
      <c r="K248" s="191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7217.93</v>
      </c>
      <c r="N248" s="125">
        <f t="shared" si="30"/>
        <v>0</v>
      </c>
      <c r="O248" s="125">
        <f>Valores!$C$7*B248</f>
        <v>15176.04</v>
      </c>
      <c r="P248" s="125">
        <f>ROUND(IF(B248&lt;15,(Valores!$E$5*B248),Valores!$D$5),2)</f>
        <v>15250.84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7993.92</v>
      </c>
      <c r="S248" s="125">
        <f>Valores!$C$18*B248</f>
        <v>4773.12</v>
      </c>
      <c r="T248" s="125">
        <f t="shared" si="36"/>
        <v>4773.12</v>
      </c>
      <c r="U248" s="125">
        <v>0</v>
      </c>
      <c r="V248" s="125">
        <v>0</v>
      </c>
      <c r="W248" s="191">
        <v>0</v>
      </c>
      <c r="X248" s="125">
        <f>ROUND(W248*Valores!$C$2,2)</f>
        <v>0</v>
      </c>
      <c r="Y248" s="125">
        <v>0</v>
      </c>
      <c r="Z248" s="125">
        <f>IF(Valores!$C$97*B248&gt;Valores!$C$96,Valores!$C$96,Valores!$C$97*B248)</f>
        <v>14571.37</v>
      </c>
      <c r="AA248" s="125">
        <f>IF((Valores!$C$28)*B248&gt;Valores!$F$28,Valores!$F$28,(Valores!$C$28)*B248)</f>
        <v>374.88</v>
      </c>
      <c r="AB248" s="210">
        <v>0</v>
      </c>
      <c r="AC248" s="125">
        <f t="shared" si="31"/>
        <v>0</v>
      </c>
      <c r="AD248" s="125">
        <f>IF(Valores!$C$29*B248&gt;Valores!$F$29,Valores!$F$29,Valores!$C$29*B248)</f>
        <v>312.18</v>
      </c>
      <c r="AE248" s="191">
        <v>94</v>
      </c>
      <c r="AF248" s="125">
        <f>ROUND(AE248*Valores!$C$2,2)</f>
        <v>3824.09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</f>
        <v>7131.299999999999</v>
      </c>
      <c r="AH248" s="125">
        <f t="shared" si="34"/>
        <v>111978.15</v>
      </c>
      <c r="AI248" s="125">
        <f>IF(Valores!$C$32*B248&gt;Valores!$F$32,Valores!$F$32,Valores!$C$32*B248)</f>
        <v>0</v>
      </c>
      <c r="AJ248" s="125">
        <f>IF(Valores!$C$90*B248&gt;Valores!$C$89,Valores!$C$89,Valores!$C$90*B248)</f>
        <v>0</v>
      </c>
      <c r="AK248" s="125">
        <f>IF(Valores!C$39*B248&gt;Valores!F$38,Valores!F$38,Valores!C$39*B248)</f>
        <v>0</v>
      </c>
      <c r="AL248" s="125">
        <f>IF($F$3="NO",0,IF(Valores!$C$62*B248&gt;Valores!$F$62,Valores!$F$62,Valores!$C$62*B248))</f>
        <v>0</v>
      </c>
      <c r="AM248" s="125">
        <f t="shared" si="32"/>
        <v>0</v>
      </c>
      <c r="AN248" s="125">
        <f>AH248*Valores!$C$71</f>
        <v>-12317.5965</v>
      </c>
      <c r="AO248" s="125">
        <f>AH248*-Valores!$C$72</f>
        <v>0</v>
      </c>
      <c r="AP248" s="125">
        <f>AH248*Valores!$C$73</f>
        <v>-5039.01675</v>
      </c>
      <c r="AQ248" s="125">
        <f>Valores!$C$100</f>
        <v>-554.86</v>
      </c>
      <c r="AR248" s="125">
        <f>IF($F$5=0,Valores!$C$101,(Valores!$C$101+$F$5*(Valores!$C$101)))</f>
        <v>-550</v>
      </c>
      <c r="AS248" s="125">
        <f t="shared" si="35"/>
        <v>93516.67675</v>
      </c>
      <c r="AT248" s="125">
        <f t="shared" si="29"/>
        <v>-12317.5965</v>
      </c>
      <c r="AU248" s="125">
        <f>AH248*Valores!$C$74</f>
        <v>-3023.41005</v>
      </c>
      <c r="AV248" s="125">
        <f>AH248*Valores!$C$75</f>
        <v>-335.93444999999997</v>
      </c>
      <c r="AW248" s="125">
        <f t="shared" si="33"/>
        <v>96301.20899999999</v>
      </c>
      <c r="AX248" s="126"/>
      <c r="AY248" s="126">
        <f t="shared" si="37"/>
        <v>11</v>
      </c>
      <c r="AZ248" s="123" t="s">
        <v>4</v>
      </c>
    </row>
    <row r="249" spans="1:52" s="110" customFormat="1" ht="11.25" customHeight="1">
      <c r="A249" s="123" t="s">
        <v>471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1">
        <f t="shared" si="38"/>
        <v>948</v>
      </c>
      <c r="F249" s="125">
        <f>ROUND(E249*Valores!$C$2,2)</f>
        <v>38566.35</v>
      </c>
      <c r="G249" s="191">
        <v>0</v>
      </c>
      <c r="H249" s="125">
        <f>ROUND(G249*Valores!$C$2,2)</f>
        <v>0</v>
      </c>
      <c r="I249" s="191">
        <v>0</v>
      </c>
      <c r="J249" s="125">
        <f>ROUND(I249*Valores!$C$2,2)</f>
        <v>0</v>
      </c>
      <c r="K249" s="191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7874.1</v>
      </c>
      <c r="N249" s="125">
        <f t="shared" si="30"/>
        <v>0</v>
      </c>
      <c r="O249" s="125">
        <f>Valores!$C$7*B249</f>
        <v>16555.68</v>
      </c>
      <c r="P249" s="125">
        <f>ROUND(IF(B249&lt;15,(Valores!$E$5*B249),Valores!$D$5),2)</f>
        <v>16637.28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8720.64</v>
      </c>
      <c r="S249" s="125">
        <f>Valores!$C$18*B249</f>
        <v>5207.04</v>
      </c>
      <c r="T249" s="125">
        <f t="shared" si="36"/>
        <v>5207.04</v>
      </c>
      <c r="U249" s="125">
        <v>0</v>
      </c>
      <c r="V249" s="125">
        <v>0</v>
      </c>
      <c r="W249" s="191">
        <v>0</v>
      </c>
      <c r="X249" s="125">
        <f>ROUND(W249*Valores!$C$2,2)</f>
        <v>0</v>
      </c>
      <c r="Y249" s="125">
        <v>0</v>
      </c>
      <c r="Z249" s="125">
        <f>IF(Valores!$C$97*B249&gt;Valores!$C$96,Valores!$C$96,Valores!$C$97*B249)</f>
        <v>15896.04</v>
      </c>
      <c r="AA249" s="125">
        <f>IF((Valores!$C$28)*B249&gt;Valores!$F$28,Valores!$F$28,(Valores!$C$28)*B249)</f>
        <v>408.96</v>
      </c>
      <c r="AB249" s="210">
        <v>0</v>
      </c>
      <c r="AC249" s="125">
        <f t="shared" si="31"/>
        <v>0</v>
      </c>
      <c r="AD249" s="125">
        <f>IF(Valores!$C$29*B249&gt;Valores!$F$29,Valores!$F$29,Valores!$C$29*B249)</f>
        <v>340.56</v>
      </c>
      <c r="AE249" s="191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</f>
        <v>7779.599999999999</v>
      </c>
      <c r="AH249" s="125">
        <f t="shared" si="34"/>
        <v>117986.25000000001</v>
      </c>
      <c r="AI249" s="125">
        <f>IF(Valores!$C$32*B249&gt;Valores!$F$32,Valores!$F$32,Valores!$C$32*B249)</f>
        <v>0</v>
      </c>
      <c r="AJ249" s="125">
        <f>IF(Valores!$C$90*B249&gt;Valores!$C$89,Valores!$C$89,Valores!$C$90*B249)</f>
        <v>0</v>
      </c>
      <c r="AK249" s="125">
        <f>IF(Valores!C$39*B249&gt;Valores!F$38,Valores!F$38,Valores!C$39*B249)</f>
        <v>0</v>
      </c>
      <c r="AL249" s="125">
        <f>IF($F$3="NO",0,IF(Valores!$C$62*B249&gt;Valores!$F$62,Valores!$F$62,Valores!$C$62*B249))</f>
        <v>0</v>
      </c>
      <c r="AM249" s="125">
        <f t="shared" si="32"/>
        <v>0</v>
      </c>
      <c r="AN249" s="125">
        <f>AH249*Valores!$C$71</f>
        <v>-12978.487500000001</v>
      </c>
      <c r="AO249" s="125">
        <f>AH249*-Valores!$C$72</f>
        <v>0</v>
      </c>
      <c r="AP249" s="125">
        <f>AH249*Valores!$C$73</f>
        <v>-5309.38125</v>
      </c>
      <c r="AQ249" s="125">
        <f>Valores!$C$100</f>
        <v>-554.86</v>
      </c>
      <c r="AR249" s="125">
        <f>IF($F$5=0,Valores!$C$101,(Valores!$C$101+$F$5*(Valores!$C$101)))</f>
        <v>-550</v>
      </c>
      <c r="AS249" s="125">
        <f t="shared" si="35"/>
        <v>98593.52125000002</v>
      </c>
      <c r="AT249" s="125">
        <f t="shared" si="29"/>
        <v>-12978.487500000001</v>
      </c>
      <c r="AU249" s="125">
        <f>AH249*Valores!$C$74</f>
        <v>-3185.6287500000003</v>
      </c>
      <c r="AV249" s="125">
        <f>AH249*Valores!$C$75</f>
        <v>-353.95875000000007</v>
      </c>
      <c r="AW249" s="125">
        <f t="shared" si="33"/>
        <v>101468.17500000002</v>
      </c>
      <c r="AX249" s="126"/>
      <c r="AY249" s="126">
        <f t="shared" si="37"/>
        <v>12</v>
      </c>
      <c r="AZ249" s="123" t="s">
        <v>4</v>
      </c>
    </row>
    <row r="250" spans="1:52" s="110" customFormat="1" ht="11.25" customHeight="1">
      <c r="A250" s="123" t="s">
        <v>471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1">
        <f t="shared" si="38"/>
        <v>948</v>
      </c>
      <c r="F250" s="125">
        <f>ROUND(E250*Valores!$C$2,2)</f>
        <v>38566.35</v>
      </c>
      <c r="G250" s="191">
        <v>0</v>
      </c>
      <c r="H250" s="125">
        <f>ROUND(G250*Valores!$C$2,2)</f>
        <v>0</v>
      </c>
      <c r="I250" s="191">
        <v>0</v>
      </c>
      <c r="J250" s="125">
        <f>ROUND(I250*Valores!$C$2,2)</f>
        <v>0</v>
      </c>
      <c r="K250" s="191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7874.1</v>
      </c>
      <c r="N250" s="125">
        <f t="shared" si="30"/>
        <v>0</v>
      </c>
      <c r="O250" s="125">
        <f>Valores!$C$7*B250</f>
        <v>16555.68</v>
      </c>
      <c r="P250" s="125">
        <f>ROUND(IF(B250&lt;15,(Valores!$E$5*B250),Valores!$D$5),2)</f>
        <v>16637.28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8720.64</v>
      </c>
      <c r="S250" s="125">
        <f>Valores!$C$18*B250</f>
        <v>5207.04</v>
      </c>
      <c r="T250" s="125">
        <f t="shared" si="36"/>
        <v>5207.04</v>
      </c>
      <c r="U250" s="125">
        <v>0</v>
      </c>
      <c r="V250" s="125">
        <v>0</v>
      </c>
      <c r="W250" s="191">
        <v>0</v>
      </c>
      <c r="X250" s="125">
        <f>ROUND(W250*Valores!$C$2,2)</f>
        <v>0</v>
      </c>
      <c r="Y250" s="125">
        <v>0</v>
      </c>
      <c r="Z250" s="125">
        <f>IF(Valores!$C$97*B250&gt;Valores!$C$96,Valores!$C$96,Valores!$C$97*B250)</f>
        <v>15896.04</v>
      </c>
      <c r="AA250" s="125">
        <f>IF((Valores!$C$28)*B250&gt;Valores!$F$28,Valores!$F$28,(Valores!$C$28)*B250)</f>
        <v>408.96</v>
      </c>
      <c r="AB250" s="210">
        <v>0</v>
      </c>
      <c r="AC250" s="125">
        <f t="shared" si="31"/>
        <v>0</v>
      </c>
      <c r="AD250" s="125">
        <f>IF(Valores!$C$29*B250&gt;Valores!$F$29,Valores!$F$29,Valores!$C$29*B250)</f>
        <v>340.56</v>
      </c>
      <c r="AE250" s="191">
        <v>94</v>
      </c>
      <c r="AF250" s="125">
        <f>ROUND(AE250*Valores!$C$2,2)</f>
        <v>3824.09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</f>
        <v>7779.599999999999</v>
      </c>
      <c r="AH250" s="125">
        <f t="shared" si="34"/>
        <v>121810.34000000001</v>
      </c>
      <c r="AI250" s="125">
        <f>IF(Valores!$C$32*B250&gt;Valores!$F$32,Valores!$F$32,Valores!$C$32*B250)</f>
        <v>0</v>
      </c>
      <c r="AJ250" s="125">
        <f>IF(Valores!$C$90*B250&gt;Valores!$C$89,Valores!$C$89,Valores!$C$90*B250)</f>
        <v>0</v>
      </c>
      <c r="AK250" s="125">
        <f>IF(Valores!C$39*B250&gt;Valores!F$38,Valores!F$38,Valores!C$39*B250)</f>
        <v>0</v>
      </c>
      <c r="AL250" s="125">
        <f>IF($F$3="NO",0,IF(Valores!$C$62*B250&gt;Valores!$F$62,Valores!$F$62,Valores!$C$62*B250))</f>
        <v>0</v>
      </c>
      <c r="AM250" s="125">
        <f t="shared" si="32"/>
        <v>0</v>
      </c>
      <c r="AN250" s="125">
        <f>AH250*Valores!$C$71</f>
        <v>-13399.137400000001</v>
      </c>
      <c r="AO250" s="125">
        <f>AH250*-Valores!$C$72</f>
        <v>0</v>
      </c>
      <c r="AP250" s="125">
        <f>AH250*Valores!$C$73</f>
        <v>-5481.4653</v>
      </c>
      <c r="AQ250" s="125">
        <f>Valores!$C$100</f>
        <v>-554.86</v>
      </c>
      <c r="AR250" s="125">
        <f>IF($F$5=0,Valores!$C$101,(Valores!$C$101+$F$5*(Valores!$C$101)))</f>
        <v>-550</v>
      </c>
      <c r="AS250" s="125">
        <f t="shared" si="35"/>
        <v>101824.87730000001</v>
      </c>
      <c r="AT250" s="125">
        <f t="shared" si="29"/>
        <v>-13399.137400000001</v>
      </c>
      <c r="AU250" s="125">
        <f>AH250*Valores!$C$74</f>
        <v>-3288.8791800000004</v>
      </c>
      <c r="AV250" s="125">
        <f>AH250*Valores!$C$75</f>
        <v>-365.43102000000005</v>
      </c>
      <c r="AW250" s="125">
        <f t="shared" si="33"/>
        <v>104756.89240000001</v>
      </c>
      <c r="AX250" s="126"/>
      <c r="AY250" s="126">
        <f t="shared" si="37"/>
        <v>12</v>
      </c>
      <c r="AZ250" s="123" t="s">
        <v>4</v>
      </c>
    </row>
    <row r="251" spans="1:52" s="110" customFormat="1" ht="11.25" customHeight="1">
      <c r="A251" s="123" t="s">
        <v>471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1">
        <f t="shared" si="38"/>
        <v>1027</v>
      </c>
      <c r="F251" s="125">
        <f>ROUND(E251*Valores!$C$2,2)</f>
        <v>41780.21</v>
      </c>
      <c r="G251" s="191">
        <v>0</v>
      </c>
      <c r="H251" s="125">
        <f>ROUND(G251*Valores!$C$2,2)</f>
        <v>0</v>
      </c>
      <c r="I251" s="191">
        <v>0</v>
      </c>
      <c r="J251" s="125">
        <f>ROUND(I251*Valores!$C$2,2)</f>
        <v>0</v>
      </c>
      <c r="K251" s="191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8530.28</v>
      </c>
      <c r="N251" s="125">
        <f t="shared" si="30"/>
        <v>0</v>
      </c>
      <c r="O251" s="125">
        <f>Valores!$C$7*B251</f>
        <v>17935.32</v>
      </c>
      <c r="P251" s="125">
        <f>ROUND(IF(B251&lt;15,(Valores!$E$5*B251),Valores!$D$5),2)</f>
        <v>18023.72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9447.36</v>
      </c>
      <c r="S251" s="125">
        <f>Valores!$C$18*B251</f>
        <v>5640.96</v>
      </c>
      <c r="T251" s="125">
        <f t="shared" si="36"/>
        <v>5640.96</v>
      </c>
      <c r="U251" s="125">
        <v>0</v>
      </c>
      <c r="V251" s="125">
        <v>0</v>
      </c>
      <c r="W251" s="191">
        <v>0</v>
      </c>
      <c r="X251" s="125">
        <f>ROUND(W251*Valores!$C$2,2)</f>
        <v>0</v>
      </c>
      <c r="Y251" s="125">
        <v>0</v>
      </c>
      <c r="Z251" s="125">
        <f>IF(Valores!$C$97*B251&gt;Valores!$C$96,Valores!$C$96,Valores!$C$97*B251)</f>
        <v>17220.71</v>
      </c>
      <c r="AA251" s="125">
        <f>IF((Valores!$C$28)*B251&gt;Valores!$F$28,Valores!$F$28,(Valores!$C$28)*B251)</f>
        <v>443.03999999999996</v>
      </c>
      <c r="AB251" s="210">
        <v>0</v>
      </c>
      <c r="AC251" s="125">
        <f t="shared" si="31"/>
        <v>0</v>
      </c>
      <c r="AD251" s="125">
        <f>IF(Valores!$C$29*B251&gt;Valores!$F$29,Valores!$F$29,Valores!$C$29*B251)</f>
        <v>368.94</v>
      </c>
      <c r="AE251" s="191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</f>
        <v>8427.9</v>
      </c>
      <c r="AH251" s="125">
        <f t="shared" si="34"/>
        <v>127818.43999999999</v>
      </c>
      <c r="AI251" s="125">
        <f>IF(Valores!$C$32*B251&gt;Valores!$F$32,Valores!$F$32,Valores!$C$32*B251)</f>
        <v>0</v>
      </c>
      <c r="AJ251" s="125">
        <f>IF(Valores!$C$90*B251&gt;Valores!$C$89,Valores!$C$89,Valores!$C$90*B251)</f>
        <v>0</v>
      </c>
      <c r="AK251" s="125">
        <f>IF(Valores!C$39*B251&gt;Valores!F$38,Valores!F$38,Valores!C$39*B251)</f>
        <v>0</v>
      </c>
      <c r="AL251" s="125">
        <f>IF($F$3="NO",0,IF(Valores!$C$62*B251&gt;Valores!$F$62,Valores!$F$62,Valores!$C$62*B251))</f>
        <v>0</v>
      </c>
      <c r="AM251" s="125">
        <f t="shared" si="32"/>
        <v>0</v>
      </c>
      <c r="AN251" s="125">
        <f>AH251*Valores!$C$71</f>
        <v>-14060.0284</v>
      </c>
      <c r="AO251" s="125">
        <f>AH251*-Valores!$C$72</f>
        <v>0</v>
      </c>
      <c r="AP251" s="125">
        <f>AH251*Valores!$C$73</f>
        <v>-5751.8297999999995</v>
      </c>
      <c r="AQ251" s="125">
        <f>Valores!$C$100</f>
        <v>-554.86</v>
      </c>
      <c r="AR251" s="125">
        <f>IF($F$5=0,Valores!$C$101,(Valores!$C$101+$F$5*(Valores!$C$101)))</f>
        <v>-550</v>
      </c>
      <c r="AS251" s="125">
        <f t="shared" si="35"/>
        <v>106901.72179999998</v>
      </c>
      <c r="AT251" s="125">
        <f t="shared" si="29"/>
        <v>-14060.0284</v>
      </c>
      <c r="AU251" s="125">
        <f>AH251*Valores!$C$74</f>
        <v>-3451.09788</v>
      </c>
      <c r="AV251" s="125">
        <f>AH251*Valores!$C$75</f>
        <v>-383.45532</v>
      </c>
      <c r="AW251" s="125">
        <f t="shared" si="33"/>
        <v>109923.85839999998</v>
      </c>
      <c r="AX251" s="126"/>
      <c r="AY251" s="126">
        <f t="shared" si="37"/>
        <v>13</v>
      </c>
      <c r="AZ251" s="123" t="s">
        <v>4</v>
      </c>
    </row>
    <row r="252" spans="1:52" s="110" customFormat="1" ht="11.25" customHeight="1">
      <c r="A252" s="123" t="s">
        <v>471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1">
        <f t="shared" si="38"/>
        <v>1027</v>
      </c>
      <c r="F252" s="125">
        <f>ROUND(E252*Valores!$C$2,2)</f>
        <v>41780.21</v>
      </c>
      <c r="G252" s="191">
        <v>0</v>
      </c>
      <c r="H252" s="125">
        <f>ROUND(G252*Valores!$C$2,2)</f>
        <v>0</v>
      </c>
      <c r="I252" s="191">
        <v>0</v>
      </c>
      <c r="J252" s="125">
        <f>ROUND(I252*Valores!$C$2,2)</f>
        <v>0</v>
      </c>
      <c r="K252" s="191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8530.28</v>
      </c>
      <c r="N252" s="125">
        <f t="shared" si="30"/>
        <v>0</v>
      </c>
      <c r="O252" s="125">
        <f>Valores!$C$7*B252</f>
        <v>17935.32</v>
      </c>
      <c r="P252" s="125">
        <f>ROUND(IF(B252&lt;15,(Valores!$E$5*B252),Valores!$D$5),2)</f>
        <v>18023.72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9447.36</v>
      </c>
      <c r="S252" s="125">
        <f>Valores!$C$18*B252</f>
        <v>5640.96</v>
      </c>
      <c r="T252" s="125">
        <f t="shared" si="36"/>
        <v>5640.96</v>
      </c>
      <c r="U252" s="125">
        <v>0</v>
      </c>
      <c r="V252" s="125">
        <v>0</v>
      </c>
      <c r="W252" s="191">
        <v>0</v>
      </c>
      <c r="X252" s="125">
        <f>ROUND(W252*Valores!$C$2,2)</f>
        <v>0</v>
      </c>
      <c r="Y252" s="125">
        <v>0</v>
      </c>
      <c r="Z252" s="125">
        <f>IF(Valores!$C$97*B252&gt;Valores!$C$96,Valores!$C$96,Valores!$C$97*B252)</f>
        <v>17220.71</v>
      </c>
      <c r="AA252" s="125">
        <f>IF((Valores!$C$28)*B252&gt;Valores!$F$28,Valores!$F$28,(Valores!$C$28)*B252)</f>
        <v>443.03999999999996</v>
      </c>
      <c r="AB252" s="210">
        <v>0</v>
      </c>
      <c r="AC252" s="125">
        <f t="shared" si="31"/>
        <v>0</v>
      </c>
      <c r="AD252" s="125">
        <f>IF(Valores!$C$29*B252&gt;Valores!$F$29,Valores!$F$29,Valores!$C$29*B252)</f>
        <v>368.94</v>
      </c>
      <c r="AE252" s="191">
        <v>94</v>
      </c>
      <c r="AF252" s="125">
        <f>ROUND(AE252*Valores!$C$2,2)</f>
        <v>3824.09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</f>
        <v>8427.9</v>
      </c>
      <c r="AH252" s="125">
        <f t="shared" si="34"/>
        <v>131642.53</v>
      </c>
      <c r="AI252" s="125">
        <f>IF(Valores!$C$32*B252&gt;Valores!$F$32,Valores!$F$32,Valores!$C$32*B252)</f>
        <v>0</v>
      </c>
      <c r="AJ252" s="125">
        <f>IF(Valores!$C$90*B252&gt;Valores!$C$89,Valores!$C$89,Valores!$C$90*B252)</f>
        <v>0</v>
      </c>
      <c r="AK252" s="125">
        <f>IF(Valores!C$39*B252&gt;Valores!F$38,Valores!F$38,Valores!C$39*B252)</f>
        <v>0</v>
      </c>
      <c r="AL252" s="125">
        <f>IF($F$3="NO",0,IF(Valores!$C$62*B252&gt;Valores!$F$62,Valores!$F$62,Valores!$C$62*B252))</f>
        <v>0</v>
      </c>
      <c r="AM252" s="125">
        <f t="shared" si="32"/>
        <v>0</v>
      </c>
      <c r="AN252" s="125">
        <f>AH252*Valores!$C$71</f>
        <v>-14480.6783</v>
      </c>
      <c r="AO252" s="125">
        <f>AH252*-Valores!$C$72</f>
        <v>0</v>
      </c>
      <c r="AP252" s="125">
        <f>AH252*Valores!$C$73</f>
        <v>-5923.91385</v>
      </c>
      <c r="AQ252" s="125">
        <f>Valores!$C$100</f>
        <v>-554.86</v>
      </c>
      <c r="AR252" s="125">
        <f>IF($F$5=0,Valores!$C$101,(Valores!$C$101+$F$5*(Valores!$C$101)))</f>
        <v>-550</v>
      </c>
      <c r="AS252" s="125">
        <f t="shared" si="35"/>
        <v>110133.07785</v>
      </c>
      <c r="AT252" s="125">
        <f t="shared" si="29"/>
        <v>-14480.6783</v>
      </c>
      <c r="AU252" s="125">
        <f>AH252*Valores!$C$74</f>
        <v>-3554.34831</v>
      </c>
      <c r="AV252" s="125">
        <f>AH252*Valores!$C$75</f>
        <v>-394.92759</v>
      </c>
      <c r="AW252" s="125">
        <f t="shared" si="33"/>
        <v>113212.57579999999</v>
      </c>
      <c r="AX252" s="126"/>
      <c r="AY252" s="126">
        <f t="shared" si="37"/>
        <v>13</v>
      </c>
      <c r="AZ252" s="123" t="s">
        <v>4</v>
      </c>
    </row>
    <row r="253" spans="1:52" s="110" customFormat="1" ht="11.25" customHeight="1">
      <c r="A253" s="123" t="s">
        <v>471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1">
        <f t="shared" si="38"/>
        <v>1106</v>
      </c>
      <c r="F253" s="125">
        <f>ROUND(E253*Valores!$C$2,2)</f>
        <v>44994.07</v>
      </c>
      <c r="G253" s="191">
        <v>0</v>
      </c>
      <c r="H253" s="125">
        <f>ROUND(G253*Valores!$C$2,2)</f>
        <v>0</v>
      </c>
      <c r="I253" s="191">
        <v>0</v>
      </c>
      <c r="J253" s="125">
        <f>ROUND(I253*Valores!$C$2,2)</f>
        <v>0</v>
      </c>
      <c r="K253" s="191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9186.45</v>
      </c>
      <c r="N253" s="125">
        <f t="shared" si="30"/>
        <v>0</v>
      </c>
      <c r="O253" s="125">
        <f>Valores!$C$7*B253</f>
        <v>19314.960000000003</v>
      </c>
      <c r="P253" s="125">
        <f>ROUND(IF(B253&lt;15,(Valores!$E$5*B253),Valores!$D$5),2)</f>
        <v>19410.16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10174.08</v>
      </c>
      <c r="S253" s="125">
        <f>Valores!$C$18*B253</f>
        <v>6074.88</v>
      </c>
      <c r="T253" s="125">
        <f t="shared" si="36"/>
        <v>6074.88</v>
      </c>
      <c r="U253" s="125">
        <v>0</v>
      </c>
      <c r="V253" s="125">
        <v>0</v>
      </c>
      <c r="W253" s="191">
        <v>0</v>
      </c>
      <c r="X253" s="125">
        <f>ROUND(W253*Valores!$C$2,2)</f>
        <v>0</v>
      </c>
      <c r="Y253" s="125">
        <v>0</v>
      </c>
      <c r="Z253" s="125">
        <f>IF(Valores!$C$97*B253&gt;Valores!$C$96,Valores!$C$96,Valores!$C$97*B253)</f>
        <v>18545.38</v>
      </c>
      <c r="AA253" s="125">
        <f>IF((Valores!$C$28)*B253&gt;Valores!$F$28,Valores!$F$28,(Valores!$C$28)*B253)</f>
        <v>477.12</v>
      </c>
      <c r="AB253" s="210">
        <v>0</v>
      </c>
      <c r="AC253" s="125">
        <f t="shared" si="31"/>
        <v>0</v>
      </c>
      <c r="AD253" s="125">
        <f>IF(Valores!$C$29*B253&gt;Valores!$F$29,Valores!$F$29,Valores!$C$29*B253)</f>
        <v>397.32</v>
      </c>
      <c r="AE253" s="191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</f>
        <v>9076.199999999999</v>
      </c>
      <c r="AH253" s="125">
        <f t="shared" si="34"/>
        <v>137650.62000000002</v>
      </c>
      <c r="AI253" s="125">
        <f>IF(Valores!$C$32*B253&gt;Valores!$F$32,Valores!$F$32,Valores!$C$32*B253)</f>
        <v>0</v>
      </c>
      <c r="AJ253" s="125">
        <f>IF(Valores!$C$90*B253&gt;Valores!$C$89,Valores!$C$89,Valores!$C$90*B253)</f>
        <v>0</v>
      </c>
      <c r="AK253" s="125">
        <f>IF(Valores!C$39*B253&gt;Valores!F$38,Valores!F$38,Valores!C$39*B253)</f>
        <v>0</v>
      </c>
      <c r="AL253" s="125">
        <f>IF($F$3="NO",0,IF(Valores!$C$62*B253&gt;Valores!$F$62,Valores!$F$62,Valores!$C$62*B253))</f>
        <v>0</v>
      </c>
      <c r="AM253" s="125">
        <f t="shared" si="32"/>
        <v>0</v>
      </c>
      <c r="AN253" s="125">
        <f>AH253*Valores!$C$71</f>
        <v>-15141.568200000003</v>
      </c>
      <c r="AO253" s="125">
        <f>AH253*-Valores!$C$72</f>
        <v>0</v>
      </c>
      <c r="AP253" s="125">
        <f>AH253*Valores!$C$73</f>
        <v>-6194.277900000001</v>
      </c>
      <c r="AQ253" s="125">
        <f>Valores!$C$100</f>
        <v>-554.86</v>
      </c>
      <c r="AR253" s="125">
        <f>IF($F$5=0,Valores!$C$101,(Valores!$C$101+$F$5*(Valores!$C$101)))</f>
        <v>-550</v>
      </c>
      <c r="AS253" s="125">
        <f t="shared" si="35"/>
        <v>115209.91390000001</v>
      </c>
      <c r="AT253" s="125">
        <f t="shared" si="29"/>
        <v>-15141.568200000003</v>
      </c>
      <c r="AU253" s="125">
        <f>AH253*Valores!$C$74</f>
        <v>-3716.5667400000007</v>
      </c>
      <c r="AV253" s="125">
        <f>AH253*Valores!$C$75</f>
        <v>-412.95186000000007</v>
      </c>
      <c r="AW253" s="125">
        <f t="shared" si="33"/>
        <v>118379.53320000002</v>
      </c>
      <c r="AX253" s="126"/>
      <c r="AY253" s="126">
        <f t="shared" si="37"/>
        <v>14</v>
      </c>
      <c r="AZ253" s="123" t="s">
        <v>4</v>
      </c>
    </row>
    <row r="254" spans="1:52" s="110" customFormat="1" ht="11.25" customHeight="1">
      <c r="A254" s="123" t="s">
        <v>471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1">
        <f t="shared" si="38"/>
        <v>1106</v>
      </c>
      <c r="F254" s="125">
        <f>ROUND(E254*Valores!$C$2,2)</f>
        <v>44994.07</v>
      </c>
      <c r="G254" s="191">
        <v>0</v>
      </c>
      <c r="H254" s="125">
        <f>ROUND(G254*Valores!$C$2,2)</f>
        <v>0</v>
      </c>
      <c r="I254" s="191">
        <v>0</v>
      </c>
      <c r="J254" s="125">
        <f>ROUND(I254*Valores!$C$2,2)</f>
        <v>0</v>
      </c>
      <c r="K254" s="191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9186.45</v>
      </c>
      <c r="N254" s="125">
        <f t="shared" si="30"/>
        <v>0</v>
      </c>
      <c r="O254" s="125">
        <f>Valores!$C$7*B254</f>
        <v>19314.960000000003</v>
      </c>
      <c r="P254" s="125">
        <f>ROUND(IF(B254&lt;15,(Valores!$E$5*B254),Valores!$D$5),2)</f>
        <v>19410.16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10174.08</v>
      </c>
      <c r="S254" s="125">
        <f>Valores!$C$18*B254</f>
        <v>6074.88</v>
      </c>
      <c r="T254" s="125">
        <f t="shared" si="36"/>
        <v>6074.88</v>
      </c>
      <c r="U254" s="125">
        <v>0</v>
      </c>
      <c r="V254" s="125">
        <v>0</v>
      </c>
      <c r="W254" s="191">
        <v>0</v>
      </c>
      <c r="X254" s="125">
        <f>ROUND(W254*Valores!$C$2,2)</f>
        <v>0</v>
      </c>
      <c r="Y254" s="125">
        <v>0</v>
      </c>
      <c r="Z254" s="125">
        <f>IF(Valores!$C$97*B254&gt;Valores!$C$96,Valores!$C$96,Valores!$C$97*B254)</f>
        <v>18545.38</v>
      </c>
      <c r="AA254" s="125">
        <f>IF((Valores!$C$28)*B254&gt;Valores!$F$28,Valores!$F$28,(Valores!$C$28)*B254)</f>
        <v>477.12</v>
      </c>
      <c r="AB254" s="210">
        <v>0</v>
      </c>
      <c r="AC254" s="125">
        <f t="shared" si="31"/>
        <v>0</v>
      </c>
      <c r="AD254" s="125">
        <f>IF(Valores!$C$29*B254&gt;Valores!$F$29,Valores!$F$29,Valores!$C$29*B254)</f>
        <v>397.32</v>
      </c>
      <c r="AE254" s="191">
        <v>94</v>
      </c>
      <c r="AF254" s="125">
        <f>ROUND(AE254*Valores!$C$2,2)</f>
        <v>3824.09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</f>
        <v>9076.199999999999</v>
      </c>
      <c r="AH254" s="125">
        <f t="shared" si="34"/>
        <v>141474.71000000005</v>
      </c>
      <c r="AI254" s="125">
        <f>IF(Valores!$C$32*B254&gt;Valores!$F$32,Valores!$F$32,Valores!$C$32*B254)</f>
        <v>0</v>
      </c>
      <c r="AJ254" s="125">
        <f>IF(Valores!$C$90*B254&gt;Valores!$C$89,Valores!$C$89,Valores!$C$90*B254)</f>
        <v>0</v>
      </c>
      <c r="AK254" s="125">
        <f>IF(Valores!C$39*B254&gt;Valores!F$38,Valores!F$38,Valores!C$39*B254)</f>
        <v>0</v>
      </c>
      <c r="AL254" s="125">
        <f>IF($F$3="NO",0,IF(Valores!$C$62*B254&gt;Valores!$F$62,Valores!$F$62,Valores!$C$62*B254))</f>
        <v>0</v>
      </c>
      <c r="AM254" s="125">
        <f t="shared" si="32"/>
        <v>0</v>
      </c>
      <c r="AN254" s="125">
        <f>AH254*Valores!$C$71</f>
        <v>-15562.218100000006</v>
      </c>
      <c r="AO254" s="125">
        <f>AH254*-Valores!$C$72</f>
        <v>0</v>
      </c>
      <c r="AP254" s="125">
        <f>AH254*Valores!$C$73</f>
        <v>-6366.361950000002</v>
      </c>
      <c r="AQ254" s="125">
        <f>Valores!$C$100</f>
        <v>-554.86</v>
      </c>
      <c r="AR254" s="125">
        <f>IF($F$5=0,Valores!$C$101,(Valores!$C$101+$F$5*(Valores!$C$101)))</f>
        <v>-550</v>
      </c>
      <c r="AS254" s="125">
        <f t="shared" si="35"/>
        <v>118441.26995000005</v>
      </c>
      <c r="AT254" s="125">
        <f t="shared" si="29"/>
        <v>-15562.218100000006</v>
      </c>
      <c r="AU254" s="125">
        <f>AH254*Valores!$C$74</f>
        <v>-3819.817170000001</v>
      </c>
      <c r="AV254" s="125">
        <f>AH254*Valores!$C$75</f>
        <v>-424.42413000000016</v>
      </c>
      <c r="AW254" s="125">
        <f t="shared" si="33"/>
        <v>121668.25060000004</v>
      </c>
      <c r="AX254" s="126"/>
      <c r="AY254" s="126">
        <f t="shared" si="37"/>
        <v>14</v>
      </c>
      <c r="AZ254" s="123" t="s">
        <v>4</v>
      </c>
    </row>
    <row r="255" spans="1:52" s="110" customFormat="1" ht="11.25" customHeight="1">
      <c r="A255" s="123" t="s">
        <v>471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1">
        <f t="shared" si="38"/>
        <v>1185</v>
      </c>
      <c r="F255" s="125">
        <f>ROUND(E255*Valores!$C$2,2)</f>
        <v>48207.93</v>
      </c>
      <c r="G255" s="191">
        <v>0</v>
      </c>
      <c r="H255" s="125">
        <f>ROUND(G255*Valores!$C$2,2)</f>
        <v>0</v>
      </c>
      <c r="I255" s="191">
        <v>0</v>
      </c>
      <c r="J255" s="125">
        <f>ROUND(I255*Valores!$C$2,2)</f>
        <v>0</v>
      </c>
      <c r="K255" s="191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9842.63</v>
      </c>
      <c r="N255" s="125">
        <f t="shared" si="30"/>
        <v>0</v>
      </c>
      <c r="O255" s="125">
        <f>Valores!$C$7*B255</f>
        <v>20694.600000000002</v>
      </c>
      <c r="P255" s="125">
        <f>ROUND(IF(B255&lt;15,(Valores!$E$5*B255),Valores!$D$5),2)</f>
        <v>20796.54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10900.800000000001</v>
      </c>
      <c r="S255" s="125">
        <f>Valores!$C$18*B255</f>
        <v>6508.8</v>
      </c>
      <c r="T255" s="125">
        <f t="shared" si="36"/>
        <v>6508.8</v>
      </c>
      <c r="U255" s="125">
        <v>0</v>
      </c>
      <c r="V255" s="125">
        <v>0</v>
      </c>
      <c r="W255" s="191">
        <v>0</v>
      </c>
      <c r="X255" s="125">
        <f>ROUND(W255*Valores!$C$2,2)</f>
        <v>0</v>
      </c>
      <c r="Y255" s="125">
        <v>0</v>
      </c>
      <c r="Z255" s="125">
        <f>IF(Valores!$C$97*B255&gt;Valores!$C$96,Valores!$C$96,Valores!$C$97*B255)</f>
        <v>19870.050000000003</v>
      </c>
      <c r="AA255" s="125">
        <f>IF((Valores!$C$28)*B255&gt;Valores!$F$28,Valores!$F$28,(Valores!$C$28)*B255)</f>
        <v>511.2</v>
      </c>
      <c r="AB255" s="210">
        <v>0</v>
      </c>
      <c r="AC255" s="125">
        <f t="shared" si="31"/>
        <v>0</v>
      </c>
      <c r="AD255" s="125">
        <f>IF(Valores!$C$29*B255&gt;Valores!$F$29,Valores!$F$29,Valores!$C$29*B255)</f>
        <v>425.7</v>
      </c>
      <c r="AE255" s="191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</f>
        <v>9724.5</v>
      </c>
      <c r="AH255" s="125">
        <f t="shared" si="34"/>
        <v>147482.75000000006</v>
      </c>
      <c r="AI255" s="125">
        <f>IF(Valores!$C$32*B255&gt;Valores!$F$32,Valores!$F$32,Valores!$C$32*B255)</f>
        <v>0</v>
      </c>
      <c r="AJ255" s="125">
        <f>IF(Valores!$C$90*B255&gt;Valores!$C$89,Valores!$C$89,Valores!$C$90*B255)</f>
        <v>0</v>
      </c>
      <c r="AK255" s="125">
        <f>IF(Valores!C$39*B255&gt;Valores!F$38,Valores!F$38,Valores!C$39*B255)</f>
        <v>0</v>
      </c>
      <c r="AL255" s="125">
        <f>IF($F$3="NO",0,IF(Valores!$C$62*B255&gt;Valores!$F$62,Valores!$F$62,Valores!$C$62*B255))</f>
        <v>0</v>
      </c>
      <c r="AM255" s="125">
        <f t="shared" si="32"/>
        <v>0</v>
      </c>
      <c r="AN255" s="125">
        <f>AH255*Valores!$C$71</f>
        <v>-16223.102500000006</v>
      </c>
      <c r="AO255" s="125">
        <f>AH255*-Valores!$C$72</f>
        <v>0</v>
      </c>
      <c r="AP255" s="125">
        <f>AH255*Valores!$C$73</f>
        <v>-6636.723750000002</v>
      </c>
      <c r="AQ255" s="125">
        <f>Valores!$C$100</f>
        <v>-554.86</v>
      </c>
      <c r="AR255" s="125">
        <f>IF($F$5=0,Valores!$C$101,(Valores!$C$101+$F$5*(Valores!$C$101)))</f>
        <v>-550</v>
      </c>
      <c r="AS255" s="125">
        <f t="shared" si="35"/>
        <v>123518.06375000004</v>
      </c>
      <c r="AT255" s="125">
        <f t="shared" si="29"/>
        <v>-16223.102500000006</v>
      </c>
      <c r="AU255" s="125">
        <f>AH255*Valores!$C$74</f>
        <v>-3982.0342500000015</v>
      </c>
      <c r="AV255" s="125">
        <f>AH255*Valores!$C$75</f>
        <v>-442.4482500000002</v>
      </c>
      <c r="AW255" s="125">
        <f t="shared" si="33"/>
        <v>126835.16500000005</v>
      </c>
      <c r="AX255" s="126"/>
      <c r="AY255" s="126">
        <f aca="true" t="shared" si="39" ref="AY255:AY286">1*B255</f>
        <v>15</v>
      </c>
      <c r="AZ255" s="123" t="s">
        <v>4</v>
      </c>
    </row>
    <row r="256" spans="1:52" s="110" customFormat="1" ht="11.25" customHeight="1">
      <c r="A256" s="123" t="s">
        <v>471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1">
        <f t="shared" si="38"/>
        <v>1185</v>
      </c>
      <c r="F256" s="125">
        <f>ROUND(E256*Valores!$C$2,2)</f>
        <v>48207.93</v>
      </c>
      <c r="G256" s="191">
        <v>0</v>
      </c>
      <c r="H256" s="125">
        <f>ROUND(G256*Valores!$C$2,2)</f>
        <v>0</v>
      </c>
      <c r="I256" s="191">
        <v>0</v>
      </c>
      <c r="J256" s="125">
        <f>ROUND(I256*Valores!$C$2,2)</f>
        <v>0</v>
      </c>
      <c r="K256" s="191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9842.63</v>
      </c>
      <c r="N256" s="125">
        <f t="shared" si="30"/>
        <v>0</v>
      </c>
      <c r="O256" s="125">
        <f>Valores!$C$7*B256</f>
        <v>20694.600000000002</v>
      </c>
      <c r="P256" s="125">
        <f>ROUND(IF(B256&lt;15,(Valores!$E$5*B256),Valores!$D$5),2)</f>
        <v>20796.54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10900.800000000001</v>
      </c>
      <c r="S256" s="125">
        <f>Valores!$C$18*B256</f>
        <v>6508.8</v>
      </c>
      <c r="T256" s="125">
        <f t="shared" si="36"/>
        <v>6508.8</v>
      </c>
      <c r="U256" s="125">
        <v>0</v>
      </c>
      <c r="V256" s="125">
        <v>0</v>
      </c>
      <c r="W256" s="191">
        <v>0</v>
      </c>
      <c r="X256" s="125">
        <f>ROUND(W256*Valores!$C$2,2)</f>
        <v>0</v>
      </c>
      <c r="Y256" s="125">
        <v>0</v>
      </c>
      <c r="Z256" s="125">
        <f>IF(Valores!$C$97*B256&gt;Valores!$C$96,Valores!$C$96,Valores!$C$97*B256)</f>
        <v>19870.050000000003</v>
      </c>
      <c r="AA256" s="125">
        <f>IF((Valores!$C$28)*B256&gt;Valores!$F$28,Valores!$F$28,(Valores!$C$28)*B256)</f>
        <v>511.2</v>
      </c>
      <c r="AB256" s="210">
        <v>0</v>
      </c>
      <c r="AC256" s="125">
        <f t="shared" si="31"/>
        <v>0</v>
      </c>
      <c r="AD256" s="125">
        <f>IF(Valores!$C$29*B256&gt;Valores!$F$29,Valores!$F$29,Valores!$C$29*B256)</f>
        <v>425.7</v>
      </c>
      <c r="AE256" s="191">
        <v>94</v>
      </c>
      <c r="AF256" s="125">
        <f>ROUND(AE256*Valores!$C$2,2)</f>
        <v>3824.09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</f>
        <v>9724.5</v>
      </c>
      <c r="AH256" s="125">
        <f t="shared" si="34"/>
        <v>151306.84000000005</v>
      </c>
      <c r="AI256" s="125">
        <f>IF(Valores!$C$32*B256&gt;Valores!$F$32,Valores!$F$32,Valores!$C$32*B256)</f>
        <v>0</v>
      </c>
      <c r="AJ256" s="125">
        <f>IF(Valores!$C$90*B256&gt;Valores!$C$89,Valores!$C$89,Valores!$C$90*B256)</f>
        <v>0</v>
      </c>
      <c r="AK256" s="125">
        <f>IF(Valores!C$39*B256&gt;Valores!F$38,Valores!F$38,Valores!C$39*B256)</f>
        <v>0</v>
      </c>
      <c r="AL256" s="125">
        <f>IF($F$3="NO",0,IF(Valores!$C$62*B256&gt;Valores!$F$62,Valores!$F$62,Valores!$C$62*B256))</f>
        <v>0</v>
      </c>
      <c r="AM256" s="125">
        <f t="shared" si="32"/>
        <v>0</v>
      </c>
      <c r="AN256" s="125">
        <f>AH256*Valores!$C$71</f>
        <v>-16643.752400000005</v>
      </c>
      <c r="AO256" s="125">
        <f>AH256*-Valores!$C$72</f>
        <v>0</v>
      </c>
      <c r="AP256" s="125">
        <f>AH256*Valores!$C$73</f>
        <v>-6808.807800000002</v>
      </c>
      <c r="AQ256" s="125">
        <f>Valores!$C$100</f>
        <v>-554.86</v>
      </c>
      <c r="AR256" s="125">
        <f>IF($F$5=0,Valores!$C$101,(Valores!$C$101+$F$5*(Valores!$C$101)))</f>
        <v>-550</v>
      </c>
      <c r="AS256" s="125">
        <f t="shared" si="35"/>
        <v>126749.41980000005</v>
      </c>
      <c r="AT256" s="125">
        <f t="shared" si="29"/>
        <v>-16643.752400000005</v>
      </c>
      <c r="AU256" s="125">
        <f>AH256*Valores!$C$74</f>
        <v>-4085.2846800000016</v>
      </c>
      <c r="AV256" s="125">
        <f>AH256*Valores!$C$75</f>
        <v>-453.9205200000002</v>
      </c>
      <c r="AW256" s="125">
        <f t="shared" si="33"/>
        <v>130123.88240000005</v>
      </c>
      <c r="AX256" s="126"/>
      <c r="AY256" s="126">
        <f t="shared" si="39"/>
        <v>15</v>
      </c>
      <c r="AZ256" s="123" t="s">
        <v>4</v>
      </c>
    </row>
    <row r="257" spans="1:52" s="110" customFormat="1" ht="11.25" customHeight="1">
      <c r="A257" s="123" t="s">
        <v>471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1">
        <f t="shared" si="38"/>
        <v>1264</v>
      </c>
      <c r="F257" s="125">
        <f>ROUND(E257*Valores!$C$2,2)</f>
        <v>51421.8</v>
      </c>
      <c r="G257" s="191">
        <v>0</v>
      </c>
      <c r="H257" s="125">
        <f>ROUND(G257*Valores!$C$2,2)</f>
        <v>0</v>
      </c>
      <c r="I257" s="191">
        <v>0</v>
      </c>
      <c r="J257" s="125">
        <f>ROUND(I257*Valores!$C$2,2)</f>
        <v>0</v>
      </c>
      <c r="K257" s="191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10498.81</v>
      </c>
      <c r="N257" s="125">
        <f t="shared" si="30"/>
        <v>0</v>
      </c>
      <c r="O257" s="125">
        <f>Valores!$C$7*B257</f>
        <v>22074.24</v>
      </c>
      <c r="P257" s="125">
        <f>ROUND(IF(B257&lt;15,(Valores!$E$5*B257),Valores!$D$5),2)</f>
        <v>20796.54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11627.52</v>
      </c>
      <c r="S257" s="125">
        <f>Valores!$C$18*B257</f>
        <v>6942.72</v>
      </c>
      <c r="T257" s="125">
        <f t="shared" si="36"/>
        <v>6942.72</v>
      </c>
      <c r="U257" s="125">
        <v>0</v>
      </c>
      <c r="V257" s="125">
        <v>0</v>
      </c>
      <c r="W257" s="191">
        <v>0</v>
      </c>
      <c r="X257" s="125">
        <f>ROUND(W257*Valores!$C$2,2)</f>
        <v>0</v>
      </c>
      <c r="Y257" s="125">
        <v>0</v>
      </c>
      <c r="Z257" s="125">
        <f>IF(Valores!$C$97*B257&gt;Valores!$C$96,Valores!$C$96,Valores!$C$97*B257)</f>
        <v>21194.72</v>
      </c>
      <c r="AA257" s="125">
        <f>IF((Valores!$C$28)*B257&gt;Valores!$F$28,Valores!$F$28,(Valores!$C$28)*B257)</f>
        <v>545.28</v>
      </c>
      <c r="AB257" s="210">
        <v>0</v>
      </c>
      <c r="AC257" s="125">
        <f t="shared" si="31"/>
        <v>0</v>
      </c>
      <c r="AD257" s="125">
        <f>IF(Valores!$C$29*B257&gt;Valores!$F$29,Valores!$F$29,Valores!$C$29*B257)</f>
        <v>454.08</v>
      </c>
      <c r="AE257" s="191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</f>
        <v>10372.8</v>
      </c>
      <c r="AH257" s="125">
        <f t="shared" si="34"/>
        <v>155928.51</v>
      </c>
      <c r="AI257" s="125">
        <f>IF(Valores!$C$32*B257&gt;Valores!$F$32,Valores!$F$32,Valores!$C$32*B257)</f>
        <v>0</v>
      </c>
      <c r="AJ257" s="125">
        <f>IF(Valores!$C$90*B257&gt;Valores!$C$89,Valores!$C$89,Valores!$C$90*B257)</f>
        <v>0</v>
      </c>
      <c r="AK257" s="125">
        <f>IF(Valores!C$39*B257&gt;Valores!F$38,Valores!F$38,Valores!C$39*B257)</f>
        <v>0</v>
      </c>
      <c r="AL257" s="125">
        <f>IF($F$3="NO",0,IF(Valores!$C$62*B257&gt;Valores!$F$62,Valores!$F$62,Valores!$C$62*B257))</f>
        <v>0</v>
      </c>
      <c r="AM257" s="125">
        <f t="shared" si="32"/>
        <v>0</v>
      </c>
      <c r="AN257" s="125">
        <f>AH257*Valores!$C$71</f>
        <v>-17152.1361</v>
      </c>
      <c r="AO257" s="125">
        <f>AH257*-Valores!$C$72</f>
        <v>0</v>
      </c>
      <c r="AP257" s="125">
        <f>AH257*Valores!$C$73</f>
        <v>-7016.78295</v>
      </c>
      <c r="AQ257" s="125">
        <f>Valores!$C$100</f>
        <v>-554.86</v>
      </c>
      <c r="AR257" s="125">
        <f>IF($F$5=0,Valores!$C$101,(Valores!$C$101+$F$5*(Valores!$C$101)))</f>
        <v>-550</v>
      </c>
      <c r="AS257" s="125">
        <f t="shared" si="35"/>
        <v>130654.73095000001</v>
      </c>
      <c r="AT257" s="125">
        <f t="shared" si="29"/>
        <v>-17152.1361</v>
      </c>
      <c r="AU257" s="125">
        <f>AH257*Valores!$C$74</f>
        <v>-4210.06977</v>
      </c>
      <c r="AV257" s="125">
        <f>AH257*Valores!$C$75</f>
        <v>-467.78553000000005</v>
      </c>
      <c r="AW257" s="125">
        <f t="shared" si="33"/>
        <v>134098.5186</v>
      </c>
      <c r="AX257" s="126"/>
      <c r="AY257" s="126">
        <f t="shared" si="39"/>
        <v>16</v>
      </c>
      <c r="AZ257" s="123" t="s">
        <v>4</v>
      </c>
    </row>
    <row r="258" spans="1:52" s="110" customFormat="1" ht="11.25" customHeight="1">
      <c r="A258" s="123" t="s">
        <v>471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1">
        <f t="shared" si="38"/>
        <v>1264</v>
      </c>
      <c r="F258" s="125">
        <f>ROUND(E258*Valores!$C$2,2)</f>
        <v>51421.8</v>
      </c>
      <c r="G258" s="191">
        <v>0</v>
      </c>
      <c r="H258" s="125">
        <f>ROUND(G258*Valores!$C$2,2)</f>
        <v>0</v>
      </c>
      <c r="I258" s="191">
        <v>0</v>
      </c>
      <c r="J258" s="125">
        <f>ROUND(I258*Valores!$C$2,2)</f>
        <v>0</v>
      </c>
      <c r="K258" s="191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10498.81</v>
      </c>
      <c r="N258" s="125">
        <f t="shared" si="30"/>
        <v>0</v>
      </c>
      <c r="O258" s="125">
        <f>Valores!$C$7*B258</f>
        <v>22074.24</v>
      </c>
      <c r="P258" s="125">
        <f>ROUND(IF(B258&lt;15,(Valores!$E$5*B258),Valores!$D$5),2)</f>
        <v>20796.54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11627.52</v>
      </c>
      <c r="S258" s="125">
        <f>Valores!$C$18*B258</f>
        <v>6942.72</v>
      </c>
      <c r="T258" s="125">
        <f t="shared" si="36"/>
        <v>6942.72</v>
      </c>
      <c r="U258" s="125">
        <v>0</v>
      </c>
      <c r="V258" s="125">
        <v>0</v>
      </c>
      <c r="W258" s="191">
        <v>0</v>
      </c>
      <c r="X258" s="125">
        <f>ROUND(W258*Valores!$C$2,2)</f>
        <v>0</v>
      </c>
      <c r="Y258" s="125">
        <v>0</v>
      </c>
      <c r="Z258" s="125">
        <f>IF(Valores!$C$97*B258&gt;Valores!$C$96,Valores!$C$96,Valores!$C$97*B258)</f>
        <v>21194.72</v>
      </c>
      <c r="AA258" s="125">
        <f>IF((Valores!$C$28)*B258&gt;Valores!$F$28,Valores!$F$28,(Valores!$C$28)*B258)</f>
        <v>545.28</v>
      </c>
      <c r="AB258" s="210">
        <v>0</v>
      </c>
      <c r="AC258" s="125">
        <f t="shared" si="31"/>
        <v>0</v>
      </c>
      <c r="AD258" s="125">
        <f>IF(Valores!$C$29*B258&gt;Valores!$F$29,Valores!$F$29,Valores!$C$29*B258)</f>
        <v>454.08</v>
      </c>
      <c r="AE258" s="191">
        <v>94</v>
      </c>
      <c r="AF258" s="125">
        <f>ROUND(AE258*Valores!$C$2,2)</f>
        <v>3824.09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</f>
        <v>10372.8</v>
      </c>
      <c r="AH258" s="125">
        <f t="shared" si="34"/>
        <v>159752.6</v>
      </c>
      <c r="AI258" s="125">
        <f>IF(Valores!$C$32*B258&gt;Valores!$F$32,Valores!$F$32,Valores!$C$32*B258)</f>
        <v>0</v>
      </c>
      <c r="AJ258" s="125">
        <f>IF(Valores!$C$90*B258&gt;Valores!$C$89,Valores!$C$89,Valores!$C$90*B258)</f>
        <v>0</v>
      </c>
      <c r="AK258" s="125">
        <f>IF(Valores!C$39*B258&gt;Valores!F$38,Valores!F$38,Valores!C$39*B258)</f>
        <v>0</v>
      </c>
      <c r="AL258" s="125">
        <f>IF($F$3="NO",0,IF(Valores!$C$62*B258&gt;Valores!$F$62,Valores!$F$62,Valores!$C$62*B258))</f>
        <v>0</v>
      </c>
      <c r="AM258" s="125">
        <f t="shared" si="32"/>
        <v>0</v>
      </c>
      <c r="AN258" s="125">
        <f>AH258*Valores!$C$71</f>
        <v>-17572.786</v>
      </c>
      <c r="AO258" s="125">
        <f>AH258*-Valores!$C$72</f>
        <v>0</v>
      </c>
      <c r="AP258" s="125">
        <f>AH258*Valores!$C$73</f>
        <v>-7188.867</v>
      </c>
      <c r="AQ258" s="125">
        <f>Valores!$C$100</f>
        <v>-554.86</v>
      </c>
      <c r="AR258" s="125">
        <f>IF($F$5=0,Valores!$C$101,(Valores!$C$101+$F$5*(Valores!$C$101)))</f>
        <v>-550</v>
      </c>
      <c r="AS258" s="125">
        <f t="shared" si="35"/>
        <v>133886.087</v>
      </c>
      <c r="AT258" s="125">
        <f t="shared" si="29"/>
        <v>-17572.786</v>
      </c>
      <c r="AU258" s="125">
        <f>AH258*Valores!$C$74</f>
        <v>-4313.3202</v>
      </c>
      <c r="AV258" s="125">
        <f>AH258*Valores!$C$75</f>
        <v>-479.25780000000003</v>
      </c>
      <c r="AW258" s="125">
        <f t="shared" si="33"/>
        <v>137387.236</v>
      </c>
      <c r="AX258" s="126"/>
      <c r="AY258" s="126">
        <f t="shared" si="39"/>
        <v>16</v>
      </c>
      <c r="AZ258" s="123" t="s">
        <v>4</v>
      </c>
    </row>
    <row r="259" spans="1:52" s="110" customFormat="1" ht="11.25" customHeight="1">
      <c r="A259" s="123" t="s">
        <v>471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1">
        <f aca="true" t="shared" si="40" ref="E259:E290">79*B259</f>
        <v>1343</v>
      </c>
      <c r="F259" s="125">
        <f>ROUND(E259*Valores!$C$2,2)</f>
        <v>54635.66</v>
      </c>
      <c r="G259" s="191">
        <v>0</v>
      </c>
      <c r="H259" s="125">
        <f>ROUND(G259*Valores!$C$2,2)</f>
        <v>0</v>
      </c>
      <c r="I259" s="191">
        <v>0</v>
      </c>
      <c r="J259" s="125">
        <f>ROUND(I259*Valores!$C$2,2)</f>
        <v>0</v>
      </c>
      <c r="K259" s="191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11154.98</v>
      </c>
      <c r="N259" s="125">
        <f t="shared" si="30"/>
        <v>0</v>
      </c>
      <c r="O259" s="125">
        <f>Valores!$C$7*B259</f>
        <v>23453.88</v>
      </c>
      <c r="P259" s="125">
        <f>ROUND(IF(B259&lt;15,(Valores!$E$5*B259),Valores!$D$5),2)</f>
        <v>20796.54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12354.24</v>
      </c>
      <c r="S259" s="125">
        <f>Valores!$C$18*B259</f>
        <v>7376.64</v>
      </c>
      <c r="T259" s="125">
        <f t="shared" si="36"/>
        <v>7376.64</v>
      </c>
      <c r="U259" s="125">
        <v>0</v>
      </c>
      <c r="V259" s="125">
        <v>0</v>
      </c>
      <c r="W259" s="191">
        <v>0</v>
      </c>
      <c r="X259" s="125">
        <f>ROUND(W259*Valores!$C$2,2)</f>
        <v>0</v>
      </c>
      <c r="Y259" s="125">
        <v>0</v>
      </c>
      <c r="Z259" s="125">
        <f>IF(Valores!$C$97*B259&gt;Valores!$C$96,Valores!$C$96,Valores!$C$97*B259)</f>
        <v>22519.39</v>
      </c>
      <c r="AA259" s="125">
        <f>IF((Valores!$C$28)*B259&gt;Valores!$F$28,Valores!$F$28,(Valores!$C$28)*B259)</f>
        <v>579.36</v>
      </c>
      <c r="AB259" s="210">
        <v>0</v>
      </c>
      <c r="AC259" s="125">
        <f t="shared" si="31"/>
        <v>0</v>
      </c>
      <c r="AD259" s="125">
        <f>IF(Valores!$C$29*B259&gt;Valores!$F$29,Valores!$F$29,Valores!$C$29*B259)</f>
        <v>482.46</v>
      </c>
      <c r="AE259" s="191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</f>
        <v>11021.099999999999</v>
      </c>
      <c r="AH259" s="125">
        <f t="shared" si="34"/>
        <v>164374.25</v>
      </c>
      <c r="AI259" s="125">
        <f>IF(Valores!$C$32*B259&gt;Valores!$F$32,Valores!$F$32,Valores!$C$32*B259)</f>
        <v>0</v>
      </c>
      <c r="AJ259" s="125">
        <f>IF(Valores!$C$90*B259&gt;Valores!$C$89,Valores!$C$89,Valores!$C$90*B259)</f>
        <v>0</v>
      </c>
      <c r="AK259" s="125">
        <f>IF(Valores!C$39*B259&gt;Valores!F$38,Valores!F$38,Valores!C$39*B259)</f>
        <v>0</v>
      </c>
      <c r="AL259" s="125">
        <f>IF($F$3="NO",0,IF(Valores!$C$62*B259&gt;Valores!$F$62,Valores!$F$62,Valores!$C$62*B259))</f>
        <v>0</v>
      </c>
      <c r="AM259" s="125">
        <f t="shared" si="32"/>
        <v>0</v>
      </c>
      <c r="AN259" s="125">
        <f>AH259*Valores!$C$71</f>
        <v>-18081.1675</v>
      </c>
      <c r="AO259" s="125">
        <f>AH259*-Valores!$C$72</f>
        <v>0</v>
      </c>
      <c r="AP259" s="125">
        <f>AH259*Valores!$C$73</f>
        <v>-7396.8412499999995</v>
      </c>
      <c r="AQ259" s="125">
        <f>Valores!$C$100</f>
        <v>-554.86</v>
      </c>
      <c r="AR259" s="125">
        <f>IF($F$5=0,Valores!$C$101,(Valores!$C$101+$F$5*(Valores!$C$101)))</f>
        <v>-550</v>
      </c>
      <c r="AS259" s="125">
        <f t="shared" si="35"/>
        <v>137791.38125</v>
      </c>
      <c r="AT259" s="125">
        <f t="shared" si="29"/>
        <v>-18081.1675</v>
      </c>
      <c r="AU259" s="125">
        <f>AH259*Valores!$C$74</f>
        <v>-4438.1047499999995</v>
      </c>
      <c r="AV259" s="125">
        <f>AH259*Valores!$C$75</f>
        <v>-493.12275</v>
      </c>
      <c r="AW259" s="125">
        <f t="shared" si="33"/>
        <v>141361.855</v>
      </c>
      <c r="AX259" s="126"/>
      <c r="AY259" s="126">
        <f t="shared" si="39"/>
        <v>17</v>
      </c>
      <c r="AZ259" s="123" t="s">
        <v>4</v>
      </c>
    </row>
    <row r="260" spans="1:52" s="110" customFormat="1" ht="11.25" customHeight="1">
      <c r="A260" s="123" t="s">
        <v>471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1">
        <f t="shared" si="40"/>
        <v>1343</v>
      </c>
      <c r="F260" s="125">
        <f>ROUND(E260*Valores!$C$2,2)</f>
        <v>54635.66</v>
      </c>
      <c r="G260" s="191">
        <v>0</v>
      </c>
      <c r="H260" s="125">
        <f>ROUND(G260*Valores!$C$2,2)</f>
        <v>0</v>
      </c>
      <c r="I260" s="191">
        <v>0</v>
      </c>
      <c r="J260" s="125">
        <f>ROUND(I260*Valores!$C$2,2)</f>
        <v>0</v>
      </c>
      <c r="K260" s="191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11154.98</v>
      </c>
      <c r="N260" s="125">
        <f t="shared" si="30"/>
        <v>0</v>
      </c>
      <c r="O260" s="125">
        <f>Valores!$C$7*B260</f>
        <v>23453.88</v>
      </c>
      <c r="P260" s="125">
        <f>ROUND(IF(B260&lt;15,(Valores!$E$5*B260),Valores!$D$5),2)</f>
        <v>20796.54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12354.24</v>
      </c>
      <c r="S260" s="125">
        <f>Valores!$C$18*B260</f>
        <v>7376.64</v>
      </c>
      <c r="T260" s="125">
        <f t="shared" si="36"/>
        <v>7376.64</v>
      </c>
      <c r="U260" s="125">
        <v>0</v>
      </c>
      <c r="V260" s="125">
        <v>0</v>
      </c>
      <c r="W260" s="191">
        <v>0</v>
      </c>
      <c r="X260" s="125">
        <f>ROUND(W260*Valores!$C$2,2)</f>
        <v>0</v>
      </c>
      <c r="Y260" s="125">
        <v>0</v>
      </c>
      <c r="Z260" s="125">
        <f>IF(Valores!$C$97*B260&gt;Valores!$C$96,Valores!$C$96,Valores!$C$97*B260)</f>
        <v>22519.39</v>
      </c>
      <c r="AA260" s="125">
        <f>IF((Valores!$C$28)*B260&gt;Valores!$F$28,Valores!$F$28,(Valores!$C$28)*B260)</f>
        <v>579.36</v>
      </c>
      <c r="AB260" s="210">
        <v>0</v>
      </c>
      <c r="AC260" s="125">
        <f t="shared" si="31"/>
        <v>0</v>
      </c>
      <c r="AD260" s="125">
        <f>IF(Valores!$C$29*B260&gt;Valores!$F$29,Valores!$F$29,Valores!$C$29*B260)</f>
        <v>482.46</v>
      </c>
      <c r="AE260" s="191">
        <v>94</v>
      </c>
      <c r="AF260" s="125">
        <f>ROUND(AE260*Valores!$C$2,2)</f>
        <v>3824.09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</f>
        <v>11021.099999999999</v>
      </c>
      <c r="AH260" s="125">
        <f t="shared" si="34"/>
        <v>168198.34</v>
      </c>
      <c r="AI260" s="125">
        <f>IF(Valores!$C$32*B260&gt;Valores!$F$32,Valores!$F$32,Valores!$C$32*B260)</f>
        <v>0</v>
      </c>
      <c r="AJ260" s="125">
        <f>IF(Valores!$C$90*B260&gt;Valores!$C$89,Valores!$C$89,Valores!$C$90*B260)</f>
        <v>0</v>
      </c>
      <c r="AK260" s="125">
        <f>IF(Valores!C$39*B260&gt;Valores!F$38,Valores!F$38,Valores!C$39*B260)</f>
        <v>0</v>
      </c>
      <c r="AL260" s="125">
        <f>IF($F$3="NO",0,IF(Valores!$C$62*B260&gt;Valores!$F$62,Valores!$F$62,Valores!$C$62*B260))</f>
        <v>0</v>
      </c>
      <c r="AM260" s="125">
        <f t="shared" si="32"/>
        <v>0</v>
      </c>
      <c r="AN260" s="125">
        <f>AH260*Valores!$C$71</f>
        <v>-18501.8174</v>
      </c>
      <c r="AO260" s="125">
        <f>AH260*-Valores!$C$72</f>
        <v>0</v>
      </c>
      <c r="AP260" s="125">
        <f>AH260*Valores!$C$73</f>
        <v>-7568.9253</v>
      </c>
      <c r="AQ260" s="125">
        <f>Valores!$C$100</f>
        <v>-554.86</v>
      </c>
      <c r="AR260" s="125">
        <f>IF($F$5=0,Valores!$C$101,(Valores!$C$101+$F$5*(Valores!$C$101)))</f>
        <v>-550</v>
      </c>
      <c r="AS260" s="125">
        <f t="shared" si="35"/>
        <v>141022.7373</v>
      </c>
      <c r="AT260" s="125">
        <f t="shared" si="29"/>
        <v>-18501.8174</v>
      </c>
      <c r="AU260" s="125">
        <f>AH260*Valores!$C$74</f>
        <v>-4541.35518</v>
      </c>
      <c r="AV260" s="125">
        <f>AH260*Valores!$C$75</f>
        <v>-504.59502</v>
      </c>
      <c r="AW260" s="125">
        <f t="shared" si="33"/>
        <v>144650.5724</v>
      </c>
      <c r="AX260" s="126"/>
      <c r="AY260" s="126">
        <f t="shared" si="39"/>
        <v>17</v>
      </c>
      <c r="AZ260" s="123" t="s">
        <v>4</v>
      </c>
    </row>
    <row r="261" spans="1:52" s="110" customFormat="1" ht="11.25" customHeight="1">
      <c r="A261" s="123" t="s">
        <v>471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1">
        <f t="shared" si="40"/>
        <v>1422</v>
      </c>
      <c r="F261" s="125">
        <f>ROUND(E261*Valores!$C$2,2)</f>
        <v>57849.52</v>
      </c>
      <c r="G261" s="191">
        <v>0</v>
      </c>
      <c r="H261" s="125">
        <f>ROUND(G261*Valores!$C$2,2)</f>
        <v>0</v>
      </c>
      <c r="I261" s="191">
        <v>0</v>
      </c>
      <c r="J261" s="125">
        <f>ROUND(I261*Valores!$C$2,2)</f>
        <v>0</v>
      </c>
      <c r="K261" s="191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11811.16</v>
      </c>
      <c r="N261" s="125">
        <f t="shared" si="30"/>
        <v>0</v>
      </c>
      <c r="O261" s="125">
        <f>Valores!$C$7*B261</f>
        <v>24833.52</v>
      </c>
      <c r="P261" s="125">
        <f>ROUND(IF(B261&lt;15,(Valores!$E$5*B261),Valores!$D$5),2)</f>
        <v>20796.54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13080.960000000001</v>
      </c>
      <c r="S261" s="125">
        <f>Valores!$C$18*B261</f>
        <v>7810.56</v>
      </c>
      <c r="T261" s="125">
        <f t="shared" si="36"/>
        <v>7810.56</v>
      </c>
      <c r="U261" s="125">
        <v>0</v>
      </c>
      <c r="V261" s="125">
        <v>0</v>
      </c>
      <c r="W261" s="191">
        <v>0</v>
      </c>
      <c r="X261" s="125">
        <f>ROUND(W261*Valores!$C$2,2)</f>
        <v>0</v>
      </c>
      <c r="Y261" s="125">
        <v>0</v>
      </c>
      <c r="Z261" s="125">
        <f>IF(Valores!$C$97*B261&gt;Valores!$C$96,Valores!$C$96,Valores!$C$97*B261)</f>
        <v>23844.06</v>
      </c>
      <c r="AA261" s="125">
        <f>IF((Valores!$C$28)*B261&gt;Valores!$F$28,Valores!$F$28,(Valores!$C$28)*B261)</f>
        <v>613.4399999999999</v>
      </c>
      <c r="AB261" s="210">
        <v>0</v>
      </c>
      <c r="AC261" s="125">
        <f t="shared" si="31"/>
        <v>0</v>
      </c>
      <c r="AD261" s="125">
        <f>IF(Valores!$C$29*B261&gt;Valores!$F$29,Valores!$F$29,Valores!$C$29*B261)</f>
        <v>510.84</v>
      </c>
      <c r="AE261" s="191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</f>
        <v>11669.4</v>
      </c>
      <c r="AH261" s="125">
        <f t="shared" si="34"/>
        <v>172820</v>
      </c>
      <c r="AI261" s="125">
        <f>IF(Valores!$C$32*B261&gt;Valores!$F$32,Valores!$F$32,Valores!$C$32*B261)</f>
        <v>0</v>
      </c>
      <c r="AJ261" s="125">
        <f>IF(Valores!$C$90*B261&gt;Valores!$C$89,Valores!$C$89,Valores!$C$90*B261)</f>
        <v>0</v>
      </c>
      <c r="AK261" s="125">
        <f>IF(Valores!C$39*B261&gt;Valores!F$38,Valores!F$38,Valores!C$39*B261)</f>
        <v>0</v>
      </c>
      <c r="AL261" s="125">
        <f>IF($F$3="NO",0,IF(Valores!$C$62*B261&gt;Valores!$F$62,Valores!$F$62,Valores!$C$62*B261))</f>
        <v>0</v>
      </c>
      <c r="AM261" s="125">
        <f t="shared" si="32"/>
        <v>0</v>
      </c>
      <c r="AN261" s="125">
        <f>AH261*Valores!$C$71</f>
        <v>-19010.2</v>
      </c>
      <c r="AO261" s="125">
        <f>AH261*-Valores!$C$72</f>
        <v>0</v>
      </c>
      <c r="AP261" s="125">
        <f>AH261*Valores!$C$73</f>
        <v>-7776.9</v>
      </c>
      <c r="AQ261" s="125">
        <f>Valores!$C$100</f>
        <v>-554.86</v>
      </c>
      <c r="AR261" s="125">
        <f>IF($F$5=0,Valores!$C$101,(Valores!$C$101+$F$5*(Valores!$C$101)))</f>
        <v>-550</v>
      </c>
      <c r="AS261" s="125">
        <f t="shared" si="35"/>
        <v>144928.04</v>
      </c>
      <c r="AT261" s="125">
        <f aca="true" t="shared" si="41" ref="AT261:AT325">AN261</f>
        <v>-19010.2</v>
      </c>
      <c r="AU261" s="125">
        <f>AH261*Valores!$C$74</f>
        <v>-4666.14</v>
      </c>
      <c r="AV261" s="125">
        <f>AH261*Valores!$C$75</f>
        <v>-518.46</v>
      </c>
      <c r="AW261" s="125">
        <f t="shared" si="33"/>
        <v>148625.2</v>
      </c>
      <c r="AX261" s="126"/>
      <c r="AY261" s="126">
        <f t="shared" si="39"/>
        <v>18</v>
      </c>
      <c r="AZ261" s="123" t="s">
        <v>4</v>
      </c>
    </row>
    <row r="262" spans="1:52" s="110" customFormat="1" ht="11.25" customHeight="1">
      <c r="A262" s="123" t="s">
        <v>471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1">
        <f t="shared" si="40"/>
        <v>1422</v>
      </c>
      <c r="F262" s="125">
        <f>ROUND(E262*Valores!$C$2,2)</f>
        <v>57849.52</v>
      </c>
      <c r="G262" s="191">
        <v>0</v>
      </c>
      <c r="H262" s="125">
        <f>ROUND(G262*Valores!$C$2,2)</f>
        <v>0</v>
      </c>
      <c r="I262" s="191">
        <v>0</v>
      </c>
      <c r="J262" s="125">
        <f>ROUND(I262*Valores!$C$2,2)</f>
        <v>0</v>
      </c>
      <c r="K262" s="191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11811.16</v>
      </c>
      <c r="N262" s="125">
        <f t="shared" si="30"/>
        <v>0</v>
      </c>
      <c r="O262" s="125">
        <f>Valores!$C$7*B262</f>
        <v>24833.52</v>
      </c>
      <c r="P262" s="125">
        <f>ROUND(IF(B262&lt;15,(Valores!$E$5*B262),Valores!$D$5),2)</f>
        <v>20796.54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13080.960000000001</v>
      </c>
      <c r="S262" s="125">
        <f>Valores!$C$18*B262</f>
        <v>7810.56</v>
      </c>
      <c r="T262" s="125">
        <f t="shared" si="36"/>
        <v>7810.56</v>
      </c>
      <c r="U262" s="125">
        <v>0</v>
      </c>
      <c r="V262" s="125">
        <v>0</v>
      </c>
      <c r="W262" s="191">
        <v>0</v>
      </c>
      <c r="X262" s="125">
        <f>ROUND(W262*Valores!$C$2,2)</f>
        <v>0</v>
      </c>
      <c r="Y262" s="125">
        <v>0</v>
      </c>
      <c r="Z262" s="125">
        <f>IF(Valores!$C$97*B262&gt;Valores!$C$96,Valores!$C$96,Valores!$C$97*B262)</f>
        <v>23844.06</v>
      </c>
      <c r="AA262" s="125">
        <f>IF((Valores!$C$28)*B262&gt;Valores!$F$28,Valores!$F$28,(Valores!$C$28)*B262)</f>
        <v>613.4399999999999</v>
      </c>
      <c r="AB262" s="210">
        <v>0</v>
      </c>
      <c r="AC262" s="125">
        <f t="shared" si="31"/>
        <v>0</v>
      </c>
      <c r="AD262" s="125">
        <f>IF(Valores!$C$29*B262&gt;Valores!$F$29,Valores!$F$29,Valores!$C$29*B262)</f>
        <v>510.84</v>
      </c>
      <c r="AE262" s="191">
        <v>94</v>
      </c>
      <c r="AF262" s="125">
        <f>ROUND(AE262*Valores!$C$2,2)</f>
        <v>3824.09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</f>
        <v>11669.4</v>
      </c>
      <c r="AH262" s="125">
        <f t="shared" si="34"/>
        <v>176644.09</v>
      </c>
      <c r="AI262" s="125">
        <f>IF(Valores!$C$32*B262&gt;Valores!$F$32,Valores!$F$32,Valores!$C$32*B262)</f>
        <v>0</v>
      </c>
      <c r="AJ262" s="125">
        <f>IF(Valores!$C$90*B262&gt;Valores!$C$89,Valores!$C$89,Valores!$C$90*B262)</f>
        <v>0</v>
      </c>
      <c r="AK262" s="125">
        <f>IF(Valores!C$39*B262&gt;Valores!F$38,Valores!F$38,Valores!C$39*B262)</f>
        <v>0</v>
      </c>
      <c r="AL262" s="125">
        <f>IF($F$3="NO",0,IF(Valores!$C$62*B262&gt;Valores!$F$62,Valores!$F$62,Valores!$C$62*B262))</f>
        <v>0</v>
      </c>
      <c r="AM262" s="125">
        <f t="shared" si="32"/>
        <v>0</v>
      </c>
      <c r="AN262" s="125">
        <f>AH262*Valores!$C$71</f>
        <v>-19430.8499</v>
      </c>
      <c r="AO262" s="125">
        <f>AH262*-Valores!$C$72</f>
        <v>0</v>
      </c>
      <c r="AP262" s="125">
        <f>AH262*Valores!$C$73</f>
        <v>-7948.984049999999</v>
      </c>
      <c r="AQ262" s="125">
        <f>Valores!$C$100</f>
        <v>-554.86</v>
      </c>
      <c r="AR262" s="125">
        <f>IF($F$5=0,Valores!$C$101,(Valores!$C$101+$F$5*(Valores!$C$101)))</f>
        <v>-550</v>
      </c>
      <c r="AS262" s="125">
        <f t="shared" si="35"/>
        <v>148159.39604999998</v>
      </c>
      <c r="AT262" s="125">
        <f t="shared" si="41"/>
        <v>-19430.8499</v>
      </c>
      <c r="AU262" s="125">
        <f>AH262*Valores!$C$74</f>
        <v>-4769.3904299999995</v>
      </c>
      <c r="AV262" s="125">
        <f>AH262*Valores!$C$75</f>
        <v>-529.93227</v>
      </c>
      <c r="AW262" s="125">
        <f t="shared" si="33"/>
        <v>151913.9174</v>
      </c>
      <c r="AX262" s="126"/>
      <c r="AY262" s="126">
        <f t="shared" si="39"/>
        <v>18</v>
      </c>
      <c r="AZ262" s="123" t="s">
        <v>4</v>
      </c>
    </row>
    <row r="263" spans="1:52" s="110" customFormat="1" ht="11.25" customHeight="1">
      <c r="A263" s="123" t="s">
        <v>471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1">
        <f t="shared" si="40"/>
        <v>1501</v>
      </c>
      <c r="F263" s="125">
        <f>ROUND(E263*Valores!$C$2,2)</f>
        <v>61063.38</v>
      </c>
      <c r="G263" s="191">
        <v>0</v>
      </c>
      <c r="H263" s="125">
        <f>ROUND(G263*Valores!$C$2,2)</f>
        <v>0</v>
      </c>
      <c r="I263" s="191">
        <v>0</v>
      </c>
      <c r="J263" s="125">
        <f>ROUND(I263*Valores!$C$2,2)</f>
        <v>0</v>
      </c>
      <c r="K263" s="191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12467.33</v>
      </c>
      <c r="N263" s="125">
        <f t="shared" si="30"/>
        <v>0</v>
      </c>
      <c r="O263" s="125">
        <f>Valores!$C$7*B263</f>
        <v>26213.160000000003</v>
      </c>
      <c r="P263" s="125">
        <f>ROUND(IF(B263&lt;15,(Valores!$E$5*B263),Valores!$D$5),2)</f>
        <v>20796.54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13807.68</v>
      </c>
      <c r="S263" s="125">
        <f>Valores!$C$18*B263</f>
        <v>8244.48</v>
      </c>
      <c r="T263" s="125">
        <f t="shared" si="36"/>
        <v>8244.48</v>
      </c>
      <c r="U263" s="125">
        <v>0</v>
      </c>
      <c r="V263" s="125">
        <v>0</v>
      </c>
      <c r="W263" s="191">
        <v>0</v>
      </c>
      <c r="X263" s="125">
        <f>ROUND(W263*Valores!$C$2,2)</f>
        <v>0</v>
      </c>
      <c r="Y263" s="125">
        <v>0</v>
      </c>
      <c r="Z263" s="125">
        <f>IF(Valores!$C$97*B263&gt;Valores!$C$96,Valores!$C$96,Valores!$C$97*B263)</f>
        <v>25168.730000000003</v>
      </c>
      <c r="AA263" s="125">
        <f>IF((Valores!$C$28)*B263&gt;Valores!$F$28,Valores!$F$28,(Valores!$C$28)*B263)</f>
        <v>647.52</v>
      </c>
      <c r="AB263" s="210">
        <v>0</v>
      </c>
      <c r="AC263" s="125">
        <f t="shared" si="31"/>
        <v>0</v>
      </c>
      <c r="AD263" s="125">
        <f>IF(Valores!$C$29*B263&gt;Valores!$F$29,Valores!$F$29,Valores!$C$29*B263)</f>
        <v>539.22</v>
      </c>
      <c r="AE263" s="191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</f>
        <v>12317.699999999999</v>
      </c>
      <c r="AH263" s="125">
        <f t="shared" si="34"/>
        <v>181265.74000000002</v>
      </c>
      <c r="AI263" s="125">
        <f>IF(Valores!$C$32*B263&gt;Valores!$F$32,Valores!$F$32,Valores!$C$32*B263)</f>
        <v>0</v>
      </c>
      <c r="AJ263" s="125">
        <f>IF(Valores!$C$90*B263&gt;Valores!$C$89,Valores!$C$89,Valores!$C$90*B263)</f>
        <v>0</v>
      </c>
      <c r="AK263" s="125">
        <f>IF(Valores!C$39*B263&gt;Valores!F$38,Valores!F$38,Valores!C$39*B263)</f>
        <v>0</v>
      </c>
      <c r="AL263" s="125">
        <f>IF($F$3="NO",0,IF(Valores!$C$62*B263&gt;Valores!$F$62,Valores!$F$62,Valores!$C$62*B263))</f>
        <v>0</v>
      </c>
      <c r="AM263" s="125">
        <f t="shared" si="32"/>
        <v>0</v>
      </c>
      <c r="AN263" s="125">
        <f>AH263*Valores!$C$71</f>
        <v>-19939.2314</v>
      </c>
      <c r="AO263" s="125">
        <f>AH263*-Valores!$C$72</f>
        <v>0</v>
      </c>
      <c r="AP263" s="125">
        <f>AH263*Valores!$C$73</f>
        <v>-8156.9583</v>
      </c>
      <c r="AQ263" s="125">
        <f>Valores!$C$100</f>
        <v>-554.86</v>
      </c>
      <c r="AR263" s="125">
        <f>IF($F$5=0,Valores!$C$101,(Valores!$C$101+$F$5*(Valores!$C$101)))</f>
        <v>-550</v>
      </c>
      <c r="AS263" s="125">
        <f t="shared" si="35"/>
        <v>152064.69030000002</v>
      </c>
      <c r="AT263" s="125">
        <f t="shared" si="41"/>
        <v>-19939.2314</v>
      </c>
      <c r="AU263" s="125">
        <f>AH263*Valores!$C$74</f>
        <v>-4894.174980000001</v>
      </c>
      <c r="AV263" s="125">
        <f>AH263*Valores!$C$75</f>
        <v>-543.79722</v>
      </c>
      <c r="AW263" s="125">
        <f t="shared" si="33"/>
        <v>155888.5364</v>
      </c>
      <c r="AX263" s="126"/>
      <c r="AY263" s="126">
        <f t="shared" si="39"/>
        <v>19</v>
      </c>
      <c r="AZ263" s="123" t="s">
        <v>4</v>
      </c>
    </row>
    <row r="264" spans="1:52" s="110" customFormat="1" ht="11.25" customHeight="1">
      <c r="A264" s="123" t="s">
        <v>471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1">
        <f t="shared" si="40"/>
        <v>1501</v>
      </c>
      <c r="F264" s="125">
        <f>ROUND(E264*Valores!$C$2,2)</f>
        <v>61063.38</v>
      </c>
      <c r="G264" s="191">
        <v>0</v>
      </c>
      <c r="H264" s="125">
        <f>ROUND(G264*Valores!$C$2,2)</f>
        <v>0</v>
      </c>
      <c r="I264" s="191">
        <v>0</v>
      </c>
      <c r="J264" s="125">
        <f>ROUND(I264*Valores!$C$2,2)</f>
        <v>0</v>
      </c>
      <c r="K264" s="191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12467.33</v>
      </c>
      <c r="N264" s="125">
        <f aca="true" t="shared" si="42" ref="N264:N326">ROUND(SUM(F264,H264,J264,L264,X264,R264)*$H$2,2)</f>
        <v>0</v>
      </c>
      <c r="O264" s="125">
        <f>Valores!$C$7*B264</f>
        <v>26213.160000000003</v>
      </c>
      <c r="P264" s="125">
        <f>ROUND(IF(B264&lt;15,(Valores!$E$5*B264),Valores!$D$5),2)</f>
        <v>20796.54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13807.68</v>
      </c>
      <c r="S264" s="125">
        <f>Valores!$C$18*B264</f>
        <v>8244.48</v>
      </c>
      <c r="T264" s="125">
        <f t="shared" si="36"/>
        <v>8244.48</v>
      </c>
      <c r="U264" s="125">
        <v>0</v>
      </c>
      <c r="V264" s="125">
        <v>0</v>
      </c>
      <c r="W264" s="191">
        <v>0</v>
      </c>
      <c r="X264" s="125">
        <f>ROUND(W264*Valores!$C$2,2)</f>
        <v>0</v>
      </c>
      <c r="Y264" s="125">
        <v>0</v>
      </c>
      <c r="Z264" s="125">
        <f>IF(Valores!$C$97*B264&gt;Valores!$C$96,Valores!$C$96,Valores!$C$97*B264)</f>
        <v>25168.730000000003</v>
      </c>
      <c r="AA264" s="125">
        <f>IF((Valores!$C$28)*B264&gt;Valores!$F$28,Valores!$F$28,(Valores!$C$28)*B264)</f>
        <v>647.52</v>
      </c>
      <c r="AB264" s="210">
        <v>0</v>
      </c>
      <c r="AC264" s="125">
        <f aca="true" t="shared" si="43" ref="AC264:AC326">ROUND(SUM(F264,H264,J264,X264,R264)*AB264,2)</f>
        <v>0</v>
      </c>
      <c r="AD264" s="125">
        <f>IF(Valores!$C$29*B264&gt;Valores!$F$29,Valores!$F$29,Valores!$C$29*B264)</f>
        <v>539.22</v>
      </c>
      <c r="AE264" s="191">
        <v>94</v>
      </c>
      <c r="AF264" s="125">
        <f>ROUND(AE264*Valores!$C$2,2)</f>
        <v>3824.09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</f>
        <v>12317.699999999999</v>
      </c>
      <c r="AH264" s="125">
        <f t="shared" si="34"/>
        <v>185089.83000000002</v>
      </c>
      <c r="AI264" s="125">
        <f>IF(Valores!$C$32*B264&gt;Valores!$F$32,Valores!$F$32,Valores!$C$32*B264)</f>
        <v>0</v>
      </c>
      <c r="AJ264" s="125">
        <f>IF(Valores!$C$90*B264&gt;Valores!$C$89,Valores!$C$89,Valores!$C$90*B264)</f>
        <v>0</v>
      </c>
      <c r="AK264" s="125">
        <f>IF(Valores!C$39*B264&gt;Valores!F$38,Valores!F$38,Valores!C$39*B264)</f>
        <v>0</v>
      </c>
      <c r="AL264" s="125">
        <f>IF($F$3="NO",0,IF(Valores!$C$62*B264&gt;Valores!$F$62,Valores!$F$62,Valores!$C$62*B264))</f>
        <v>0</v>
      </c>
      <c r="AM264" s="125">
        <f aca="true" t="shared" si="44" ref="AM264:AM326">SUM(AI264:AL264)</f>
        <v>0</v>
      </c>
      <c r="AN264" s="125">
        <f>AH264*Valores!$C$71</f>
        <v>-20359.8813</v>
      </c>
      <c r="AO264" s="125">
        <f>AH264*-Valores!$C$72</f>
        <v>0</v>
      </c>
      <c r="AP264" s="125">
        <f>AH264*Valores!$C$73</f>
        <v>-8329.04235</v>
      </c>
      <c r="AQ264" s="125">
        <f>Valores!$C$100</f>
        <v>-554.86</v>
      </c>
      <c r="AR264" s="125">
        <f>IF($F$5=0,Valores!$C$101,(Valores!$C$101+$F$5*(Valores!$C$101)))</f>
        <v>-550</v>
      </c>
      <c r="AS264" s="125">
        <f t="shared" si="35"/>
        <v>155296.04635000002</v>
      </c>
      <c r="AT264" s="125">
        <f t="shared" si="41"/>
        <v>-20359.8813</v>
      </c>
      <c r="AU264" s="125">
        <f>AH264*Valores!$C$74</f>
        <v>-4997.425410000001</v>
      </c>
      <c r="AV264" s="125">
        <f>AH264*Valores!$C$75</f>
        <v>-555.26949</v>
      </c>
      <c r="AW264" s="125">
        <f aca="true" t="shared" si="45" ref="AW264:AW326">AH264+AM264+SUM(AT264:AV264)</f>
        <v>159177.2538</v>
      </c>
      <c r="AX264" s="126"/>
      <c r="AY264" s="126">
        <f t="shared" si="39"/>
        <v>19</v>
      </c>
      <c r="AZ264" s="123" t="s">
        <v>4</v>
      </c>
    </row>
    <row r="265" spans="1:52" s="110" customFormat="1" ht="11.25" customHeight="1">
      <c r="A265" s="123" t="s">
        <v>471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1">
        <f t="shared" si="40"/>
        <v>1580</v>
      </c>
      <c r="F265" s="125">
        <f>ROUND(E265*Valores!$C$2,2)</f>
        <v>64277.24</v>
      </c>
      <c r="G265" s="191">
        <v>0</v>
      </c>
      <c r="H265" s="125">
        <f>ROUND(G265*Valores!$C$2,2)</f>
        <v>0</v>
      </c>
      <c r="I265" s="191">
        <v>0</v>
      </c>
      <c r="J265" s="125">
        <f>ROUND(I265*Valores!$C$2,2)</f>
        <v>0</v>
      </c>
      <c r="K265" s="191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13123.51</v>
      </c>
      <c r="N265" s="125">
        <f t="shared" si="42"/>
        <v>0</v>
      </c>
      <c r="O265" s="125">
        <f>Valores!$C$7*B265</f>
        <v>27592.800000000003</v>
      </c>
      <c r="P265" s="125">
        <f>ROUND(IF(B265&lt;15,(Valores!$E$5*B265),Valores!$D$5),2)</f>
        <v>20796.54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14534.400000000001</v>
      </c>
      <c r="S265" s="125">
        <f>Valores!$C$18*B265</f>
        <v>8678.4</v>
      </c>
      <c r="T265" s="125">
        <f t="shared" si="36"/>
        <v>8678.4</v>
      </c>
      <c r="U265" s="125">
        <v>0</v>
      </c>
      <c r="V265" s="125">
        <v>0</v>
      </c>
      <c r="W265" s="191">
        <v>0</v>
      </c>
      <c r="X265" s="125">
        <f>ROUND(W265*Valores!$C$2,2)</f>
        <v>0</v>
      </c>
      <c r="Y265" s="125">
        <v>0</v>
      </c>
      <c r="Z265" s="125">
        <f>IF(Valores!$C$97*B265&gt;Valores!$C$96,Valores!$C$96,Valores!$C$97*B265)</f>
        <v>26493.4</v>
      </c>
      <c r="AA265" s="125">
        <f>IF((Valores!$C$28)*B265&gt;Valores!$F$28,Valores!$F$28,(Valores!$C$28)*B265)</f>
        <v>681.5999999999999</v>
      </c>
      <c r="AB265" s="210">
        <v>0</v>
      </c>
      <c r="AC265" s="125">
        <f t="shared" si="43"/>
        <v>0</v>
      </c>
      <c r="AD265" s="125">
        <f>IF(Valores!$C$29*B265&gt;Valores!$F$29,Valores!$F$29,Valores!$C$29*B265)</f>
        <v>567.6</v>
      </c>
      <c r="AE265" s="191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</f>
        <v>12966</v>
      </c>
      <c r="AH265" s="125">
        <f aca="true" t="shared" si="46" ref="AH265:AH326">SUM(F265,H265,J265,L265,M265,N265,O265,P265,Q265,R265,T265,U265,V265,X265,Y265,Z265,AA265,AC265,AD265,AF265,AG265)</f>
        <v>189711.49</v>
      </c>
      <c r="AI265" s="125">
        <f>IF(Valores!$C$32*B265&gt;Valores!$F$32,Valores!$F$32,Valores!$C$32*B265)</f>
        <v>0</v>
      </c>
      <c r="AJ265" s="125">
        <f>IF(Valores!$C$90*B265&gt;Valores!$C$89,Valores!$C$89,Valores!$C$90*B265)</f>
        <v>0</v>
      </c>
      <c r="AK265" s="125">
        <f>IF(Valores!C$39*B265&gt;Valores!F$38,Valores!F$38,Valores!C$39*B265)</f>
        <v>0</v>
      </c>
      <c r="AL265" s="125">
        <f>IF($F$3="NO",0,IF(Valores!$C$62*B265&gt;Valores!$F$62,Valores!$F$62,Valores!$C$62*B265))</f>
        <v>0</v>
      </c>
      <c r="AM265" s="125">
        <f t="shared" si="44"/>
        <v>0</v>
      </c>
      <c r="AN265" s="125">
        <f>AH265*Valores!$C$71</f>
        <v>-20868.263899999998</v>
      </c>
      <c r="AO265" s="125">
        <f>AH265*-Valores!$C$72</f>
        <v>0</v>
      </c>
      <c r="AP265" s="125">
        <f>AH265*Valores!$C$73</f>
        <v>-8537.017049999999</v>
      </c>
      <c r="AQ265" s="125">
        <f>Valores!$C$100</f>
        <v>-554.86</v>
      </c>
      <c r="AR265" s="125">
        <f>IF($F$5=0,Valores!$C$101,(Valores!$C$101+$F$5*(Valores!$C$101)))</f>
        <v>-550</v>
      </c>
      <c r="AS265" s="125">
        <f aca="true" t="shared" si="47" ref="AS265:AS326">AH265+SUM(AM265:AR265)</f>
        <v>159201.34905</v>
      </c>
      <c r="AT265" s="125">
        <f t="shared" si="41"/>
        <v>-20868.263899999998</v>
      </c>
      <c r="AU265" s="125">
        <f>AH265*Valores!$C$74</f>
        <v>-5122.21023</v>
      </c>
      <c r="AV265" s="125">
        <f>AH265*Valores!$C$75</f>
        <v>-569.13447</v>
      </c>
      <c r="AW265" s="125">
        <f t="shared" si="45"/>
        <v>163151.88139999998</v>
      </c>
      <c r="AX265" s="126"/>
      <c r="AY265" s="126">
        <f t="shared" si="39"/>
        <v>20</v>
      </c>
      <c r="AZ265" s="123" t="s">
        <v>4</v>
      </c>
    </row>
    <row r="266" spans="1:52" s="110" customFormat="1" ht="11.25" customHeight="1">
      <c r="A266" s="123" t="s">
        <v>471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1">
        <f t="shared" si="40"/>
        <v>1580</v>
      </c>
      <c r="F266" s="125">
        <f>ROUND(E266*Valores!$C$2,2)</f>
        <v>64277.24</v>
      </c>
      <c r="G266" s="191">
        <v>0</v>
      </c>
      <c r="H266" s="125">
        <f>ROUND(G266*Valores!$C$2,2)</f>
        <v>0</v>
      </c>
      <c r="I266" s="191">
        <v>0</v>
      </c>
      <c r="J266" s="125">
        <f>ROUND(I266*Valores!$C$2,2)</f>
        <v>0</v>
      </c>
      <c r="K266" s="191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13123.51</v>
      </c>
      <c r="N266" s="125">
        <f t="shared" si="42"/>
        <v>0</v>
      </c>
      <c r="O266" s="125">
        <f>Valores!$C$7*B266</f>
        <v>27592.800000000003</v>
      </c>
      <c r="P266" s="125">
        <f>ROUND(IF(B266&lt;15,(Valores!$E$5*B266),Valores!$D$5),2)</f>
        <v>20796.54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14534.400000000001</v>
      </c>
      <c r="S266" s="125">
        <f>Valores!$C$18*B266</f>
        <v>8678.4</v>
      </c>
      <c r="T266" s="125">
        <f t="shared" si="36"/>
        <v>8678.4</v>
      </c>
      <c r="U266" s="125">
        <v>0</v>
      </c>
      <c r="V266" s="125">
        <v>0</v>
      </c>
      <c r="W266" s="191">
        <v>0</v>
      </c>
      <c r="X266" s="125">
        <f>ROUND(W266*Valores!$C$2,2)</f>
        <v>0</v>
      </c>
      <c r="Y266" s="125">
        <v>0</v>
      </c>
      <c r="Z266" s="125">
        <f>IF(Valores!$C$97*B266&gt;Valores!$C$96,Valores!$C$96,Valores!$C$97*B266)</f>
        <v>26493.4</v>
      </c>
      <c r="AA266" s="125">
        <f>IF((Valores!$C$28)*B266&gt;Valores!$F$28,Valores!$F$28,(Valores!$C$28)*B266)</f>
        <v>681.5999999999999</v>
      </c>
      <c r="AB266" s="210">
        <v>0</v>
      </c>
      <c r="AC266" s="125">
        <f t="shared" si="43"/>
        <v>0</v>
      </c>
      <c r="AD266" s="125">
        <f>IF(Valores!$C$29*B266&gt;Valores!$F$29,Valores!$F$29,Valores!$C$29*B266)</f>
        <v>567.6</v>
      </c>
      <c r="AE266" s="191">
        <v>94</v>
      </c>
      <c r="AF266" s="125">
        <f>ROUND(AE266*Valores!$C$2,2)</f>
        <v>3824.09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</f>
        <v>12966</v>
      </c>
      <c r="AH266" s="125">
        <f t="shared" si="46"/>
        <v>193535.58</v>
      </c>
      <c r="AI266" s="125">
        <f>IF(Valores!$C$32*B266&gt;Valores!$F$32,Valores!$F$32,Valores!$C$32*B266)</f>
        <v>0</v>
      </c>
      <c r="AJ266" s="125">
        <f>IF(Valores!$C$90*B266&gt;Valores!$C$89,Valores!$C$89,Valores!$C$90*B266)</f>
        <v>0</v>
      </c>
      <c r="AK266" s="125">
        <f>IF(Valores!C$39*B266&gt;Valores!F$38,Valores!F$38,Valores!C$39*B266)</f>
        <v>0</v>
      </c>
      <c r="AL266" s="125">
        <f>IF($F$3="NO",0,IF(Valores!$C$62*B266&gt;Valores!$F$62,Valores!$F$62,Valores!$C$62*B266))</f>
        <v>0</v>
      </c>
      <c r="AM266" s="125">
        <f t="shared" si="44"/>
        <v>0</v>
      </c>
      <c r="AN266" s="125">
        <f>AH266*Valores!$C$71</f>
        <v>-21288.9138</v>
      </c>
      <c r="AO266" s="125">
        <f>AH266*-Valores!$C$72</f>
        <v>0</v>
      </c>
      <c r="AP266" s="125">
        <f>AH266*Valores!$C$73</f>
        <v>-8709.1011</v>
      </c>
      <c r="AQ266" s="125">
        <f>Valores!$C$100</f>
        <v>-554.86</v>
      </c>
      <c r="AR266" s="125">
        <f>IF($F$5=0,Valores!$C$101,(Valores!$C$101+$F$5*(Valores!$C$101)))</f>
        <v>-550</v>
      </c>
      <c r="AS266" s="125">
        <f t="shared" si="47"/>
        <v>162432.7051</v>
      </c>
      <c r="AT266" s="125">
        <f t="shared" si="41"/>
        <v>-21288.9138</v>
      </c>
      <c r="AU266" s="125">
        <f>AH266*Valores!$C$74</f>
        <v>-5225.46066</v>
      </c>
      <c r="AV266" s="125">
        <f>AH266*Valores!$C$75</f>
        <v>-580.60674</v>
      </c>
      <c r="AW266" s="125">
        <f t="shared" si="45"/>
        <v>166440.59879999998</v>
      </c>
      <c r="AX266" s="126"/>
      <c r="AY266" s="126">
        <f t="shared" si="39"/>
        <v>20</v>
      </c>
      <c r="AZ266" s="123" t="s">
        <v>4</v>
      </c>
    </row>
    <row r="267" spans="1:52" s="110" customFormat="1" ht="11.25" customHeight="1">
      <c r="A267" s="123" t="s">
        <v>471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1">
        <f t="shared" si="40"/>
        <v>1659</v>
      </c>
      <c r="F267" s="125">
        <f>ROUND(E267*Valores!$C$2,2)</f>
        <v>67491.11</v>
      </c>
      <c r="G267" s="191">
        <v>0</v>
      </c>
      <c r="H267" s="125">
        <f>ROUND(G267*Valores!$C$2,2)</f>
        <v>0</v>
      </c>
      <c r="I267" s="191">
        <v>0</v>
      </c>
      <c r="J267" s="125">
        <f>ROUND(I267*Valores!$C$2,2)</f>
        <v>0</v>
      </c>
      <c r="K267" s="191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13779.68</v>
      </c>
      <c r="N267" s="125">
        <f t="shared" si="42"/>
        <v>0</v>
      </c>
      <c r="O267" s="125">
        <f>Valores!$C$7*B267</f>
        <v>28972.440000000002</v>
      </c>
      <c r="P267" s="125">
        <f>ROUND(IF(B267&lt;15,(Valores!$E$5*B267),Valores!$D$5),2)</f>
        <v>20796.54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15261.12</v>
      </c>
      <c r="S267" s="125">
        <f>Valores!$C$18*B267</f>
        <v>9112.32</v>
      </c>
      <c r="T267" s="125">
        <f aca="true" t="shared" si="48" ref="T267:T299">ROUND(S267*(1+$H$2),2)</f>
        <v>9112.32</v>
      </c>
      <c r="U267" s="125">
        <v>0</v>
      </c>
      <c r="V267" s="125">
        <v>0</v>
      </c>
      <c r="W267" s="191">
        <v>0</v>
      </c>
      <c r="X267" s="125">
        <f>ROUND(W267*Valores!$C$2,2)</f>
        <v>0</v>
      </c>
      <c r="Y267" s="125">
        <v>0</v>
      </c>
      <c r="Z267" s="125">
        <f>IF(Valores!$C$97*B267&gt;Valores!$C$96,Valores!$C$96,Valores!$C$97*B267)</f>
        <v>27818.07</v>
      </c>
      <c r="AA267" s="125">
        <f>IF((Valores!$C$28)*B267&gt;Valores!$F$28,Valores!$F$28,(Valores!$C$28)*B267)</f>
        <v>715.68</v>
      </c>
      <c r="AB267" s="210">
        <v>0</v>
      </c>
      <c r="AC267" s="125">
        <f t="shared" si="43"/>
        <v>0</v>
      </c>
      <c r="AD267" s="125">
        <f>IF(Valores!$C$29*B267&gt;Valores!$F$29,Valores!$F$29,Valores!$C$29*B267)</f>
        <v>595.98</v>
      </c>
      <c r="AE267" s="191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</f>
        <v>13614.3</v>
      </c>
      <c r="AH267" s="125">
        <f t="shared" si="46"/>
        <v>198157.24000000002</v>
      </c>
      <c r="AI267" s="125">
        <f>IF(Valores!$C$32*B267&gt;Valores!$F$32,Valores!$F$32,Valores!$C$32*B267)</f>
        <v>0</v>
      </c>
      <c r="AJ267" s="125">
        <f>IF(Valores!$C$90*B267&gt;Valores!$C$89,Valores!$C$89,Valores!$C$90*B267)</f>
        <v>0</v>
      </c>
      <c r="AK267" s="125">
        <f>IF(Valores!C$39*B267&gt;Valores!F$38,Valores!F$38,Valores!C$39*B267)</f>
        <v>0</v>
      </c>
      <c r="AL267" s="125">
        <f>IF($F$3="NO",0,IF(Valores!$C$62*B267&gt;Valores!$F$62,Valores!$F$62,Valores!$C$62*B267))</f>
        <v>0</v>
      </c>
      <c r="AM267" s="125">
        <f t="shared" si="44"/>
        <v>0</v>
      </c>
      <c r="AN267" s="125">
        <f>AH267*Valores!$C$71</f>
        <v>-21797.296400000003</v>
      </c>
      <c r="AO267" s="125">
        <f>AH267*-Valores!$C$72</f>
        <v>0</v>
      </c>
      <c r="AP267" s="125">
        <f>AH267*Valores!$C$73</f>
        <v>-8917.0758</v>
      </c>
      <c r="AQ267" s="125">
        <f>Valores!$C$100</f>
        <v>-554.86</v>
      </c>
      <c r="AR267" s="125">
        <f>IF($F$5=0,Valores!$C$101,(Valores!$C$101+$F$5*(Valores!$C$101)))</f>
        <v>-550</v>
      </c>
      <c r="AS267" s="125">
        <f t="shared" si="47"/>
        <v>166338.00780000002</v>
      </c>
      <c r="AT267" s="125">
        <f t="shared" si="41"/>
        <v>-21797.296400000003</v>
      </c>
      <c r="AU267" s="125">
        <f>AH267*Valores!$C$74</f>
        <v>-5350.2454800000005</v>
      </c>
      <c r="AV267" s="125">
        <f>AH267*Valores!$C$75</f>
        <v>-594.4717200000001</v>
      </c>
      <c r="AW267" s="125">
        <f t="shared" si="45"/>
        <v>170415.2264</v>
      </c>
      <c r="AX267" s="126"/>
      <c r="AY267" s="126">
        <f t="shared" si="39"/>
        <v>21</v>
      </c>
      <c r="AZ267" s="123" t="s">
        <v>4</v>
      </c>
    </row>
    <row r="268" spans="1:52" s="110" customFormat="1" ht="11.25" customHeight="1">
      <c r="A268" s="123" t="s">
        <v>471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1">
        <f t="shared" si="40"/>
        <v>1659</v>
      </c>
      <c r="F268" s="125">
        <f>ROUND(E268*Valores!$C$2,2)</f>
        <v>67491.11</v>
      </c>
      <c r="G268" s="191">
        <v>0</v>
      </c>
      <c r="H268" s="125">
        <f>ROUND(G268*Valores!$C$2,2)</f>
        <v>0</v>
      </c>
      <c r="I268" s="191">
        <v>0</v>
      </c>
      <c r="J268" s="125">
        <f>ROUND(I268*Valores!$C$2,2)</f>
        <v>0</v>
      </c>
      <c r="K268" s="191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13779.68</v>
      </c>
      <c r="N268" s="125">
        <f t="shared" si="42"/>
        <v>0</v>
      </c>
      <c r="O268" s="125">
        <f>Valores!$C$7*B268</f>
        <v>28972.440000000002</v>
      </c>
      <c r="P268" s="125">
        <f>ROUND(IF(B268&lt;15,(Valores!$E$5*B268),Valores!$D$5),2)</f>
        <v>20796.54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15261.12</v>
      </c>
      <c r="S268" s="125">
        <f>Valores!$C$18*B268</f>
        <v>9112.32</v>
      </c>
      <c r="T268" s="125">
        <f t="shared" si="48"/>
        <v>9112.32</v>
      </c>
      <c r="U268" s="125">
        <v>0</v>
      </c>
      <c r="V268" s="125">
        <v>0</v>
      </c>
      <c r="W268" s="191">
        <v>0</v>
      </c>
      <c r="X268" s="125">
        <f>ROUND(W268*Valores!$C$2,2)</f>
        <v>0</v>
      </c>
      <c r="Y268" s="125">
        <v>0</v>
      </c>
      <c r="Z268" s="125">
        <f>IF(Valores!$C$97*B268&gt;Valores!$C$96,Valores!$C$96,Valores!$C$97*B268)</f>
        <v>27818.07</v>
      </c>
      <c r="AA268" s="125">
        <f>IF((Valores!$C$28)*B268&gt;Valores!$F$28,Valores!$F$28,(Valores!$C$28)*B268)</f>
        <v>715.68</v>
      </c>
      <c r="AB268" s="210">
        <v>0</v>
      </c>
      <c r="AC268" s="125">
        <f t="shared" si="43"/>
        <v>0</v>
      </c>
      <c r="AD268" s="125">
        <f>IF(Valores!$C$29*B268&gt;Valores!$F$29,Valores!$F$29,Valores!$C$29*B268)</f>
        <v>595.98</v>
      </c>
      <c r="AE268" s="191">
        <v>94</v>
      </c>
      <c r="AF268" s="125">
        <f>ROUND(AE268*Valores!$C$2,2)</f>
        <v>3824.09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</f>
        <v>13614.3</v>
      </c>
      <c r="AH268" s="125">
        <f t="shared" si="46"/>
        <v>201981.33000000002</v>
      </c>
      <c r="AI268" s="125">
        <f>IF(Valores!$C$32*B268&gt;Valores!$F$32,Valores!$F$32,Valores!$C$32*B268)</f>
        <v>0</v>
      </c>
      <c r="AJ268" s="125">
        <f>IF(Valores!$C$90*B268&gt;Valores!$C$89,Valores!$C$89,Valores!$C$90*B268)</f>
        <v>0</v>
      </c>
      <c r="AK268" s="125">
        <f>IF(Valores!C$39*B268&gt;Valores!F$38,Valores!F$38,Valores!C$39*B268)</f>
        <v>0</v>
      </c>
      <c r="AL268" s="125">
        <f>IF($F$3="NO",0,IF(Valores!$C$62*B268&gt;Valores!$F$62,Valores!$F$62,Valores!$C$62*B268))</f>
        <v>0</v>
      </c>
      <c r="AM268" s="125">
        <f t="shared" si="44"/>
        <v>0</v>
      </c>
      <c r="AN268" s="125">
        <f>AH268*Valores!$C$71</f>
        <v>-22217.946300000003</v>
      </c>
      <c r="AO268" s="125">
        <f>AH268*-Valores!$C$72</f>
        <v>0</v>
      </c>
      <c r="AP268" s="125">
        <f>AH268*Valores!$C$73</f>
        <v>-9089.15985</v>
      </c>
      <c r="AQ268" s="125">
        <f>Valores!$C$100</f>
        <v>-554.86</v>
      </c>
      <c r="AR268" s="125">
        <f>IF($F$5=0,Valores!$C$101,(Valores!$C$101+$F$5*(Valores!$C$101)))</f>
        <v>-550</v>
      </c>
      <c r="AS268" s="125">
        <f t="shared" si="47"/>
        <v>169569.36385000002</v>
      </c>
      <c r="AT268" s="125">
        <f t="shared" si="41"/>
        <v>-22217.946300000003</v>
      </c>
      <c r="AU268" s="125">
        <f>AH268*Valores!$C$74</f>
        <v>-5453.495910000001</v>
      </c>
      <c r="AV268" s="125">
        <f>AH268*Valores!$C$75</f>
        <v>-605.9439900000001</v>
      </c>
      <c r="AW268" s="125">
        <f t="shared" si="45"/>
        <v>173703.9438</v>
      </c>
      <c r="AX268" s="126"/>
      <c r="AY268" s="126">
        <f t="shared" si="39"/>
        <v>21</v>
      </c>
      <c r="AZ268" s="123" t="s">
        <v>4</v>
      </c>
    </row>
    <row r="269" spans="1:52" s="110" customFormat="1" ht="11.25" customHeight="1">
      <c r="A269" s="123" t="s">
        <v>471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1">
        <f t="shared" si="40"/>
        <v>1738</v>
      </c>
      <c r="F269" s="125">
        <f>ROUND(E269*Valores!$C$2,2)</f>
        <v>70704.97</v>
      </c>
      <c r="G269" s="191">
        <v>0</v>
      </c>
      <c r="H269" s="125">
        <f>ROUND(G269*Valores!$C$2,2)</f>
        <v>0</v>
      </c>
      <c r="I269" s="191">
        <v>0</v>
      </c>
      <c r="J269" s="125">
        <f>ROUND(I269*Valores!$C$2,2)</f>
        <v>0</v>
      </c>
      <c r="K269" s="191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14435.86</v>
      </c>
      <c r="N269" s="125">
        <f t="shared" si="42"/>
        <v>0</v>
      </c>
      <c r="O269" s="125">
        <f>Valores!$C$7*B269</f>
        <v>30352.08</v>
      </c>
      <c r="P269" s="125">
        <f>ROUND(IF(B269&lt;15,(Valores!$E$5*B269),Valores!$D$5),2)</f>
        <v>20796.54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15987.84</v>
      </c>
      <c r="S269" s="125">
        <f>Valores!$C$18*B269</f>
        <v>9546.24</v>
      </c>
      <c r="T269" s="125">
        <f t="shared" si="48"/>
        <v>9546.24</v>
      </c>
      <c r="U269" s="125">
        <v>0</v>
      </c>
      <c r="V269" s="125">
        <v>0</v>
      </c>
      <c r="W269" s="191">
        <v>0</v>
      </c>
      <c r="X269" s="125">
        <f>ROUND(W269*Valores!$C$2,2)</f>
        <v>0</v>
      </c>
      <c r="Y269" s="125">
        <v>0</v>
      </c>
      <c r="Z269" s="125">
        <f>IF(Valores!$C$97*B269&gt;Valores!$C$96,Valores!$C$96,Valores!$C$97*B269)</f>
        <v>29142.74</v>
      </c>
      <c r="AA269" s="125">
        <f>IF((Valores!$C$28)*B269&gt;Valores!$F$28,Valores!$F$28,(Valores!$C$28)*B269)</f>
        <v>749.76</v>
      </c>
      <c r="AB269" s="210">
        <v>0</v>
      </c>
      <c r="AC269" s="125">
        <f t="shared" si="43"/>
        <v>0</v>
      </c>
      <c r="AD269" s="125">
        <f>IF(Valores!$C$29*B269&gt;Valores!$F$29,Valores!$F$29,Valores!$C$29*B269)</f>
        <v>624.36</v>
      </c>
      <c r="AE269" s="191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</f>
        <v>14262.599999999999</v>
      </c>
      <c r="AH269" s="125">
        <f t="shared" si="46"/>
        <v>206602.99</v>
      </c>
      <c r="AI269" s="125">
        <f>IF(Valores!$C$32*B269&gt;Valores!$F$32,Valores!$F$32,Valores!$C$32*B269)</f>
        <v>0</v>
      </c>
      <c r="AJ269" s="125">
        <f>IF(Valores!$C$90*B269&gt;Valores!$C$89,Valores!$C$89,Valores!$C$90*B269)</f>
        <v>0</v>
      </c>
      <c r="AK269" s="125">
        <f>IF(Valores!C$39*B269&gt;Valores!F$38,Valores!F$38,Valores!C$39*B269)</f>
        <v>0</v>
      </c>
      <c r="AL269" s="125">
        <f>IF($F$3="NO",0,IF(Valores!$C$62*B269&gt;Valores!$F$62,Valores!$F$62,Valores!$C$62*B269))</f>
        <v>0</v>
      </c>
      <c r="AM269" s="125">
        <f t="shared" si="44"/>
        <v>0</v>
      </c>
      <c r="AN269" s="125">
        <f>AH269*Valores!$C$71</f>
        <v>-22726.3289</v>
      </c>
      <c r="AO269" s="125">
        <f>AH269*-Valores!$C$72</f>
        <v>0</v>
      </c>
      <c r="AP269" s="125">
        <f>AH269*Valores!$C$73</f>
        <v>-9297.134549999999</v>
      </c>
      <c r="AQ269" s="125">
        <f>Valores!$C$100</f>
        <v>-554.86</v>
      </c>
      <c r="AR269" s="125">
        <f>IF($F$5=0,Valores!$C$101,(Valores!$C$101+$F$5*(Valores!$C$101)))</f>
        <v>-550</v>
      </c>
      <c r="AS269" s="125">
        <f t="shared" si="47"/>
        <v>173474.66655</v>
      </c>
      <c r="AT269" s="125">
        <f t="shared" si="41"/>
        <v>-22726.3289</v>
      </c>
      <c r="AU269" s="125">
        <f>AH269*Valores!$C$74</f>
        <v>-5578.2807299999995</v>
      </c>
      <c r="AV269" s="125">
        <f>AH269*Valores!$C$75</f>
        <v>-619.8089699999999</v>
      </c>
      <c r="AW269" s="125">
        <f t="shared" si="45"/>
        <v>177678.5714</v>
      </c>
      <c r="AX269" s="126"/>
      <c r="AY269" s="126">
        <f t="shared" si="39"/>
        <v>22</v>
      </c>
      <c r="AZ269" s="123" t="s">
        <v>4</v>
      </c>
    </row>
    <row r="270" spans="1:52" s="110" customFormat="1" ht="11.25" customHeight="1">
      <c r="A270" s="123" t="s">
        <v>471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1">
        <f t="shared" si="40"/>
        <v>1738</v>
      </c>
      <c r="F270" s="125">
        <f>ROUND(E270*Valores!$C$2,2)</f>
        <v>70704.97</v>
      </c>
      <c r="G270" s="191">
        <v>0</v>
      </c>
      <c r="H270" s="125">
        <f>ROUND(G270*Valores!$C$2,2)</f>
        <v>0</v>
      </c>
      <c r="I270" s="191">
        <v>0</v>
      </c>
      <c r="J270" s="125">
        <f>ROUND(I270*Valores!$C$2,2)</f>
        <v>0</v>
      </c>
      <c r="K270" s="191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14435.86</v>
      </c>
      <c r="N270" s="125">
        <f t="shared" si="42"/>
        <v>0</v>
      </c>
      <c r="O270" s="125">
        <f>Valores!$C$7*B270</f>
        <v>30352.08</v>
      </c>
      <c r="P270" s="125">
        <f>ROUND(IF(B270&lt;15,(Valores!$E$5*B270),Valores!$D$5),2)</f>
        <v>20796.54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15987.84</v>
      </c>
      <c r="S270" s="125">
        <f>Valores!$C$18*B270</f>
        <v>9546.24</v>
      </c>
      <c r="T270" s="125">
        <f t="shared" si="48"/>
        <v>9546.24</v>
      </c>
      <c r="U270" s="125">
        <v>0</v>
      </c>
      <c r="V270" s="125">
        <v>0</v>
      </c>
      <c r="W270" s="191">
        <v>0</v>
      </c>
      <c r="X270" s="125">
        <f>ROUND(W270*Valores!$C$2,2)</f>
        <v>0</v>
      </c>
      <c r="Y270" s="125">
        <v>0</v>
      </c>
      <c r="Z270" s="125">
        <f>IF(Valores!$C$97*B270&gt;Valores!$C$96,Valores!$C$96,Valores!$C$97*B270)</f>
        <v>29142.74</v>
      </c>
      <c r="AA270" s="125">
        <f>IF((Valores!$C$28)*B270&gt;Valores!$F$28,Valores!$F$28,(Valores!$C$28)*B270)</f>
        <v>749.76</v>
      </c>
      <c r="AB270" s="210">
        <v>0</v>
      </c>
      <c r="AC270" s="125">
        <f t="shared" si="43"/>
        <v>0</v>
      </c>
      <c r="AD270" s="125">
        <f>IF(Valores!$C$29*B270&gt;Valores!$F$29,Valores!$F$29,Valores!$C$29*B270)</f>
        <v>624.36</v>
      </c>
      <c r="AE270" s="191">
        <v>94</v>
      </c>
      <c r="AF270" s="125">
        <f>ROUND(AE270*Valores!$C$2,2)</f>
        <v>3824.09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</f>
        <v>14262.599999999999</v>
      </c>
      <c r="AH270" s="125">
        <f t="shared" si="46"/>
        <v>210427.08</v>
      </c>
      <c r="AI270" s="125">
        <f>IF(Valores!$C$32*B270&gt;Valores!$F$32,Valores!$F$32,Valores!$C$32*B270)</f>
        <v>0</v>
      </c>
      <c r="AJ270" s="125">
        <f>IF(Valores!$C$90*B270&gt;Valores!$C$89,Valores!$C$89,Valores!$C$90*B270)</f>
        <v>0</v>
      </c>
      <c r="AK270" s="125">
        <f>IF(Valores!C$39*B270&gt;Valores!F$38,Valores!F$38,Valores!C$39*B270)</f>
        <v>0</v>
      </c>
      <c r="AL270" s="125">
        <f>IF($F$3="NO",0,IF(Valores!$C$62*B270&gt;Valores!$F$62,Valores!$F$62,Valores!$C$62*B270))</f>
        <v>0</v>
      </c>
      <c r="AM270" s="125">
        <f t="shared" si="44"/>
        <v>0</v>
      </c>
      <c r="AN270" s="125">
        <f>AH270*Valores!$C$71</f>
        <v>-23146.978799999997</v>
      </c>
      <c r="AO270" s="125">
        <f>AH270*-Valores!$C$72</f>
        <v>0</v>
      </c>
      <c r="AP270" s="125">
        <f>AH270*Valores!$C$73</f>
        <v>-9469.218599999998</v>
      </c>
      <c r="AQ270" s="125">
        <f>Valores!$C$100</f>
        <v>-554.86</v>
      </c>
      <c r="AR270" s="125">
        <f>IF($F$5=0,Valores!$C$101,(Valores!$C$101+$F$5*(Valores!$C$101)))</f>
        <v>-550</v>
      </c>
      <c r="AS270" s="125">
        <f t="shared" si="47"/>
        <v>176706.0226</v>
      </c>
      <c r="AT270" s="125">
        <f t="shared" si="41"/>
        <v>-23146.978799999997</v>
      </c>
      <c r="AU270" s="125">
        <f>AH270*Valores!$C$74</f>
        <v>-5681.5311599999995</v>
      </c>
      <c r="AV270" s="125">
        <f>AH270*Valores!$C$75</f>
        <v>-631.28124</v>
      </c>
      <c r="AW270" s="125">
        <f t="shared" si="45"/>
        <v>180967.28879999998</v>
      </c>
      <c r="AX270" s="126"/>
      <c r="AY270" s="126">
        <f t="shared" si="39"/>
        <v>22</v>
      </c>
      <c r="AZ270" s="123" t="s">
        <v>4</v>
      </c>
    </row>
    <row r="271" spans="1:52" s="110" customFormat="1" ht="11.25" customHeight="1">
      <c r="A271" s="123" t="s">
        <v>471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1">
        <f t="shared" si="40"/>
        <v>1817</v>
      </c>
      <c r="F271" s="125">
        <f>ROUND(E271*Valores!$C$2,2)</f>
        <v>73918.83</v>
      </c>
      <c r="G271" s="191">
        <v>0</v>
      </c>
      <c r="H271" s="125">
        <f>ROUND(G271*Valores!$C$2,2)</f>
        <v>0</v>
      </c>
      <c r="I271" s="191">
        <v>0</v>
      </c>
      <c r="J271" s="125">
        <f>ROUND(I271*Valores!$C$2,2)</f>
        <v>0</v>
      </c>
      <c r="K271" s="191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15092.03</v>
      </c>
      <c r="N271" s="125">
        <f t="shared" si="42"/>
        <v>0</v>
      </c>
      <c r="O271" s="125">
        <f>Valores!$C$7*B271</f>
        <v>31731.72</v>
      </c>
      <c r="P271" s="125">
        <f>ROUND(IF(B271&lt;15,(Valores!$E$5*B271),Valores!$D$5),2)</f>
        <v>20796.54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16714.56</v>
      </c>
      <c r="S271" s="125">
        <f>Valores!$C$18*B271</f>
        <v>9980.16</v>
      </c>
      <c r="T271" s="125">
        <f t="shared" si="48"/>
        <v>9980.16</v>
      </c>
      <c r="U271" s="125">
        <v>0</v>
      </c>
      <c r="V271" s="125">
        <v>0</v>
      </c>
      <c r="W271" s="191">
        <v>0</v>
      </c>
      <c r="X271" s="125">
        <f>ROUND(W271*Valores!$C$2,2)</f>
        <v>0</v>
      </c>
      <c r="Y271" s="125">
        <v>0</v>
      </c>
      <c r="Z271" s="125">
        <f>IF(Valores!$C$97*B271&gt;Valores!$C$96,Valores!$C$96,Valores!$C$97*B271)</f>
        <v>30467.410000000003</v>
      </c>
      <c r="AA271" s="125">
        <f>IF((Valores!$C$28)*B271&gt;Valores!$F$28,Valores!$F$28,(Valores!$C$28)*B271)</f>
        <v>783.8399999999999</v>
      </c>
      <c r="AB271" s="210">
        <v>0</v>
      </c>
      <c r="AC271" s="125">
        <f t="shared" si="43"/>
        <v>0</v>
      </c>
      <c r="AD271" s="125">
        <f>IF(Valores!$C$29*B271&gt;Valores!$F$29,Valores!$F$29,Valores!$C$29*B271)</f>
        <v>652.74</v>
      </c>
      <c r="AE271" s="191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</f>
        <v>14910.9</v>
      </c>
      <c r="AH271" s="125">
        <f t="shared" si="46"/>
        <v>215048.72999999998</v>
      </c>
      <c r="AI271" s="125">
        <f>IF(Valores!$C$32*B271&gt;Valores!$F$32,Valores!$F$32,Valores!$C$32*B271)</f>
        <v>0</v>
      </c>
      <c r="AJ271" s="125">
        <f>IF(Valores!$C$90*B271&gt;Valores!$C$89,Valores!$C$89,Valores!$C$90*B271)</f>
        <v>0</v>
      </c>
      <c r="AK271" s="125">
        <f>IF(Valores!C$39*B271&gt;Valores!F$38,Valores!F$38,Valores!C$39*B271)</f>
        <v>0</v>
      </c>
      <c r="AL271" s="125">
        <f>IF($F$3="NO",0,IF(Valores!$C$62*B271&gt;Valores!$F$62,Valores!$F$62,Valores!$C$62*B271))</f>
        <v>0</v>
      </c>
      <c r="AM271" s="125">
        <f t="shared" si="44"/>
        <v>0</v>
      </c>
      <c r="AN271" s="125">
        <f>AH271*Valores!$C$71</f>
        <v>-23655.360299999997</v>
      </c>
      <c r="AO271" s="125">
        <f>AH271*-Valores!$C$72</f>
        <v>0</v>
      </c>
      <c r="AP271" s="125">
        <f>AH271*Valores!$C$73</f>
        <v>-9677.19285</v>
      </c>
      <c r="AQ271" s="125">
        <f>Valores!$C$100</f>
        <v>-554.86</v>
      </c>
      <c r="AR271" s="125">
        <f>IF($F$5=0,Valores!$C$101,(Valores!$C$101+$F$5*(Valores!$C$101)))</f>
        <v>-550</v>
      </c>
      <c r="AS271" s="125">
        <f t="shared" si="47"/>
        <v>180611.31685</v>
      </c>
      <c r="AT271" s="125">
        <f t="shared" si="41"/>
        <v>-23655.360299999997</v>
      </c>
      <c r="AU271" s="125">
        <f>AH271*Valores!$C$74</f>
        <v>-5806.31571</v>
      </c>
      <c r="AV271" s="125">
        <f>AH271*Valores!$C$75</f>
        <v>-645.1461899999999</v>
      </c>
      <c r="AW271" s="125">
        <f t="shared" si="45"/>
        <v>184941.9078</v>
      </c>
      <c r="AX271" s="126"/>
      <c r="AY271" s="126">
        <f t="shared" si="39"/>
        <v>23</v>
      </c>
      <c r="AZ271" s="123" t="s">
        <v>8</v>
      </c>
    </row>
    <row r="272" spans="1:52" s="110" customFormat="1" ht="11.25" customHeight="1">
      <c r="A272" s="123" t="s">
        <v>471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1">
        <f t="shared" si="40"/>
        <v>1817</v>
      </c>
      <c r="F272" s="125">
        <f>ROUND(E272*Valores!$C$2,2)</f>
        <v>73918.83</v>
      </c>
      <c r="G272" s="191">
        <v>0</v>
      </c>
      <c r="H272" s="125">
        <f>ROUND(G272*Valores!$C$2,2)</f>
        <v>0</v>
      </c>
      <c r="I272" s="191">
        <v>0</v>
      </c>
      <c r="J272" s="125">
        <f>ROUND(I272*Valores!$C$2,2)</f>
        <v>0</v>
      </c>
      <c r="K272" s="191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15092.03</v>
      </c>
      <c r="N272" s="125">
        <f t="shared" si="42"/>
        <v>0</v>
      </c>
      <c r="O272" s="125">
        <f>Valores!$C$7*B272</f>
        <v>31731.72</v>
      </c>
      <c r="P272" s="125">
        <f>ROUND(IF(B272&lt;15,(Valores!$E$5*B272),Valores!$D$5),2)</f>
        <v>20796.54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16714.56</v>
      </c>
      <c r="S272" s="125">
        <f>Valores!$C$18*B272</f>
        <v>9980.16</v>
      </c>
      <c r="T272" s="125">
        <f t="shared" si="48"/>
        <v>9980.16</v>
      </c>
      <c r="U272" s="125">
        <v>0</v>
      </c>
      <c r="V272" s="125">
        <v>0</v>
      </c>
      <c r="W272" s="191">
        <v>0</v>
      </c>
      <c r="X272" s="125">
        <f>ROUND(W272*Valores!$C$2,2)</f>
        <v>0</v>
      </c>
      <c r="Y272" s="125">
        <v>0</v>
      </c>
      <c r="Z272" s="125">
        <f>IF(Valores!$C$97*B272&gt;Valores!$C$96,Valores!$C$96,Valores!$C$97*B272)</f>
        <v>30467.410000000003</v>
      </c>
      <c r="AA272" s="125">
        <f>IF((Valores!$C$28)*B272&gt;Valores!$F$28,Valores!$F$28,(Valores!$C$28)*B272)</f>
        <v>783.8399999999999</v>
      </c>
      <c r="AB272" s="210">
        <v>0</v>
      </c>
      <c r="AC272" s="125">
        <f t="shared" si="43"/>
        <v>0</v>
      </c>
      <c r="AD272" s="125">
        <f>IF(Valores!$C$29*B272&gt;Valores!$F$29,Valores!$F$29,Valores!$C$29*B272)</f>
        <v>652.74</v>
      </c>
      <c r="AE272" s="191">
        <v>94</v>
      </c>
      <c r="AF272" s="125">
        <f>ROUND(AE272*Valores!$C$2,2)</f>
        <v>3824.09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</f>
        <v>14910.9</v>
      </c>
      <c r="AH272" s="125">
        <f t="shared" si="46"/>
        <v>218872.81999999998</v>
      </c>
      <c r="AI272" s="125">
        <f>IF(Valores!$C$32*B272&gt;Valores!$F$32,Valores!$F$32,Valores!$C$32*B272)</f>
        <v>0</v>
      </c>
      <c r="AJ272" s="125">
        <f>IF(Valores!$C$90*B272&gt;Valores!$C$89,Valores!$C$89,Valores!$C$90*B272)</f>
        <v>0</v>
      </c>
      <c r="AK272" s="125">
        <f>IF(Valores!C$39*B272&gt;Valores!F$38,Valores!F$38,Valores!C$39*B272)</f>
        <v>0</v>
      </c>
      <c r="AL272" s="125">
        <f>IF($F$3="NO",0,IF(Valores!$C$62*B272&gt;Valores!$F$62,Valores!$F$62,Valores!$C$62*B272))</f>
        <v>0</v>
      </c>
      <c r="AM272" s="125">
        <f t="shared" si="44"/>
        <v>0</v>
      </c>
      <c r="AN272" s="125">
        <f>AH272*Valores!$C$71</f>
        <v>-24076.010199999997</v>
      </c>
      <c r="AO272" s="125">
        <f>AH272*-Valores!$C$72</f>
        <v>0</v>
      </c>
      <c r="AP272" s="125">
        <f>AH272*Valores!$C$73</f>
        <v>-9849.276899999999</v>
      </c>
      <c r="AQ272" s="125">
        <f>Valores!$C$100</f>
        <v>-554.86</v>
      </c>
      <c r="AR272" s="125">
        <f>IF($F$5=0,Valores!$C$101,(Valores!$C$101+$F$5*(Valores!$C$101)))</f>
        <v>-550</v>
      </c>
      <c r="AS272" s="125">
        <f t="shared" si="47"/>
        <v>183842.67289999998</v>
      </c>
      <c r="AT272" s="125">
        <f t="shared" si="41"/>
        <v>-24076.010199999997</v>
      </c>
      <c r="AU272" s="125">
        <f>AH272*Valores!$C$74</f>
        <v>-5909.566139999999</v>
      </c>
      <c r="AV272" s="125">
        <f>AH272*Valores!$C$75</f>
        <v>-656.6184599999999</v>
      </c>
      <c r="AW272" s="125">
        <f t="shared" si="45"/>
        <v>188230.62519999998</v>
      </c>
      <c r="AX272" s="126"/>
      <c r="AY272" s="126">
        <f t="shared" si="39"/>
        <v>23</v>
      </c>
      <c r="AZ272" s="123" t="s">
        <v>8</v>
      </c>
    </row>
    <row r="273" spans="1:52" s="110" customFormat="1" ht="11.25" customHeight="1">
      <c r="A273" s="123" t="s">
        <v>471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1">
        <f t="shared" si="40"/>
        <v>1896</v>
      </c>
      <c r="F273" s="125">
        <f>ROUND(E273*Valores!$C$2,2)</f>
        <v>77132.69</v>
      </c>
      <c r="G273" s="191">
        <v>0</v>
      </c>
      <c r="H273" s="125">
        <f>ROUND(G273*Valores!$C$2,2)</f>
        <v>0</v>
      </c>
      <c r="I273" s="191">
        <v>0</v>
      </c>
      <c r="J273" s="125">
        <f>ROUND(I273*Valores!$C$2,2)</f>
        <v>0</v>
      </c>
      <c r="K273" s="191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15748.21</v>
      </c>
      <c r="N273" s="125">
        <f t="shared" si="42"/>
        <v>0</v>
      </c>
      <c r="O273" s="125">
        <f>Valores!$C$7*B273</f>
        <v>33111.36</v>
      </c>
      <c r="P273" s="125">
        <f>ROUND(IF(B273&lt;15,(Valores!$E$5*B273),Valores!$D$5),2)</f>
        <v>20796.54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17441.28</v>
      </c>
      <c r="S273" s="125">
        <f>Valores!$C$18*B273</f>
        <v>10414.08</v>
      </c>
      <c r="T273" s="125">
        <f t="shared" si="48"/>
        <v>10414.08</v>
      </c>
      <c r="U273" s="125">
        <v>0</v>
      </c>
      <c r="V273" s="125">
        <v>0</v>
      </c>
      <c r="W273" s="191">
        <v>0</v>
      </c>
      <c r="X273" s="125">
        <f>ROUND(W273*Valores!$C$2,2)</f>
        <v>0</v>
      </c>
      <c r="Y273" s="125">
        <v>0</v>
      </c>
      <c r="Z273" s="125">
        <f>IF(Valores!$C$97*B273&gt;Valores!$C$96,Valores!$C$96,Valores!$C$97*B273)</f>
        <v>31792.08</v>
      </c>
      <c r="AA273" s="125">
        <f>IF((Valores!$C$28)*B273&gt;Valores!$F$28,Valores!$F$28,(Valores!$C$28)*B273)</f>
        <v>817.92</v>
      </c>
      <c r="AB273" s="210">
        <v>0</v>
      </c>
      <c r="AC273" s="125">
        <f t="shared" si="43"/>
        <v>0</v>
      </c>
      <c r="AD273" s="125">
        <f>IF(Valores!$C$29*B273&gt;Valores!$F$29,Valores!$F$29,Valores!$C$29*B273)</f>
        <v>681.12</v>
      </c>
      <c r="AE273" s="191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</f>
        <v>15559.199999999999</v>
      </c>
      <c r="AH273" s="125">
        <f t="shared" si="46"/>
        <v>223494.48</v>
      </c>
      <c r="AI273" s="125">
        <f>IF(Valores!$C$32*B273&gt;Valores!$F$32,Valores!$F$32,Valores!$C$32*B273)</f>
        <v>0</v>
      </c>
      <c r="AJ273" s="125">
        <f>IF(Valores!$C$90*B273&gt;Valores!$C$89,Valores!$C$89,Valores!$C$90*B273)</f>
        <v>0</v>
      </c>
      <c r="AK273" s="125">
        <f>IF(Valores!C$39*B273&gt;Valores!F$38,Valores!F$38,Valores!C$39*B273)</f>
        <v>0</v>
      </c>
      <c r="AL273" s="125">
        <f>IF($F$3="NO",0,IF(Valores!$C$62*B273&gt;Valores!$F$62,Valores!$F$62,Valores!$C$62*B273))</f>
        <v>0</v>
      </c>
      <c r="AM273" s="125">
        <f t="shared" si="44"/>
        <v>0</v>
      </c>
      <c r="AN273" s="125">
        <f>AH273*Valores!$C$71</f>
        <v>-24584.3928</v>
      </c>
      <c r="AO273" s="125">
        <f>AH273*-Valores!$C$72</f>
        <v>0</v>
      </c>
      <c r="AP273" s="125">
        <f>AH273*Valores!$C$73</f>
        <v>-10057.2516</v>
      </c>
      <c r="AQ273" s="125">
        <f>Valores!$C$100</f>
        <v>-554.86</v>
      </c>
      <c r="AR273" s="125">
        <f>IF($F$5=0,Valores!$C$101,(Valores!$C$101+$F$5*(Valores!$C$101)))</f>
        <v>-550</v>
      </c>
      <c r="AS273" s="125">
        <f t="shared" si="47"/>
        <v>187747.9756</v>
      </c>
      <c r="AT273" s="125">
        <f t="shared" si="41"/>
        <v>-24584.3928</v>
      </c>
      <c r="AU273" s="125">
        <f>AH273*Valores!$C$74</f>
        <v>-6034.350960000001</v>
      </c>
      <c r="AV273" s="125">
        <f>AH273*Valores!$C$75</f>
        <v>-670.4834400000001</v>
      </c>
      <c r="AW273" s="125">
        <f t="shared" si="45"/>
        <v>192205.25280000002</v>
      </c>
      <c r="AX273" s="126"/>
      <c r="AY273" s="126">
        <f t="shared" si="39"/>
        <v>24</v>
      </c>
      <c r="AZ273" s="123" t="s">
        <v>8</v>
      </c>
    </row>
    <row r="274" spans="1:52" s="110" customFormat="1" ht="11.25" customHeight="1">
      <c r="A274" s="123" t="s">
        <v>471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1">
        <f t="shared" si="40"/>
        <v>1896</v>
      </c>
      <c r="F274" s="125">
        <f>ROUND(E274*Valores!$C$2,2)</f>
        <v>77132.69</v>
      </c>
      <c r="G274" s="191">
        <v>0</v>
      </c>
      <c r="H274" s="125">
        <f>ROUND(G274*Valores!$C$2,2)</f>
        <v>0</v>
      </c>
      <c r="I274" s="191">
        <v>0</v>
      </c>
      <c r="J274" s="125">
        <f>ROUND(I274*Valores!$C$2,2)</f>
        <v>0</v>
      </c>
      <c r="K274" s="191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15748.21</v>
      </c>
      <c r="N274" s="125">
        <f t="shared" si="42"/>
        <v>0</v>
      </c>
      <c r="O274" s="125">
        <f>Valores!$C$7*B274</f>
        <v>33111.36</v>
      </c>
      <c r="P274" s="125">
        <f>ROUND(IF(B274&lt;15,(Valores!$E$5*B274),Valores!$D$5),2)</f>
        <v>20796.54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17441.28</v>
      </c>
      <c r="S274" s="125">
        <f>Valores!$C$18*B274</f>
        <v>10414.08</v>
      </c>
      <c r="T274" s="125">
        <f t="shared" si="48"/>
        <v>10414.08</v>
      </c>
      <c r="U274" s="125">
        <v>0</v>
      </c>
      <c r="V274" s="125">
        <v>0</v>
      </c>
      <c r="W274" s="191">
        <v>0</v>
      </c>
      <c r="X274" s="125">
        <f>ROUND(W274*Valores!$C$2,2)</f>
        <v>0</v>
      </c>
      <c r="Y274" s="125">
        <v>0</v>
      </c>
      <c r="Z274" s="125">
        <f>IF(Valores!$C$97*B274&gt;Valores!$C$96,Valores!$C$96,Valores!$C$97*B274)</f>
        <v>31792.08</v>
      </c>
      <c r="AA274" s="125">
        <f>IF((Valores!$C$28)*B274&gt;Valores!$F$28,Valores!$F$28,(Valores!$C$28)*B274)</f>
        <v>817.92</v>
      </c>
      <c r="AB274" s="210">
        <v>0</v>
      </c>
      <c r="AC274" s="125">
        <f t="shared" si="43"/>
        <v>0</v>
      </c>
      <c r="AD274" s="125">
        <f>IF(Valores!$C$29*B274&gt;Valores!$F$29,Valores!$F$29,Valores!$C$29*B274)</f>
        <v>681.12</v>
      </c>
      <c r="AE274" s="191">
        <v>94</v>
      </c>
      <c r="AF274" s="125">
        <f>ROUND(AE274*Valores!$C$2,2)</f>
        <v>3824.09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</f>
        <v>15559.199999999999</v>
      </c>
      <c r="AH274" s="125">
        <f t="shared" si="46"/>
        <v>227318.57</v>
      </c>
      <c r="AI274" s="125">
        <f>IF(Valores!$C$32*B274&gt;Valores!$F$32,Valores!$F$32,Valores!$C$32*B274)</f>
        <v>0</v>
      </c>
      <c r="AJ274" s="125">
        <f>IF(Valores!$C$90*B274&gt;Valores!$C$89,Valores!$C$89,Valores!$C$90*B274)</f>
        <v>0</v>
      </c>
      <c r="AK274" s="125">
        <f>IF(Valores!C$39*B274&gt;Valores!F$38,Valores!F$38,Valores!C$39*B274)</f>
        <v>0</v>
      </c>
      <c r="AL274" s="125">
        <f>IF($F$3="NO",0,IF(Valores!$C$62*B274&gt;Valores!$F$62,Valores!$F$62,Valores!$C$62*B274))</f>
        <v>0</v>
      </c>
      <c r="AM274" s="125">
        <f t="shared" si="44"/>
        <v>0</v>
      </c>
      <c r="AN274" s="125">
        <f>AH274*Valores!$C$71</f>
        <v>-25005.0427</v>
      </c>
      <c r="AO274" s="125">
        <f>AH274*-Valores!$C$72</f>
        <v>0</v>
      </c>
      <c r="AP274" s="125">
        <f>AH274*Valores!$C$73</f>
        <v>-10229.335649999999</v>
      </c>
      <c r="AQ274" s="125">
        <f>Valores!$C$100</f>
        <v>-554.86</v>
      </c>
      <c r="AR274" s="125">
        <f>IF($F$5=0,Valores!$C$101,(Valores!$C$101+$F$5*(Valores!$C$101)))</f>
        <v>-550</v>
      </c>
      <c r="AS274" s="125">
        <f t="shared" si="47"/>
        <v>190979.33165</v>
      </c>
      <c r="AT274" s="125">
        <f t="shared" si="41"/>
        <v>-25005.0427</v>
      </c>
      <c r="AU274" s="125">
        <f>AH274*Valores!$C$74</f>
        <v>-6137.60139</v>
      </c>
      <c r="AV274" s="125">
        <f>AH274*Valores!$C$75</f>
        <v>-681.9557100000001</v>
      </c>
      <c r="AW274" s="125">
        <f t="shared" si="45"/>
        <v>195493.9702</v>
      </c>
      <c r="AX274" s="126"/>
      <c r="AY274" s="126">
        <f t="shared" si="39"/>
        <v>24</v>
      </c>
      <c r="AZ274" s="123" t="s">
        <v>8</v>
      </c>
    </row>
    <row r="275" spans="1:52" s="110" customFormat="1" ht="11.25" customHeight="1">
      <c r="A275" s="123" t="s">
        <v>471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1">
        <f t="shared" si="40"/>
        <v>1975</v>
      </c>
      <c r="F275" s="125">
        <f>ROUND(E275*Valores!$C$2,2)</f>
        <v>80346.56</v>
      </c>
      <c r="G275" s="191">
        <v>0</v>
      </c>
      <c r="H275" s="125">
        <f>ROUND(G275*Valores!$C$2,2)</f>
        <v>0</v>
      </c>
      <c r="I275" s="191">
        <v>0</v>
      </c>
      <c r="J275" s="125">
        <f>ROUND(I275*Valores!$C$2,2)</f>
        <v>0</v>
      </c>
      <c r="K275" s="191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16404.38</v>
      </c>
      <c r="N275" s="125">
        <f t="shared" si="42"/>
        <v>0</v>
      </c>
      <c r="O275" s="125">
        <f>Valores!$C$7*B275</f>
        <v>34491</v>
      </c>
      <c r="P275" s="125">
        <f>ROUND(IF(B275&lt;15,(Valores!$E$5*B275),Valores!$D$5),2)</f>
        <v>20796.54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18168</v>
      </c>
      <c r="S275" s="125">
        <f>Valores!$C$18*B275</f>
        <v>10848</v>
      </c>
      <c r="T275" s="125">
        <f t="shared" si="48"/>
        <v>10848</v>
      </c>
      <c r="U275" s="125">
        <v>0</v>
      </c>
      <c r="V275" s="125">
        <v>0</v>
      </c>
      <c r="W275" s="191">
        <v>0</v>
      </c>
      <c r="X275" s="125">
        <f>ROUND(W275*Valores!$C$2,2)</f>
        <v>0</v>
      </c>
      <c r="Y275" s="125">
        <v>0</v>
      </c>
      <c r="Z275" s="125">
        <f>IF(Valores!$C$97*B275&gt;Valores!$C$96,Valores!$C$96,Valores!$C$97*B275)</f>
        <v>33116.75</v>
      </c>
      <c r="AA275" s="125">
        <f>IF((Valores!$C$28)*B275&gt;Valores!$F$28,Valores!$F$28,(Valores!$C$28)*B275)</f>
        <v>852</v>
      </c>
      <c r="AB275" s="210">
        <v>0</v>
      </c>
      <c r="AC275" s="125">
        <f t="shared" si="43"/>
        <v>0</v>
      </c>
      <c r="AD275" s="125">
        <f>IF(Valores!$C$29*B275&gt;Valores!$F$29,Valores!$F$29,Valores!$C$29*B275)</f>
        <v>709.5</v>
      </c>
      <c r="AE275" s="191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</f>
        <v>16207.499999999998</v>
      </c>
      <c r="AH275" s="125">
        <f t="shared" si="46"/>
        <v>231940.23</v>
      </c>
      <c r="AI275" s="125">
        <f>IF(Valores!$C$32*B275&gt;Valores!$F$32,Valores!$F$32,Valores!$C$32*B275)</f>
        <v>0</v>
      </c>
      <c r="AJ275" s="125">
        <f>IF(Valores!$C$90*B275&gt;Valores!$C$89,Valores!$C$89,Valores!$C$90*B275)</f>
        <v>0</v>
      </c>
      <c r="AK275" s="125">
        <f>IF(Valores!C$39*B275&gt;Valores!F$38,Valores!F$38,Valores!C$39*B275)</f>
        <v>0</v>
      </c>
      <c r="AL275" s="125">
        <f>IF($F$3="NO",0,IF(Valores!$C$62*B275&gt;Valores!$F$62,Valores!$F$62,Valores!$C$62*B275))</f>
        <v>0</v>
      </c>
      <c r="AM275" s="125">
        <f t="shared" si="44"/>
        <v>0</v>
      </c>
      <c r="AN275" s="125">
        <f>AH275*Valores!$C$71</f>
        <v>-25513.425300000003</v>
      </c>
      <c r="AO275" s="125">
        <f>AH275*-Valores!$C$72</f>
        <v>0</v>
      </c>
      <c r="AP275" s="125">
        <f>AH275*Valores!$C$73</f>
        <v>-10437.31035</v>
      </c>
      <c r="AQ275" s="125">
        <f>Valores!$C$100</f>
        <v>-554.86</v>
      </c>
      <c r="AR275" s="125">
        <f>IF($F$5=0,Valores!$C$101,(Valores!$C$101+$F$5*(Valores!$C$101)))</f>
        <v>-550</v>
      </c>
      <c r="AS275" s="125">
        <f t="shared" si="47"/>
        <v>194884.63435</v>
      </c>
      <c r="AT275" s="125">
        <f t="shared" si="41"/>
        <v>-25513.425300000003</v>
      </c>
      <c r="AU275" s="125">
        <f>AH275*Valores!$C$74</f>
        <v>-6262.386210000001</v>
      </c>
      <c r="AV275" s="125">
        <f>AH275*Valores!$C$75</f>
        <v>-695.82069</v>
      </c>
      <c r="AW275" s="125">
        <f t="shared" si="45"/>
        <v>199468.59780000002</v>
      </c>
      <c r="AX275" s="126"/>
      <c r="AY275" s="126">
        <f t="shared" si="39"/>
        <v>25</v>
      </c>
      <c r="AZ275" s="123" t="s">
        <v>4</v>
      </c>
    </row>
    <row r="276" spans="1:52" s="110" customFormat="1" ht="11.25" customHeight="1">
      <c r="A276" s="123" t="s">
        <v>471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1">
        <f t="shared" si="40"/>
        <v>1975</v>
      </c>
      <c r="F276" s="125">
        <f>ROUND(E276*Valores!$C$2,2)</f>
        <v>80346.56</v>
      </c>
      <c r="G276" s="191">
        <v>0</v>
      </c>
      <c r="H276" s="125">
        <f>ROUND(G276*Valores!$C$2,2)</f>
        <v>0</v>
      </c>
      <c r="I276" s="191">
        <v>0</v>
      </c>
      <c r="J276" s="125">
        <f>ROUND(I276*Valores!$C$2,2)</f>
        <v>0</v>
      </c>
      <c r="K276" s="191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16404.38</v>
      </c>
      <c r="N276" s="125">
        <f t="shared" si="42"/>
        <v>0</v>
      </c>
      <c r="O276" s="125">
        <f>Valores!$C$7*B276</f>
        <v>34491</v>
      </c>
      <c r="P276" s="125">
        <f>ROUND(IF(B276&lt;15,(Valores!$E$5*B276),Valores!$D$5),2)</f>
        <v>20796.54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18168</v>
      </c>
      <c r="S276" s="125">
        <f>Valores!$C$18*B276</f>
        <v>10848</v>
      </c>
      <c r="T276" s="125">
        <f t="shared" si="48"/>
        <v>10848</v>
      </c>
      <c r="U276" s="125">
        <v>0</v>
      </c>
      <c r="V276" s="125">
        <v>0</v>
      </c>
      <c r="W276" s="191">
        <v>0</v>
      </c>
      <c r="X276" s="125">
        <f>ROUND(W276*Valores!$C$2,2)</f>
        <v>0</v>
      </c>
      <c r="Y276" s="125">
        <v>0</v>
      </c>
      <c r="Z276" s="125">
        <f>IF(Valores!$C$97*B276&gt;Valores!$C$96,Valores!$C$96,Valores!$C$97*B276)</f>
        <v>33116.75</v>
      </c>
      <c r="AA276" s="125">
        <f>IF((Valores!$C$28)*B276&gt;Valores!$F$28,Valores!$F$28,(Valores!$C$28)*B276)</f>
        <v>852</v>
      </c>
      <c r="AB276" s="210">
        <v>0</v>
      </c>
      <c r="AC276" s="125">
        <f t="shared" si="43"/>
        <v>0</v>
      </c>
      <c r="AD276" s="125">
        <f>IF(Valores!$C$29*B276&gt;Valores!$F$29,Valores!$F$29,Valores!$C$29*B276)</f>
        <v>709.5</v>
      </c>
      <c r="AE276" s="191">
        <v>94</v>
      </c>
      <c r="AF276" s="125">
        <f>ROUND(AE276*Valores!$C$2,2)</f>
        <v>3824.09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</f>
        <v>16207.499999999998</v>
      </c>
      <c r="AH276" s="125">
        <f t="shared" si="46"/>
        <v>235764.32</v>
      </c>
      <c r="AI276" s="125">
        <f>IF(Valores!$C$32*B276&gt;Valores!$F$32,Valores!$F$32,Valores!$C$32*B276)</f>
        <v>0</v>
      </c>
      <c r="AJ276" s="125">
        <f>IF(Valores!$C$90*B276&gt;Valores!$C$89,Valores!$C$89,Valores!$C$90*B276)</f>
        <v>0</v>
      </c>
      <c r="AK276" s="125">
        <f>IF(Valores!C$39*B276&gt;Valores!F$38,Valores!F$38,Valores!C$39*B276)</f>
        <v>0</v>
      </c>
      <c r="AL276" s="125">
        <f>IF($F$3="NO",0,IF(Valores!$C$62*B276&gt;Valores!$F$62,Valores!$F$62,Valores!$C$62*B276))</f>
        <v>0</v>
      </c>
      <c r="AM276" s="125">
        <f t="shared" si="44"/>
        <v>0</v>
      </c>
      <c r="AN276" s="125">
        <f>AH276*Valores!$C$71</f>
        <v>-25934.0752</v>
      </c>
      <c r="AO276" s="125">
        <f>AH276*-Valores!$C$72</f>
        <v>0</v>
      </c>
      <c r="AP276" s="125">
        <f>AH276*Valores!$C$73</f>
        <v>-10609.3944</v>
      </c>
      <c r="AQ276" s="125">
        <f>Valores!$C$100</f>
        <v>-554.86</v>
      </c>
      <c r="AR276" s="125">
        <f>IF($F$5=0,Valores!$C$101,(Valores!$C$101+$F$5*(Valores!$C$101)))</f>
        <v>-550</v>
      </c>
      <c r="AS276" s="125">
        <f t="shared" si="47"/>
        <v>198115.9904</v>
      </c>
      <c r="AT276" s="125">
        <f t="shared" si="41"/>
        <v>-25934.0752</v>
      </c>
      <c r="AU276" s="125">
        <f>AH276*Valores!$C$74</f>
        <v>-6365.63664</v>
      </c>
      <c r="AV276" s="125">
        <f>AH276*Valores!$C$75</f>
        <v>-707.29296</v>
      </c>
      <c r="AW276" s="125">
        <f t="shared" si="45"/>
        <v>202757.3152</v>
      </c>
      <c r="AX276" s="126"/>
      <c r="AY276" s="126">
        <f t="shared" si="39"/>
        <v>25</v>
      </c>
      <c r="AZ276" s="123" t="s">
        <v>4</v>
      </c>
    </row>
    <row r="277" spans="1:52" s="110" customFormat="1" ht="11.25" customHeight="1">
      <c r="A277" s="123" t="s">
        <v>471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1">
        <f t="shared" si="40"/>
        <v>2054</v>
      </c>
      <c r="F277" s="125">
        <f>ROUND(E277*Valores!$C$2,2)</f>
        <v>83560.42</v>
      </c>
      <c r="G277" s="191">
        <v>0</v>
      </c>
      <c r="H277" s="125">
        <f>ROUND(G277*Valores!$C$2,2)</f>
        <v>0</v>
      </c>
      <c r="I277" s="191">
        <v>0</v>
      </c>
      <c r="J277" s="125">
        <f>ROUND(I277*Valores!$C$2,2)</f>
        <v>0</v>
      </c>
      <c r="K277" s="191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17060.56</v>
      </c>
      <c r="N277" s="125">
        <f t="shared" si="42"/>
        <v>0</v>
      </c>
      <c r="O277" s="125">
        <f>Valores!$C$7*B277</f>
        <v>35870.64</v>
      </c>
      <c r="P277" s="125">
        <f>ROUND(IF(B277&lt;15,(Valores!$E$5*B277),Valores!$D$5),2)</f>
        <v>20796.54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18894.72</v>
      </c>
      <c r="S277" s="125">
        <f>Valores!$C$18*B277</f>
        <v>11281.92</v>
      </c>
      <c r="T277" s="125">
        <f t="shared" si="48"/>
        <v>11281.92</v>
      </c>
      <c r="U277" s="125">
        <v>0</v>
      </c>
      <c r="V277" s="125">
        <v>0</v>
      </c>
      <c r="W277" s="191">
        <v>0</v>
      </c>
      <c r="X277" s="125">
        <f>ROUND(W277*Valores!$C$2,2)</f>
        <v>0</v>
      </c>
      <c r="Y277" s="125">
        <v>0</v>
      </c>
      <c r="Z277" s="125">
        <f>IF(Valores!$C$97*B277&gt;Valores!$C$96,Valores!$C$96,Valores!$C$97*B277)</f>
        <v>34441.42</v>
      </c>
      <c r="AA277" s="125">
        <f>IF((Valores!$C$28)*B277&gt;Valores!$F$28,Valores!$F$28,(Valores!$C$28)*B277)</f>
        <v>886.0799999999999</v>
      </c>
      <c r="AB277" s="210">
        <v>0</v>
      </c>
      <c r="AC277" s="125">
        <f t="shared" si="43"/>
        <v>0</v>
      </c>
      <c r="AD277" s="125">
        <f>IF(Valores!$C$29*B277&gt;Valores!$F$29,Valores!$F$29,Valores!$C$29*B277)</f>
        <v>737.88</v>
      </c>
      <c r="AE277" s="191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</f>
        <v>16855.8</v>
      </c>
      <c r="AH277" s="125">
        <f t="shared" si="46"/>
        <v>240385.98</v>
      </c>
      <c r="AI277" s="125">
        <f>IF(Valores!$C$32*B277&gt;Valores!$F$32,Valores!$F$32,Valores!$C$32*B277)</f>
        <v>0</v>
      </c>
      <c r="AJ277" s="125">
        <f>IF(Valores!$C$90*B277&gt;Valores!$C$89,Valores!$C$89,Valores!$C$90*B277)</f>
        <v>0</v>
      </c>
      <c r="AK277" s="125">
        <f>IF(Valores!C$39*B277&gt;Valores!F$38,Valores!F$38,Valores!C$39*B277)</f>
        <v>0</v>
      </c>
      <c r="AL277" s="125">
        <f>IF($F$3="NO",0,IF(Valores!$C$62*B277&gt;Valores!$F$62,Valores!$F$62,Valores!$C$62*B277))</f>
        <v>0</v>
      </c>
      <c r="AM277" s="125">
        <f t="shared" si="44"/>
        <v>0</v>
      </c>
      <c r="AN277" s="125">
        <f>AH277*Valores!$C$71</f>
        <v>-26442.4578</v>
      </c>
      <c r="AO277" s="125">
        <f>AH277*-Valores!$C$72</f>
        <v>0</v>
      </c>
      <c r="AP277" s="125">
        <f>AH277*Valores!$C$73</f>
        <v>-10817.3691</v>
      </c>
      <c r="AQ277" s="125">
        <f>Valores!$C$100</f>
        <v>-554.86</v>
      </c>
      <c r="AR277" s="125">
        <f>IF($F$5=0,Valores!$C$101,(Valores!$C$101+$F$5*(Valores!$C$101)))</f>
        <v>-550</v>
      </c>
      <c r="AS277" s="125">
        <f t="shared" si="47"/>
        <v>202021.2931</v>
      </c>
      <c r="AT277" s="125">
        <f t="shared" si="41"/>
        <v>-26442.4578</v>
      </c>
      <c r="AU277" s="125">
        <f>AH277*Valores!$C$74</f>
        <v>-6490.4214600000005</v>
      </c>
      <c r="AV277" s="125">
        <f>AH277*Valores!$C$75</f>
        <v>-721.15794</v>
      </c>
      <c r="AW277" s="125">
        <f t="shared" si="45"/>
        <v>206731.94280000002</v>
      </c>
      <c r="AX277" s="126"/>
      <c r="AY277" s="126">
        <f t="shared" si="39"/>
        <v>26</v>
      </c>
      <c r="AZ277" s="123" t="s">
        <v>4</v>
      </c>
    </row>
    <row r="278" spans="1:52" s="110" customFormat="1" ht="11.25" customHeight="1">
      <c r="A278" s="123" t="s">
        <v>471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1">
        <f t="shared" si="40"/>
        <v>2054</v>
      </c>
      <c r="F278" s="125">
        <f>ROUND(E278*Valores!$C$2,2)</f>
        <v>83560.42</v>
      </c>
      <c r="G278" s="191">
        <v>0</v>
      </c>
      <c r="H278" s="125">
        <f>ROUND(G278*Valores!$C$2,2)</f>
        <v>0</v>
      </c>
      <c r="I278" s="191">
        <v>0</v>
      </c>
      <c r="J278" s="125">
        <f>ROUND(I278*Valores!$C$2,2)</f>
        <v>0</v>
      </c>
      <c r="K278" s="191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17060.56</v>
      </c>
      <c r="N278" s="125">
        <f t="shared" si="42"/>
        <v>0</v>
      </c>
      <c r="O278" s="125">
        <f>Valores!$C$7*B278</f>
        <v>35870.64</v>
      </c>
      <c r="P278" s="125">
        <f>ROUND(IF(B278&lt;15,(Valores!$E$5*B278),Valores!$D$5),2)</f>
        <v>20796.54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18894.72</v>
      </c>
      <c r="S278" s="125">
        <f>Valores!$C$18*B278</f>
        <v>11281.92</v>
      </c>
      <c r="T278" s="125">
        <f t="shared" si="48"/>
        <v>11281.92</v>
      </c>
      <c r="U278" s="125">
        <v>0</v>
      </c>
      <c r="V278" s="125">
        <v>0</v>
      </c>
      <c r="W278" s="191">
        <v>0</v>
      </c>
      <c r="X278" s="125">
        <f>ROUND(W278*Valores!$C$2,2)</f>
        <v>0</v>
      </c>
      <c r="Y278" s="125">
        <v>0</v>
      </c>
      <c r="Z278" s="125">
        <f>IF(Valores!$C$97*B278&gt;Valores!$C$96,Valores!$C$96,Valores!$C$97*B278)</f>
        <v>34441.42</v>
      </c>
      <c r="AA278" s="125">
        <f>IF((Valores!$C$28)*B278&gt;Valores!$F$28,Valores!$F$28,(Valores!$C$28)*B278)</f>
        <v>886.0799999999999</v>
      </c>
      <c r="AB278" s="210">
        <v>0</v>
      </c>
      <c r="AC278" s="125">
        <f t="shared" si="43"/>
        <v>0</v>
      </c>
      <c r="AD278" s="125">
        <f>IF(Valores!$C$29*B278&gt;Valores!$F$29,Valores!$F$29,Valores!$C$29*B278)</f>
        <v>737.88</v>
      </c>
      <c r="AE278" s="191">
        <v>94</v>
      </c>
      <c r="AF278" s="125">
        <f>ROUND(AE278*Valores!$C$2,2)</f>
        <v>3824.09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</f>
        <v>16855.8</v>
      </c>
      <c r="AH278" s="125">
        <f t="shared" si="46"/>
        <v>244210.07</v>
      </c>
      <c r="AI278" s="125">
        <f>IF(Valores!$C$32*B278&gt;Valores!$F$32,Valores!$F$32,Valores!$C$32*B278)</f>
        <v>0</v>
      </c>
      <c r="AJ278" s="125">
        <f>IF(Valores!$C$90*B278&gt;Valores!$C$89,Valores!$C$89,Valores!$C$90*B278)</f>
        <v>0</v>
      </c>
      <c r="AK278" s="125">
        <f>IF(Valores!C$39*B278&gt;Valores!F$38,Valores!F$38,Valores!C$39*B278)</f>
        <v>0</v>
      </c>
      <c r="AL278" s="125">
        <f>IF($F$3="NO",0,IF(Valores!$C$62*B278&gt;Valores!$F$62,Valores!$F$62,Valores!$C$62*B278))</f>
        <v>0</v>
      </c>
      <c r="AM278" s="125">
        <f t="shared" si="44"/>
        <v>0</v>
      </c>
      <c r="AN278" s="125">
        <f>AH278*Valores!$C$71</f>
        <v>-26863.1077</v>
      </c>
      <c r="AO278" s="125">
        <f>AH278*-Valores!$C$72</f>
        <v>0</v>
      </c>
      <c r="AP278" s="125">
        <f>AH278*Valores!$C$73</f>
        <v>-10989.45315</v>
      </c>
      <c r="AQ278" s="125">
        <f>Valores!$C$100</f>
        <v>-554.86</v>
      </c>
      <c r="AR278" s="125">
        <f>IF($F$5=0,Valores!$C$101,(Valores!$C$101+$F$5*(Valores!$C$101)))</f>
        <v>-550</v>
      </c>
      <c r="AS278" s="125">
        <f t="shared" si="47"/>
        <v>205252.64915</v>
      </c>
      <c r="AT278" s="125">
        <f t="shared" si="41"/>
        <v>-26863.1077</v>
      </c>
      <c r="AU278" s="125">
        <f>AH278*Valores!$C$74</f>
        <v>-6593.6718900000005</v>
      </c>
      <c r="AV278" s="125">
        <f>AH278*Valores!$C$75</f>
        <v>-732.63021</v>
      </c>
      <c r="AW278" s="125">
        <f t="shared" si="45"/>
        <v>210020.6602</v>
      </c>
      <c r="AX278" s="126"/>
      <c r="AY278" s="126">
        <f t="shared" si="39"/>
        <v>26</v>
      </c>
      <c r="AZ278" s="123" t="s">
        <v>4</v>
      </c>
    </row>
    <row r="279" spans="1:52" s="110" customFormat="1" ht="11.25" customHeight="1">
      <c r="A279" s="123" t="s">
        <v>471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1">
        <f t="shared" si="40"/>
        <v>2133</v>
      </c>
      <c r="F279" s="125">
        <f>ROUND(E279*Valores!$C$2,2)</f>
        <v>86774.28</v>
      </c>
      <c r="G279" s="191">
        <v>0</v>
      </c>
      <c r="H279" s="125">
        <f>ROUND(G279*Valores!$C$2,2)</f>
        <v>0</v>
      </c>
      <c r="I279" s="191">
        <v>0</v>
      </c>
      <c r="J279" s="125">
        <f>ROUND(I279*Valores!$C$2,2)</f>
        <v>0</v>
      </c>
      <c r="K279" s="191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17716.73</v>
      </c>
      <c r="N279" s="125">
        <f t="shared" si="42"/>
        <v>0</v>
      </c>
      <c r="O279" s="125">
        <f>Valores!$C$7*B279</f>
        <v>37250.280000000006</v>
      </c>
      <c r="P279" s="125">
        <f>ROUND(IF(B279&lt;15,(Valores!$E$5*B279),Valores!$D$5),2)</f>
        <v>20796.54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19621.440000000002</v>
      </c>
      <c r="S279" s="125">
        <f>Valores!$C$18*B279</f>
        <v>11715.84</v>
      </c>
      <c r="T279" s="125">
        <f t="shared" si="48"/>
        <v>11715.84</v>
      </c>
      <c r="U279" s="125">
        <v>0</v>
      </c>
      <c r="V279" s="125">
        <v>0</v>
      </c>
      <c r="W279" s="191">
        <v>0</v>
      </c>
      <c r="X279" s="125">
        <f>ROUND(W279*Valores!$C$2,2)</f>
        <v>0</v>
      </c>
      <c r="Y279" s="125">
        <v>0</v>
      </c>
      <c r="Z279" s="125">
        <f>IF(Valores!$C$97*B279&gt;Valores!$C$96,Valores!$C$96,Valores!$C$97*B279)</f>
        <v>35766.090000000004</v>
      </c>
      <c r="AA279" s="125">
        <f>IF((Valores!$C$28)*B279&gt;Valores!$F$28,Valores!$F$28,(Valores!$C$28)*B279)</f>
        <v>920.16</v>
      </c>
      <c r="AB279" s="210">
        <v>0</v>
      </c>
      <c r="AC279" s="125">
        <f t="shared" si="43"/>
        <v>0</v>
      </c>
      <c r="AD279" s="125">
        <f>IF(Valores!$C$29*B279&gt;Valores!$F$29,Valores!$F$29,Valores!$C$29*B279)</f>
        <v>766.26</v>
      </c>
      <c r="AE279" s="191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</f>
        <v>17504.1</v>
      </c>
      <c r="AH279" s="125">
        <f t="shared" si="46"/>
        <v>248831.72000000003</v>
      </c>
      <c r="AI279" s="125">
        <f>IF(Valores!$C$32*B279&gt;Valores!$F$32,Valores!$F$32,Valores!$C$32*B279)</f>
        <v>0</v>
      </c>
      <c r="AJ279" s="125">
        <f>IF(Valores!$C$90*B279&gt;Valores!$C$89,Valores!$C$89,Valores!$C$90*B279)</f>
        <v>0</v>
      </c>
      <c r="AK279" s="125">
        <f>IF(Valores!C$39*B279&gt;Valores!F$38,Valores!F$38,Valores!C$39*B279)</f>
        <v>0</v>
      </c>
      <c r="AL279" s="125">
        <f>IF($F$3="NO",0,IF(Valores!$C$62*B279&gt;Valores!$F$62,Valores!$F$62,Valores!$C$62*B279))</f>
        <v>0</v>
      </c>
      <c r="AM279" s="125">
        <f t="shared" si="44"/>
        <v>0</v>
      </c>
      <c r="AN279" s="125">
        <f>AH279*Valores!$C$71</f>
        <v>-27371.489200000004</v>
      </c>
      <c r="AO279" s="125">
        <f>AH279*-Valores!$C$72</f>
        <v>0</v>
      </c>
      <c r="AP279" s="125">
        <f>AH279*Valores!$C$73</f>
        <v>-11197.4274</v>
      </c>
      <c r="AQ279" s="125">
        <f>Valores!$C$100</f>
        <v>-554.86</v>
      </c>
      <c r="AR279" s="125">
        <f>IF($F$5=0,Valores!$C$101,(Valores!$C$101+$F$5*(Valores!$C$101)))</f>
        <v>-550</v>
      </c>
      <c r="AS279" s="125">
        <f t="shared" si="47"/>
        <v>209157.94340000002</v>
      </c>
      <c r="AT279" s="125">
        <f t="shared" si="41"/>
        <v>-27371.489200000004</v>
      </c>
      <c r="AU279" s="125">
        <f>AH279*Valores!$C$74</f>
        <v>-6718.456440000001</v>
      </c>
      <c r="AV279" s="125">
        <f>AH279*Valores!$C$75</f>
        <v>-746.49516</v>
      </c>
      <c r="AW279" s="125">
        <f t="shared" si="45"/>
        <v>213995.27920000002</v>
      </c>
      <c r="AX279" s="126"/>
      <c r="AY279" s="126">
        <f t="shared" si="39"/>
        <v>27</v>
      </c>
      <c r="AZ279" s="123" t="s">
        <v>8</v>
      </c>
    </row>
    <row r="280" spans="1:52" s="110" customFormat="1" ht="11.25" customHeight="1">
      <c r="A280" s="123" t="s">
        <v>471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1">
        <f t="shared" si="40"/>
        <v>2133</v>
      </c>
      <c r="F280" s="125">
        <f>ROUND(E280*Valores!$C$2,2)</f>
        <v>86774.28</v>
      </c>
      <c r="G280" s="191">
        <v>0</v>
      </c>
      <c r="H280" s="125">
        <f>ROUND(G280*Valores!$C$2,2)</f>
        <v>0</v>
      </c>
      <c r="I280" s="191">
        <v>0</v>
      </c>
      <c r="J280" s="125">
        <f>ROUND(I280*Valores!$C$2,2)</f>
        <v>0</v>
      </c>
      <c r="K280" s="191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17716.73</v>
      </c>
      <c r="N280" s="125">
        <f t="shared" si="42"/>
        <v>0</v>
      </c>
      <c r="O280" s="125">
        <f>Valores!$C$7*B280</f>
        <v>37250.280000000006</v>
      </c>
      <c r="P280" s="125">
        <f>ROUND(IF(B280&lt;15,(Valores!$E$5*B280),Valores!$D$5),2)</f>
        <v>20796.54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19621.440000000002</v>
      </c>
      <c r="S280" s="125">
        <f>Valores!$C$18*B280</f>
        <v>11715.84</v>
      </c>
      <c r="T280" s="125">
        <f t="shared" si="48"/>
        <v>11715.84</v>
      </c>
      <c r="U280" s="125">
        <v>0</v>
      </c>
      <c r="V280" s="125">
        <v>0</v>
      </c>
      <c r="W280" s="191">
        <v>0</v>
      </c>
      <c r="X280" s="125">
        <f>ROUND(W280*Valores!$C$2,2)</f>
        <v>0</v>
      </c>
      <c r="Y280" s="125">
        <v>0</v>
      </c>
      <c r="Z280" s="125">
        <f>IF(Valores!$C$97*B280&gt;Valores!$C$96,Valores!$C$96,Valores!$C$97*B280)</f>
        <v>35766.090000000004</v>
      </c>
      <c r="AA280" s="125">
        <f>IF((Valores!$C$28)*B280&gt;Valores!$F$28,Valores!$F$28,(Valores!$C$28)*B280)</f>
        <v>920.16</v>
      </c>
      <c r="AB280" s="210">
        <v>0</v>
      </c>
      <c r="AC280" s="125">
        <f t="shared" si="43"/>
        <v>0</v>
      </c>
      <c r="AD280" s="125">
        <f>IF(Valores!$C$29*B280&gt;Valores!$F$29,Valores!$F$29,Valores!$C$29*B280)</f>
        <v>766.26</v>
      </c>
      <c r="AE280" s="191">
        <v>94</v>
      </c>
      <c r="AF280" s="125">
        <f>ROUND(AE280*Valores!$C$2,2)</f>
        <v>3824.09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</f>
        <v>17504.1</v>
      </c>
      <c r="AH280" s="125">
        <f t="shared" si="46"/>
        <v>252655.81000000003</v>
      </c>
      <c r="AI280" s="125">
        <f>IF(Valores!$C$32*B280&gt;Valores!$F$32,Valores!$F$32,Valores!$C$32*B280)</f>
        <v>0</v>
      </c>
      <c r="AJ280" s="125">
        <f>IF(Valores!$C$90*B280&gt;Valores!$C$89,Valores!$C$89,Valores!$C$90*B280)</f>
        <v>0</v>
      </c>
      <c r="AK280" s="125">
        <f>IF(Valores!C$39*B280&gt;Valores!F$38,Valores!F$38,Valores!C$39*B280)</f>
        <v>0</v>
      </c>
      <c r="AL280" s="125">
        <f>IF($F$3="NO",0,IF(Valores!$C$62*B280&gt;Valores!$F$62,Valores!$F$62,Valores!$C$62*B280))</f>
        <v>0</v>
      </c>
      <c r="AM280" s="125">
        <f t="shared" si="44"/>
        <v>0</v>
      </c>
      <c r="AN280" s="125">
        <f>AH280*Valores!$C$71</f>
        <v>-27792.139100000004</v>
      </c>
      <c r="AO280" s="125">
        <f>AH280*-Valores!$C$72</f>
        <v>0</v>
      </c>
      <c r="AP280" s="125">
        <f>AH280*Valores!$C$73</f>
        <v>-11369.51145</v>
      </c>
      <c r="AQ280" s="125">
        <f>Valores!$C$100</f>
        <v>-554.86</v>
      </c>
      <c r="AR280" s="125">
        <f>IF($F$5=0,Valores!$C$101,(Valores!$C$101+$F$5*(Valores!$C$101)))</f>
        <v>-550</v>
      </c>
      <c r="AS280" s="125">
        <f t="shared" si="47"/>
        <v>212389.29945000002</v>
      </c>
      <c r="AT280" s="125">
        <f t="shared" si="41"/>
        <v>-27792.139100000004</v>
      </c>
      <c r="AU280" s="125">
        <f>AH280*Valores!$C$74</f>
        <v>-6821.706870000001</v>
      </c>
      <c r="AV280" s="125">
        <f>AH280*Valores!$C$75</f>
        <v>-757.9674300000001</v>
      </c>
      <c r="AW280" s="125">
        <f t="shared" si="45"/>
        <v>217283.9966</v>
      </c>
      <c r="AX280" s="126"/>
      <c r="AY280" s="126">
        <f t="shared" si="39"/>
        <v>27</v>
      </c>
      <c r="AZ280" s="123" t="s">
        <v>8</v>
      </c>
    </row>
    <row r="281" spans="1:52" s="110" customFormat="1" ht="11.25" customHeight="1">
      <c r="A281" s="123" t="s">
        <v>471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1">
        <f t="shared" si="40"/>
        <v>2212</v>
      </c>
      <c r="F281" s="125">
        <f>ROUND(E281*Valores!$C$2,2)</f>
        <v>89988.14</v>
      </c>
      <c r="G281" s="191">
        <v>0</v>
      </c>
      <c r="H281" s="125">
        <f>ROUND(G281*Valores!$C$2,2)</f>
        <v>0</v>
      </c>
      <c r="I281" s="191">
        <v>0</v>
      </c>
      <c r="J281" s="125">
        <f>ROUND(I281*Valores!$C$2,2)</f>
        <v>0</v>
      </c>
      <c r="K281" s="191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18372.91</v>
      </c>
      <c r="N281" s="125">
        <f t="shared" si="42"/>
        <v>0</v>
      </c>
      <c r="O281" s="125">
        <f>Valores!$C$7*B281</f>
        <v>38629.920000000006</v>
      </c>
      <c r="P281" s="125">
        <f>ROUND(IF(B281&lt;15,(Valores!$E$5*B281),Valores!$D$5),2)</f>
        <v>20796.54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20348.16</v>
      </c>
      <c r="S281" s="125">
        <f>Valores!$C$18*B281</f>
        <v>12149.76</v>
      </c>
      <c r="T281" s="125">
        <f t="shared" si="48"/>
        <v>12149.76</v>
      </c>
      <c r="U281" s="125">
        <v>0</v>
      </c>
      <c r="V281" s="125">
        <v>0</v>
      </c>
      <c r="W281" s="191">
        <v>0</v>
      </c>
      <c r="X281" s="125">
        <f>ROUND(W281*Valores!$C$2,2)</f>
        <v>0</v>
      </c>
      <c r="Y281" s="125">
        <v>0</v>
      </c>
      <c r="Z281" s="125">
        <f>IF(Valores!$C$97*B281&gt;Valores!$C$96,Valores!$C$96,Valores!$C$97*B281)</f>
        <v>37090.76</v>
      </c>
      <c r="AA281" s="125">
        <f>IF((Valores!$C$28)*B281&gt;Valores!$F$28,Valores!$F$28,(Valores!$C$28)*B281)</f>
        <v>954.24</v>
      </c>
      <c r="AB281" s="210">
        <v>0</v>
      </c>
      <c r="AC281" s="125">
        <f t="shared" si="43"/>
        <v>0</v>
      </c>
      <c r="AD281" s="125">
        <f>IF(Valores!$C$29*B281&gt;Valores!$F$29,Valores!$F$29,Valores!$C$29*B281)</f>
        <v>794.64</v>
      </c>
      <c r="AE281" s="191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</f>
        <v>18152.399999999998</v>
      </c>
      <c r="AH281" s="125">
        <f t="shared" si="46"/>
        <v>257277.47000000003</v>
      </c>
      <c r="AI281" s="125">
        <f>IF(Valores!$C$32*B281&gt;Valores!$F$32,Valores!$F$32,Valores!$C$32*B281)</f>
        <v>0</v>
      </c>
      <c r="AJ281" s="125">
        <f>IF(Valores!$C$90*B281&gt;Valores!$C$89,Valores!$C$89,Valores!$C$90*B281)</f>
        <v>0</v>
      </c>
      <c r="AK281" s="125">
        <f>IF(Valores!C$39*B281&gt;Valores!F$38,Valores!F$38,Valores!C$39*B281)</f>
        <v>0</v>
      </c>
      <c r="AL281" s="125">
        <f>IF($F$3="NO",0,IF(Valores!$C$62*B281&gt;Valores!$F$62,Valores!$F$62,Valores!$C$62*B281))</f>
        <v>0</v>
      </c>
      <c r="AM281" s="125">
        <f t="shared" si="44"/>
        <v>0</v>
      </c>
      <c r="AN281" s="125">
        <f>AH281*Valores!$C$71</f>
        <v>-28300.521700000005</v>
      </c>
      <c r="AO281" s="125">
        <f>AH281*-Valores!$C$72</f>
        <v>0</v>
      </c>
      <c r="AP281" s="125">
        <f>AH281*Valores!$C$73</f>
        <v>-11577.48615</v>
      </c>
      <c r="AQ281" s="125">
        <f>Valores!$C$100</f>
        <v>-554.86</v>
      </c>
      <c r="AR281" s="125">
        <f>IF($F$5=0,Valores!$C$101,(Valores!$C$101+$F$5*(Valores!$C$101)))</f>
        <v>-550</v>
      </c>
      <c r="AS281" s="125">
        <f t="shared" si="47"/>
        <v>216294.60215000002</v>
      </c>
      <c r="AT281" s="125">
        <f t="shared" si="41"/>
        <v>-28300.521700000005</v>
      </c>
      <c r="AU281" s="125">
        <f>AH281*Valores!$C$74</f>
        <v>-6946.491690000001</v>
      </c>
      <c r="AV281" s="125">
        <f>AH281*Valores!$C$75</f>
        <v>-771.8324100000001</v>
      </c>
      <c r="AW281" s="125">
        <f t="shared" si="45"/>
        <v>221258.62420000002</v>
      </c>
      <c r="AX281" s="126"/>
      <c r="AY281" s="126">
        <f t="shared" si="39"/>
        <v>28</v>
      </c>
      <c r="AZ281" s="123" t="s">
        <v>4</v>
      </c>
    </row>
    <row r="282" spans="1:52" s="110" customFormat="1" ht="11.25" customHeight="1">
      <c r="A282" s="123" t="s">
        <v>471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1">
        <f t="shared" si="40"/>
        <v>2212</v>
      </c>
      <c r="F282" s="125">
        <f>ROUND(E282*Valores!$C$2,2)</f>
        <v>89988.14</v>
      </c>
      <c r="G282" s="191">
        <v>0</v>
      </c>
      <c r="H282" s="125">
        <f>ROUND(G282*Valores!$C$2,2)</f>
        <v>0</v>
      </c>
      <c r="I282" s="191">
        <v>0</v>
      </c>
      <c r="J282" s="125">
        <f>ROUND(I282*Valores!$C$2,2)</f>
        <v>0</v>
      </c>
      <c r="K282" s="191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18372.91</v>
      </c>
      <c r="N282" s="125">
        <f t="shared" si="42"/>
        <v>0</v>
      </c>
      <c r="O282" s="125">
        <f>Valores!$C$7*B282</f>
        <v>38629.920000000006</v>
      </c>
      <c r="P282" s="125">
        <f>ROUND(IF(B282&lt;15,(Valores!$E$5*B282),Valores!$D$5),2)</f>
        <v>20796.54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20348.16</v>
      </c>
      <c r="S282" s="125">
        <f>Valores!$C$18*B282</f>
        <v>12149.76</v>
      </c>
      <c r="T282" s="125">
        <f t="shared" si="48"/>
        <v>12149.76</v>
      </c>
      <c r="U282" s="125">
        <v>0</v>
      </c>
      <c r="V282" s="125">
        <v>0</v>
      </c>
      <c r="W282" s="191">
        <v>0</v>
      </c>
      <c r="X282" s="125">
        <f>ROUND(W282*Valores!$C$2,2)</f>
        <v>0</v>
      </c>
      <c r="Y282" s="125">
        <v>0</v>
      </c>
      <c r="Z282" s="125">
        <f>IF(Valores!$C$97*B282&gt;Valores!$C$96,Valores!$C$96,Valores!$C$97*B282)</f>
        <v>37090.76</v>
      </c>
      <c r="AA282" s="125">
        <f>IF((Valores!$C$28)*B282&gt;Valores!$F$28,Valores!$F$28,(Valores!$C$28)*B282)</f>
        <v>954.24</v>
      </c>
      <c r="AB282" s="210">
        <v>0</v>
      </c>
      <c r="AC282" s="125">
        <f t="shared" si="43"/>
        <v>0</v>
      </c>
      <c r="AD282" s="125">
        <f>IF(Valores!$C$29*B282&gt;Valores!$F$29,Valores!$F$29,Valores!$C$29*B282)</f>
        <v>794.64</v>
      </c>
      <c r="AE282" s="191">
        <v>94</v>
      </c>
      <c r="AF282" s="125">
        <f>ROUND(AE282*Valores!$C$2,2)</f>
        <v>3824.09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</f>
        <v>18152.399999999998</v>
      </c>
      <c r="AH282" s="125">
        <f t="shared" si="46"/>
        <v>261101.56000000003</v>
      </c>
      <c r="AI282" s="125">
        <f>IF(Valores!$C$32*B282&gt;Valores!$F$32,Valores!$F$32,Valores!$C$32*B282)</f>
        <v>0</v>
      </c>
      <c r="AJ282" s="125">
        <f>IF(Valores!$C$90*B282&gt;Valores!$C$89,Valores!$C$89,Valores!$C$90*B282)</f>
        <v>0</v>
      </c>
      <c r="AK282" s="125">
        <f>IF(Valores!C$39*B282&gt;Valores!F$38,Valores!F$38,Valores!C$39*B282)</f>
        <v>0</v>
      </c>
      <c r="AL282" s="125">
        <f>IF($F$3="NO",0,IF(Valores!$C$62*B282&gt;Valores!$F$62,Valores!$F$62,Valores!$C$62*B282))</f>
        <v>0</v>
      </c>
      <c r="AM282" s="125">
        <f t="shared" si="44"/>
        <v>0</v>
      </c>
      <c r="AN282" s="125">
        <f>AH282*Valores!$C$71</f>
        <v>-28721.1716</v>
      </c>
      <c r="AO282" s="125">
        <f>AH282*-Valores!$C$72</f>
        <v>0</v>
      </c>
      <c r="AP282" s="125">
        <f>AH282*Valores!$C$73</f>
        <v>-11749.5702</v>
      </c>
      <c r="AQ282" s="125">
        <f>Valores!$C$100</f>
        <v>-554.86</v>
      </c>
      <c r="AR282" s="125">
        <f>IF($F$5=0,Valores!$C$101,(Valores!$C$101+$F$5*(Valores!$C$101)))</f>
        <v>-550</v>
      </c>
      <c r="AS282" s="125">
        <f t="shared" si="47"/>
        <v>219525.95820000002</v>
      </c>
      <c r="AT282" s="125">
        <f t="shared" si="41"/>
        <v>-28721.1716</v>
      </c>
      <c r="AU282" s="125">
        <f>AH282*Valores!$C$74</f>
        <v>-7049.742120000001</v>
      </c>
      <c r="AV282" s="125">
        <f>AH282*Valores!$C$75</f>
        <v>-783.3046800000001</v>
      </c>
      <c r="AW282" s="125">
        <f t="shared" si="45"/>
        <v>224547.3416</v>
      </c>
      <c r="AX282" s="126"/>
      <c r="AY282" s="126">
        <f t="shared" si="39"/>
        <v>28</v>
      </c>
      <c r="AZ282" s="123" t="s">
        <v>4</v>
      </c>
    </row>
    <row r="283" spans="1:52" s="110" customFormat="1" ht="11.25" customHeight="1">
      <c r="A283" s="123" t="s">
        <v>471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1">
        <f t="shared" si="40"/>
        <v>2291</v>
      </c>
      <c r="F283" s="125">
        <f>ROUND(E283*Valores!$C$2,2)</f>
        <v>93202</v>
      </c>
      <c r="G283" s="191">
        <v>0</v>
      </c>
      <c r="H283" s="125">
        <f>ROUND(G283*Valores!$C$2,2)</f>
        <v>0</v>
      </c>
      <c r="I283" s="191">
        <v>0</v>
      </c>
      <c r="J283" s="125">
        <f>ROUND(I283*Valores!$C$2,2)</f>
        <v>0</v>
      </c>
      <c r="K283" s="191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19029.08</v>
      </c>
      <c r="N283" s="125">
        <f t="shared" si="42"/>
        <v>0</v>
      </c>
      <c r="O283" s="125">
        <f>Valores!$C$7*B283</f>
        <v>40009.560000000005</v>
      </c>
      <c r="P283" s="125">
        <f>ROUND(IF(B283&lt;15,(Valores!$E$5*B283),Valores!$D$5),2)</f>
        <v>20796.54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21074.88</v>
      </c>
      <c r="S283" s="125">
        <f>Valores!$C$18*B283</f>
        <v>12583.68</v>
      </c>
      <c r="T283" s="125">
        <f t="shared" si="48"/>
        <v>12583.68</v>
      </c>
      <c r="U283" s="125">
        <v>0</v>
      </c>
      <c r="V283" s="125">
        <v>0</v>
      </c>
      <c r="W283" s="191">
        <v>0</v>
      </c>
      <c r="X283" s="125">
        <f>ROUND(W283*Valores!$C$2,2)</f>
        <v>0</v>
      </c>
      <c r="Y283" s="125">
        <v>0</v>
      </c>
      <c r="Z283" s="125">
        <f>IF(Valores!$C$97*B283&gt;Valores!$C$96,Valores!$C$96,Valores!$C$97*B283)</f>
        <v>38415.43</v>
      </c>
      <c r="AA283" s="125">
        <f>IF((Valores!$C$28)*B283&gt;Valores!$F$28,Valores!$F$28,(Valores!$C$28)*B283)</f>
        <v>988.3199999999999</v>
      </c>
      <c r="AB283" s="210">
        <v>0</v>
      </c>
      <c r="AC283" s="125">
        <f t="shared" si="43"/>
        <v>0</v>
      </c>
      <c r="AD283" s="125">
        <f>IF(Valores!$C$29*B283&gt;Valores!$F$29,Valores!$F$29,Valores!$C$29*B283)</f>
        <v>823.02</v>
      </c>
      <c r="AE283" s="191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</f>
        <v>18800.699999999997</v>
      </c>
      <c r="AH283" s="125">
        <f t="shared" si="46"/>
        <v>265723.21</v>
      </c>
      <c r="AI283" s="125">
        <f>IF(Valores!$C$32*B283&gt;Valores!$F$32,Valores!$F$32,Valores!$C$32*B283)</f>
        <v>0</v>
      </c>
      <c r="AJ283" s="125">
        <f>IF(Valores!$C$90*B283&gt;Valores!$C$89,Valores!$C$89,Valores!$C$90*B283)</f>
        <v>0</v>
      </c>
      <c r="AK283" s="125">
        <f>IF(Valores!C$39*B283&gt;Valores!F$38,Valores!F$38,Valores!C$39*B283)</f>
        <v>0</v>
      </c>
      <c r="AL283" s="125">
        <f>IF($F$3="NO",0,IF(Valores!$C$62*B283&gt;Valores!$F$62,Valores!$F$62,Valores!$C$62*B283))</f>
        <v>0</v>
      </c>
      <c r="AM283" s="125">
        <f t="shared" si="44"/>
        <v>0</v>
      </c>
      <c r="AN283" s="125">
        <f>AH283*Valores!$C$71</f>
        <v>-29229.5531</v>
      </c>
      <c r="AO283" s="125">
        <f>AH283*-Valores!$C$72</f>
        <v>0</v>
      </c>
      <c r="AP283" s="125">
        <f>AH283*Valores!$C$73</f>
        <v>-11957.544450000001</v>
      </c>
      <c r="AQ283" s="125">
        <f>Valores!$C$100</f>
        <v>-554.86</v>
      </c>
      <c r="AR283" s="125">
        <f>IF($F$5=0,Valores!$C$101,(Valores!$C$101+$F$5*(Valores!$C$101)))</f>
        <v>-550</v>
      </c>
      <c r="AS283" s="125">
        <f t="shared" si="47"/>
        <v>223431.25245000003</v>
      </c>
      <c r="AT283" s="125">
        <f t="shared" si="41"/>
        <v>-29229.5531</v>
      </c>
      <c r="AU283" s="125">
        <f>AH283*Valores!$C$74</f>
        <v>-7174.52667</v>
      </c>
      <c r="AV283" s="125">
        <f>AH283*Valores!$C$75</f>
        <v>-797.1696300000001</v>
      </c>
      <c r="AW283" s="125">
        <f t="shared" si="45"/>
        <v>228521.96060000002</v>
      </c>
      <c r="AX283" s="126"/>
      <c r="AY283" s="126">
        <f t="shared" si="39"/>
        <v>29</v>
      </c>
      <c r="AZ283" s="123" t="s">
        <v>8</v>
      </c>
    </row>
    <row r="284" spans="1:52" s="110" customFormat="1" ht="11.25" customHeight="1">
      <c r="A284" s="123" t="s">
        <v>471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1">
        <f t="shared" si="40"/>
        <v>2291</v>
      </c>
      <c r="F284" s="125">
        <f>ROUND(E284*Valores!$C$2,2)</f>
        <v>93202</v>
      </c>
      <c r="G284" s="191">
        <v>0</v>
      </c>
      <c r="H284" s="125">
        <f>ROUND(G284*Valores!$C$2,2)</f>
        <v>0</v>
      </c>
      <c r="I284" s="191">
        <v>0</v>
      </c>
      <c r="J284" s="125">
        <f>ROUND(I284*Valores!$C$2,2)</f>
        <v>0</v>
      </c>
      <c r="K284" s="191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19029.08</v>
      </c>
      <c r="N284" s="125">
        <f t="shared" si="42"/>
        <v>0</v>
      </c>
      <c r="O284" s="125">
        <f>Valores!$C$7*B284</f>
        <v>40009.560000000005</v>
      </c>
      <c r="P284" s="125">
        <f>ROUND(IF(B284&lt;15,(Valores!$E$5*B284),Valores!$D$5),2)</f>
        <v>20796.54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21074.88</v>
      </c>
      <c r="S284" s="125">
        <f>Valores!$C$18*B284</f>
        <v>12583.68</v>
      </c>
      <c r="T284" s="125">
        <f t="shared" si="48"/>
        <v>12583.68</v>
      </c>
      <c r="U284" s="125">
        <v>0</v>
      </c>
      <c r="V284" s="125">
        <v>0</v>
      </c>
      <c r="W284" s="191">
        <v>0</v>
      </c>
      <c r="X284" s="125">
        <f>ROUND(W284*Valores!$C$2,2)</f>
        <v>0</v>
      </c>
      <c r="Y284" s="125">
        <v>0</v>
      </c>
      <c r="Z284" s="125">
        <f>IF(Valores!$C$97*B284&gt;Valores!$C$96,Valores!$C$96,Valores!$C$97*B284)</f>
        <v>38415.43</v>
      </c>
      <c r="AA284" s="125">
        <f>IF((Valores!$C$28)*B284&gt;Valores!$F$28,Valores!$F$28,(Valores!$C$28)*B284)</f>
        <v>988.3199999999999</v>
      </c>
      <c r="AB284" s="210">
        <v>0</v>
      </c>
      <c r="AC284" s="125">
        <f t="shared" si="43"/>
        <v>0</v>
      </c>
      <c r="AD284" s="125">
        <f>IF(Valores!$C$29*B284&gt;Valores!$F$29,Valores!$F$29,Valores!$C$29*B284)</f>
        <v>823.02</v>
      </c>
      <c r="AE284" s="191">
        <v>94</v>
      </c>
      <c r="AF284" s="125">
        <f>ROUND(AE284*Valores!$C$2,2)</f>
        <v>3824.09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</f>
        <v>18800.699999999997</v>
      </c>
      <c r="AH284" s="125">
        <f t="shared" si="46"/>
        <v>269547.3</v>
      </c>
      <c r="AI284" s="125">
        <f>IF(Valores!$C$32*B284&gt;Valores!$F$32,Valores!$F$32,Valores!$C$32*B284)</f>
        <v>0</v>
      </c>
      <c r="AJ284" s="125">
        <f>IF(Valores!$C$90*B284&gt;Valores!$C$89,Valores!$C$89,Valores!$C$90*B284)</f>
        <v>0</v>
      </c>
      <c r="AK284" s="125">
        <f>IF(Valores!C$39*B284&gt;Valores!F$38,Valores!F$38,Valores!C$39*B284)</f>
        <v>0</v>
      </c>
      <c r="AL284" s="125">
        <f>IF($F$3="NO",0,IF(Valores!$C$62*B284&gt;Valores!$F$62,Valores!$F$62,Valores!$C$62*B284))</f>
        <v>0</v>
      </c>
      <c r="AM284" s="125">
        <f t="shared" si="44"/>
        <v>0</v>
      </c>
      <c r="AN284" s="125">
        <f>AH284*Valores!$C$71</f>
        <v>-29650.202999999998</v>
      </c>
      <c r="AO284" s="125">
        <f>AH284*-Valores!$C$72</f>
        <v>0</v>
      </c>
      <c r="AP284" s="125">
        <f>AH284*Valores!$C$73</f>
        <v>-12129.628499999999</v>
      </c>
      <c r="AQ284" s="125">
        <f>Valores!$C$100</f>
        <v>-554.86</v>
      </c>
      <c r="AR284" s="125">
        <f>IF($F$5=0,Valores!$C$101,(Valores!$C$101+$F$5*(Valores!$C$101)))</f>
        <v>-550</v>
      </c>
      <c r="AS284" s="125">
        <f t="shared" si="47"/>
        <v>226662.60849999997</v>
      </c>
      <c r="AT284" s="125">
        <f t="shared" si="41"/>
        <v>-29650.202999999998</v>
      </c>
      <c r="AU284" s="125">
        <f>AH284*Valores!$C$74</f>
        <v>-7277.777099999999</v>
      </c>
      <c r="AV284" s="125">
        <f>AH284*Valores!$C$75</f>
        <v>-808.6419</v>
      </c>
      <c r="AW284" s="125">
        <f t="shared" si="45"/>
        <v>231810.67799999999</v>
      </c>
      <c r="AX284" s="126"/>
      <c r="AY284" s="126">
        <f t="shared" si="39"/>
        <v>29</v>
      </c>
      <c r="AZ284" s="123" t="s">
        <v>8</v>
      </c>
    </row>
    <row r="285" spans="1:52" s="110" customFormat="1" ht="11.25" customHeight="1">
      <c r="A285" s="123" t="s">
        <v>471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1">
        <f t="shared" si="40"/>
        <v>2370</v>
      </c>
      <c r="F285" s="125">
        <f>ROUND(E285*Valores!$C$2,2)</f>
        <v>96415.87</v>
      </c>
      <c r="G285" s="191">
        <v>0</v>
      </c>
      <c r="H285" s="125">
        <f>ROUND(G285*Valores!$C$2,2)</f>
        <v>0</v>
      </c>
      <c r="I285" s="191">
        <v>0</v>
      </c>
      <c r="J285" s="125">
        <f>ROUND(I285*Valores!$C$2,2)</f>
        <v>0</v>
      </c>
      <c r="K285" s="191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19685.26</v>
      </c>
      <c r="N285" s="125">
        <f t="shared" si="42"/>
        <v>0</v>
      </c>
      <c r="O285" s="125">
        <f>Valores!$C$7*B285</f>
        <v>41389.200000000004</v>
      </c>
      <c r="P285" s="125">
        <f>ROUND(IF(B285&lt;15,(Valores!$E$5*B285),Valores!$D$5),2)</f>
        <v>20796.54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21801.600000000002</v>
      </c>
      <c r="S285" s="125">
        <f>Valores!$C$18*B285</f>
        <v>13017.6</v>
      </c>
      <c r="T285" s="125">
        <f t="shared" si="48"/>
        <v>13017.6</v>
      </c>
      <c r="U285" s="125">
        <v>0</v>
      </c>
      <c r="V285" s="125">
        <v>0</v>
      </c>
      <c r="W285" s="191">
        <v>0</v>
      </c>
      <c r="X285" s="125">
        <f>ROUND(W285*Valores!$C$2,2)</f>
        <v>0</v>
      </c>
      <c r="Y285" s="125">
        <v>0</v>
      </c>
      <c r="Z285" s="125">
        <f>IF(Valores!$C$97*B285&gt;Valores!$C$96,Valores!$C$96,Valores!$C$97*B285)</f>
        <v>39740.100000000006</v>
      </c>
      <c r="AA285" s="125">
        <f>IF((Valores!$C$28)*B285&gt;Valores!$F$28,Valores!$F$28,(Valores!$C$28)*B285)</f>
        <v>1022.4</v>
      </c>
      <c r="AB285" s="210">
        <v>0</v>
      </c>
      <c r="AC285" s="125">
        <f t="shared" si="43"/>
        <v>0</v>
      </c>
      <c r="AD285" s="125">
        <f>IF(Valores!$C$29*B285&gt;Valores!$F$29,Valores!$F$29,Valores!$C$29*B285)</f>
        <v>850.59</v>
      </c>
      <c r="AE285" s="191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</f>
        <v>19448.94</v>
      </c>
      <c r="AH285" s="125">
        <f t="shared" si="46"/>
        <v>274168.1</v>
      </c>
      <c r="AI285" s="125">
        <f>IF(Valores!$C$32*B285&gt;Valores!$F$32,Valores!$F$32,Valores!$C$32*B285)</f>
        <v>0</v>
      </c>
      <c r="AJ285" s="125">
        <f>IF(Valores!$C$90*B285&gt;Valores!$C$89,Valores!$C$89,Valores!$C$90*B285)</f>
        <v>0</v>
      </c>
      <c r="AK285" s="125">
        <f>IF(Valores!C$39*B285&gt;Valores!F$38,Valores!F$38,Valores!C$39*B285)</f>
        <v>0</v>
      </c>
      <c r="AL285" s="125">
        <f>IF($F$3="NO",0,IF(Valores!$C$62*B285&gt;Valores!$F$62,Valores!$F$62,Valores!$C$62*B285))</f>
        <v>0</v>
      </c>
      <c r="AM285" s="125">
        <f t="shared" si="44"/>
        <v>0</v>
      </c>
      <c r="AN285" s="125">
        <f>AH285*Valores!$C$71</f>
        <v>-30158.490999999998</v>
      </c>
      <c r="AO285" s="125">
        <f>AH285*-Valores!$C$72</f>
        <v>0</v>
      </c>
      <c r="AP285" s="125">
        <f>AH285*Valores!$C$73</f>
        <v>-12337.564499999999</v>
      </c>
      <c r="AQ285" s="125">
        <f>Valores!$C$100</f>
        <v>-554.86</v>
      </c>
      <c r="AR285" s="125">
        <f>IF($F$5=0,Valores!$C$101,(Valores!$C$101+$F$5*(Valores!$C$101)))</f>
        <v>-550</v>
      </c>
      <c r="AS285" s="125">
        <f t="shared" si="47"/>
        <v>230567.18449999997</v>
      </c>
      <c r="AT285" s="125">
        <f t="shared" si="41"/>
        <v>-30158.490999999998</v>
      </c>
      <c r="AU285" s="125">
        <f>AH285*Valores!$C$74</f>
        <v>-7402.538699999999</v>
      </c>
      <c r="AV285" s="125">
        <f>AH285*Valores!$C$75</f>
        <v>-822.5043</v>
      </c>
      <c r="AW285" s="125">
        <f t="shared" si="45"/>
        <v>235784.566</v>
      </c>
      <c r="AX285" s="126"/>
      <c r="AY285" s="126">
        <f t="shared" si="39"/>
        <v>30</v>
      </c>
      <c r="AZ285" s="123" t="s">
        <v>4</v>
      </c>
    </row>
    <row r="286" spans="1:52" s="110" customFormat="1" ht="11.25" customHeight="1">
      <c r="A286" s="123" t="s">
        <v>471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1">
        <f t="shared" si="40"/>
        <v>2370</v>
      </c>
      <c r="F286" s="125">
        <f>ROUND(E286*Valores!$C$2,2)</f>
        <v>96415.87</v>
      </c>
      <c r="G286" s="191">
        <v>0</v>
      </c>
      <c r="H286" s="125">
        <f>ROUND(G286*Valores!$C$2,2)</f>
        <v>0</v>
      </c>
      <c r="I286" s="191">
        <v>0</v>
      </c>
      <c r="J286" s="125">
        <f>ROUND(I286*Valores!$C$2,2)</f>
        <v>0</v>
      </c>
      <c r="K286" s="191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19685.26</v>
      </c>
      <c r="N286" s="125">
        <f t="shared" si="42"/>
        <v>0</v>
      </c>
      <c r="O286" s="125">
        <f>Valores!$C$7*B286</f>
        <v>41389.200000000004</v>
      </c>
      <c r="P286" s="125">
        <f>ROUND(IF(B286&lt;15,(Valores!$E$5*B286),Valores!$D$5),2)</f>
        <v>20796.54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21801.600000000002</v>
      </c>
      <c r="S286" s="125">
        <f>Valores!$C$18*B286</f>
        <v>13017.6</v>
      </c>
      <c r="T286" s="125">
        <f t="shared" si="48"/>
        <v>13017.6</v>
      </c>
      <c r="U286" s="125">
        <v>0</v>
      </c>
      <c r="V286" s="125">
        <v>0</v>
      </c>
      <c r="W286" s="191">
        <v>0</v>
      </c>
      <c r="X286" s="125">
        <f>ROUND(W286*Valores!$C$2,2)</f>
        <v>0</v>
      </c>
      <c r="Y286" s="125">
        <v>0</v>
      </c>
      <c r="Z286" s="125">
        <f>IF(Valores!$C$97*B286&gt;Valores!$C$96,Valores!$C$96,Valores!$C$97*B286)</f>
        <v>39740.100000000006</v>
      </c>
      <c r="AA286" s="125">
        <f>IF((Valores!$C$28)*B286&gt;Valores!$F$28,Valores!$F$28,(Valores!$C$28)*B286)</f>
        <v>1022.4</v>
      </c>
      <c r="AB286" s="210">
        <v>0</v>
      </c>
      <c r="AC286" s="125">
        <f t="shared" si="43"/>
        <v>0</v>
      </c>
      <c r="AD286" s="125">
        <f>IF(Valores!$C$29*B286&gt;Valores!$F$29,Valores!$F$29,Valores!$C$29*B286)</f>
        <v>850.59</v>
      </c>
      <c r="AE286" s="191">
        <v>94</v>
      </c>
      <c r="AF286" s="125">
        <f>ROUND(AE286*Valores!$C$2,2)</f>
        <v>3824.09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</f>
        <v>19448.94</v>
      </c>
      <c r="AH286" s="125">
        <f t="shared" si="46"/>
        <v>277992.19</v>
      </c>
      <c r="AI286" s="125">
        <f>IF(Valores!$C$32*B286&gt;Valores!$F$32,Valores!$F$32,Valores!$C$32*B286)</f>
        <v>0</v>
      </c>
      <c r="AJ286" s="125">
        <f>IF(Valores!$C$90*B286&gt;Valores!$C$89,Valores!$C$89,Valores!$C$90*B286)</f>
        <v>0</v>
      </c>
      <c r="AK286" s="125">
        <f>IF(Valores!C$39*B286&gt;Valores!F$38,Valores!F$38,Valores!C$39*B286)</f>
        <v>0</v>
      </c>
      <c r="AL286" s="125">
        <f>IF($F$3="NO",0,IF(Valores!$C$62*B286&gt;Valores!$F$62,Valores!$F$62,Valores!$C$62*B286))</f>
        <v>0</v>
      </c>
      <c r="AM286" s="125">
        <f t="shared" si="44"/>
        <v>0</v>
      </c>
      <c r="AN286" s="125">
        <f>AH286*Valores!$C$71</f>
        <v>-30579.140900000002</v>
      </c>
      <c r="AO286" s="125">
        <f>AH286*-Valores!$C$72</f>
        <v>0</v>
      </c>
      <c r="AP286" s="125">
        <f>AH286*Valores!$C$73</f>
        <v>-12509.64855</v>
      </c>
      <c r="AQ286" s="125">
        <f>Valores!$C$100</f>
        <v>-554.86</v>
      </c>
      <c r="AR286" s="125">
        <f>IF($F$5=0,Valores!$C$101,(Valores!$C$101+$F$5*(Valores!$C$101)))</f>
        <v>-550</v>
      </c>
      <c r="AS286" s="125">
        <f t="shared" si="47"/>
        <v>233798.54055</v>
      </c>
      <c r="AT286" s="125">
        <f t="shared" si="41"/>
        <v>-30579.140900000002</v>
      </c>
      <c r="AU286" s="125">
        <f>AH286*Valores!$C$74</f>
        <v>-7505.78913</v>
      </c>
      <c r="AV286" s="125">
        <f>AH286*Valores!$C$75</f>
        <v>-833.97657</v>
      </c>
      <c r="AW286" s="125">
        <f t="shared" si="45"/>
        <v>239073.28340000001</v>
      </c>
      <c r="AX286" s="126"/>
      <c r="AY286" s="126">
        <f t="shared" si="39"/>
        <v>30</v>
      </c>
      <c r="AZ286" s="123" t="s">
        <v>4</v>
      </c>
    </row>
    <row r="287" spans="1:52" s="110" customFormat="1" ht="11.25" customHeight="1">
      <c r="A287" s="123" t="s">
        <v>471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1">
        <f t="shared" si="40"/>
        <v>2449</v>
      </c>
      <c r="F287" s="125">
        <f>ROUND(E287*Valores!$C$2,2)</f>
        <v>99629.73</v>
      </c>
      <c r="G287" s="191">
        <v>0</v>
      </c>
      <c r="H287" s="125">
        <f>ROUND(G287*Valores!$C$2,2)</f>
        <v>0</v>
      </c>
      <c r="I287" s="191">
        <v>0</v>
      </c>
      <c r="J287" s="125">
        <f>ROUND(I287*Valores!$C$2,2)</f>
        <v>0</v>
      </c>
      <c r="K287" s="191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20341.44</v>
      </c>
      <c r="N287" s="125">
        <f t="shared" si="42"/>
        <v>0</v>
      </c>
      <c r="O287" s="125">
        <f>Valores!$C$7*B287</f>
        <v>42768.840000000004</v>
      </c>
      <c r="P287" s="125">
        <f>ROUND(IF(B287&lt;15,(Valores!$E$5*B287),Valores!$D$5),2)</f>
        <v>20796.54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22528.32</v>
      </c>
      <c r="S287" s="125">
        <f>Valores!$C$18*B287</f>
        <v>13451.52</v>
      </c>
      <c r="T287" s="125">
        <f t="shared" si="48"/>
        <v>13451.52</v>
      </c>
      <c r="U287" s="125">
        <v>0</v>
      </c>
      <c r="V287" s="125">
        <v>0</v>
      </c>
      <c r="W287" s="191">
        <v>0</v>
      </c>
      <c r="X287" s="125">
        <f>ROUND(W287*Valores!$C$2,2)</f>
        <v>0</v>
      </c>
      <c r="Y287" s="125">
        <v>0</v>
      </c>
      <c r="Z287" s="125">
        <f>IF(Valores!$C$97*B287&gt;Valores!$C$96,Valores!$C$96,Valores!$C$97*B287)</f>
        <v>41064.770000000004</v>
      </c>
      <c r="AA287" s="125">
        <f>IF((Valores!$C$28)*B287&gt;Valores!$F$28,Valores!$F$28,(Valores!$C$28)*B287)</f>
        <v>1056.48</v>
      </c>
      <c r="AB287" s="210">
        <v>0</v>
      </c>
      <c r="AC287" s="125">
        <f t="shared" si="43"/>
        <v>0</v>
      </c>
      <c r="AD287" s="125">
        <f>IF(Valores!$C$29*B287&gt;Valores!$F$29,Valores!$F$29,Valores!$C$29*B287)</f>
        <v>850.59</v>
      </c>
      <c r="AE287" s="191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19448.94</v>
      </c>
      <c r="AH287" s="125">
        <f t="shared" si="46"/>
        <v>281937.17000000004</v>
      </c>
      <c r="AI287" s="125">
        <f>IF(Valores!$C$32*B287&gt;Valores!$F$32,Valores!$F$32,Valores!$C$32*B287)</f>
        <v>0</v>
      </c>
      <c r="AJ287" s="125">
        <f>IF(Valores!$C$90*B287&gt;Valores!$C$89,Valores!$C$89,Valores!$C$90*B287)</f>
        <v>0</v>
      </c>
      <c r="AK287" s="125">
        <f>IF(Valores!C$39*B287&gt;Valores!F$38,Valores!F$38,Valores!C$39*B287)</f>
        <v>0</v>
      </c>
      <c r="AL287" s="125">
        <f>IF($F$3="NO",0,IF(Valores!$C$62*B287&gt;Valores!$F$62,Valores!$F$62,Valores!$C$62*B287))</f>
        <v>0</v>
      </c>
      <c r="AM287" s="125">
        <f t="shared" si="44"/>
        <v>0</v>
      </c>
      <c r="AN287" s="125">
        <f>AH287*Valores!$C$71</f>
        <v>-31013.088700000004</v>
      </c>
      <c r="AO287" s="125">
        <f>AH287*-Valores!$C$72</f>
        <v>0</v>
      </c>
      <c r="AP287" s="125">
        <f>AH287*Valores!$C$73</f>
        <v>-12687.172650000002</v>
      </c>
      <c r="AQ287" s="125">
        <f>Valores!$C$100</f>
        <v>-554.86</v>
      </c>
      <c r="AR287" s="125">
        <f>IF($F$5=0,Valores!$C$101,(Valores!$C$101+$F$5*(Valores!$C$101)))</f>
        <v>-550</v>
      </c>
      <c r="AS287" s="125">
        <f t="shared" si="47"/>
        <v>237132.04865000004</v>
      </c>
      <c r="AT287" s="125">
        <f t="shared" si="41"/>
        <v>-31013.088700000004</v>
      </c>
      <c r="AU287" s="125">
        <f>AH287*Valores!$C$74</f>
        <v>-7612.303590000001</v>
      </c>
      <c r="AV287" s="125">
        <f>AH287*Valores!$C$75</f>
        <v>-845.8115100000001</v>
      </c>
      <c r="AW287" s="125">
        <f t="shared" si="45"/>
        <v>242465.96620000002</v>
      </c>
      <c r="AX287" s="126"/>
      <c r="AY287" s="126">
        <f aca="true" t="shared" si="49" ref="AY287:AY299">1*B287</f>
        <v>31</v>
      </c>
      <c r="AZ287" s="123" t="s">
        <v>8</v>
      </c>
    </row>
    <row r="288" spans="1:52" s="110" customFormat="1" ht="11.25" customHeight="1">
      <c r="A288" s="123" t="s">
        <v>471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1">
        <f t="shared" si="40"/>
        <v>2449</v>
      </c>
      <c r="F288" s="125">
        <f>ROUND(E288*Valores!$C$2,2)</f>
        <v>99629.73</v>
      </c>
      <c r="G288" s="191">
        <v>0</v>
      </c>
      <c r="H288" s="125">
        <f>ROUND(G288*Valores!$C$2,2)</f>
        <v>0</v>
      </c>
      <c r="I288" s="191">
        <v>0</v>
      </c>
      <c r="J288" s="125">
        <f>ROUND(I288*Valores!$C$2,2)</f>
        <v>0</v>
      </c>
      <c r="K288" s="191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20341.44</v>
      </c>
      <c r="N288" s="125">
        <f t="shared" si="42"/>
        <v>0</v>
      </c>
      <c r="O288" s="125">
        <f>Valores!$C$7*B288</f>
        <v>42768.840000000004</v>
      </c>
      <c r="P288" s="125">
        <f>ROUND(IF(B288&lt;15,(Valores!$E$5*B288),Valores!$D$5),2)</f>
        <v>20796.54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22528.32</v>
      </c>
      <c r="S288" s="125">
        <f>Valores!$C$18*B288</f>
        <v>13451.52</v>
      </c>
      <c r="T288" s="125">
        <f t="shared" si="48"/>
        <v>13451.52</v>
      </c>
      <c r="U288" s="125">
        <v>0</v>
      </c>
      <c r="V288" s="125">
        <v>0</v>
      </c>
      <c r="W288" s="191">
        <v>0</v>
      </c>
      <c r="X288" s="125">
        <f>ROUND(W288*Valores!$C$2,2)</f>
        <v>0</v>
      </c>
      <c r="Y288" s="125">
        <v>0</v>
      </c>
      <c r="Z288" s="125">
        <f>IF(Valores!$C$97*B288&gt;Valores!$C$96,Valores!$C$96,Valores!$C$97*B288)</f>
        <v>41064.770000000004</v>
      </c>
      <c r="AA288" s="125">
        <f>IF((Valores!$C$28)*B288&gt;Valores!$F$28,Valores!$F$28,(Valores!$C$28)*B288)</f>
        <v>1056.48</v>
      </c>
      <c r="AB288" s="210">
        <v>0</v>
      </c>
      <c r="AC288" s="125">
        <f t="shared" si="43"/>
        <v>0</v>
      </c>
      <c r="AD288" s="125">
        <f>IF(Valores!$C$29*B288&gt;Valores!$F$29,Valores!$F$29,Valores!$C$29*B288)</f>
        <v>850.59</v>
      </c>
      <c r="AE288" s="191">
        <v>94</v>
      </c>
      <c r="AF288" s="125">
        <f>ROUND(AE288*Valores!$C$2,2)</f>
        <v>3824.09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19448.94</v>
      </c>
      <c r="AH288" s="125">
        <f t="shared" si="46"/>
        <v>285761.26000000007</v>
      </c>
      <c r="AI288" s="125">
        <f>IF(Valores!$C$32*B288&gt;Valores!$F$32,Valores!$F$32,Valores!$C$32*B288)</f>
        <v>0</v>
      </c>
      <c r="AJ288" s="125">
        <f>IF(Valores!$C$90*B288&gt;Valores!$C$89,Valores!$C$89,Valores!$C$90*B288)</f>
        <v>0</v>
      </c>
      <c r="AK288" s="125">
        <f>IF(Valores!C$39*B288&gt;Valores!F$38,Valores!F$38,Valores!C$39*B288)</f>
        <v>0</v>
      </c>
      <c r="AL288" s="125">
        <f>IF($F$3="NO",0,IF(Valores!$C$62*B288&gt;Valores!$F$62,Valores!$F$62,Valores!$C$62*B288))</f>
        <v>0</v>
      </c>
      <c r="AM288" s="125">
        <f t="shared" si="44"/>
        <v>0</v>
      </c>
      <c r="AN288" s="125">
        <f>AH288*Valores!$C$71</f>
        <v>-31433.738600000008</v>
      </c>
      <c r="AO288" s="125">
        <f>AH288*-Valores!$C$72</f>
        <v>0</v>
      </c>
      <c r="AP288" s="125">
        <f>AH288*Valores!$C$73</f>
        <v>-12859.256700000002</v>
      </c>
      <c r="AQ288" s="125">
        <f>Valores!$C$100</f>
        <v>-554.86</v>
      </c>
      <c r="AR288" s="125">
        <f>IF($F$5=0,Valores!$C$101,(Valores!$C$101+$F$5*(Valores!$C$101)))</f>
        <v>-550</v>
      </c>
      <c r="AS288" s="125">
        <f t="shared" si="47"/>
        <v>240363.40470000007</v>
      </c>
      <c r="AT288" s="125">
        <f t="shared" si="41"/>
        <v>-31433.738600000008</v>
      </c>
      <c r="AU288" s="125">
        <f>AH288*Valores!$C$74</f>
        <v>-7715.554020000001</v>
      </c>
      <c r="AV288" s="125">
        <f>AH288*Valores!$C$75</f>
        <v>-857.2837800000002</v>
      </c>
      <c r="AW288" s="125">
        <f t="shared" si="45"/>
        <v>245754.68360000005</v>
      </c>
      <c r="AX288" s="126"/>
      <c r="AY288" s="126">
        <f t="shared" si="49"/>
        <v>31</v>
      </c>
      <c r="AZ288" s="123" t="s">
        <v>8</v>
      </c>
    </row>
    <row r="289" spans="1:52" s="110" customFormat="1" ht="11.25" customHeight="1">
      <c r="A289" s="123" t="s">
        <v>471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1">
        <f t="shared" si="40"/>
        <v>2528</v>
      </c>
      <c r="F289" s="125">
        <f>ROUND(E289*Valores!$C$2,2)</f>
        <v>102843.59</v>
      </c>
      <c r="G289" s="191">
        <v>0</v>
      </c>
      <c r="H289" s="125">
        <f>ROUND(G289*Valores!$C$2,2)</f>
        <v>0</v>
      </c>
      <c r="I289" s="191">
        <v>0</v>
      </c>
      <c r="J289" s="125">
        <f>ROUND(I289*Valores!$C$2,2)</f>
        <v>0</v>
      </c>
      <c r="K289" s="191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20997.61</v>
      </c>
      <c r="N289" s="125">
        <f t="shared" si="42"/>
        <v>0</v>
      </c>
      <c r="O289" s="125">
        <f>Valores!$C$7*B289</f>
        <v>44148.48</v>
      </c>
      <c r="P289" s="125">
        <f>ROUND(IF(B289&lt;15,(Valores!$E$5*B289),Valores!$D$5),2)</f>
        <v>20796.54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23255.04</v>
      </c>
      <c r="S289" s="125">
        <f>Valores!$C$18*B289</f>
        <v>13885.44</v>
      </c>
      <c r="T289" s="125">
        <f t="shared" si="48"/>
        <v>13885.44</v>
      </c>
      <c r="U289" s="125">
        <v>0</v>
      </c>
      <c r="V289" s="125">
        <v>0</v>
      </c>
      <c r="W289" s="191">
        <v>0</v>
      </c>
      <c r="X289" s="125">
        <f>ROUND(W289*Valores!$C$2,2)</f>
        <v>0</v>
      </c>
      <c r="Y289" s="125">
        <v>0</v>
      </c>
      <c r="Z289" s="125">
        <f>IF(Valores!$C$97*B289&gt;Valores!$C$96,Valores!$C$96,Valores!$C$97*B289)</f>
        <v>42389.44</v>
      </c>
      <c r="AA289" s="125">
        <f>IF((Valores!$C$28)*B289&gt;Valores!$F$28,Valores!$F$28,(Valores!$C$28)*B289)</f>
        <v>1090.56</v>
      </c>
      <c r="AB289" s="210">
        <v>0</v>
      </c>
      <c r="AC289" s="125">
        <f t="shared" si="43"/>
        <v>0</v>
      </c>
      <c r="AD289" s="125">
        <f>IF(Valores!$C$29*B289&gt;Valores!$F$29,Valores!$F$29,Valores!$C$29*B289)</f>
        <v>850.59</v>
      </c>
      <c r="AE289" s="191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19448.94</v>
      </c>
      <c r="AH289" s="125">
        <f t="shared" si="46"/>
        <v>289706.23000000004</v>
      </c>
      <c r="AI289" s="125">
        <f>IF(Valores!$C$32*B289&gt;Valores!$F$32,Valores!$F$32,Valores!$C$32*B289)</f>
        <v>0</v>
      </c>
      <c r="AJ289" s="125">
        <f>IF(Valores!$C$90*B289&gt;Valores!$C$89,Valores!$C$89,Valores!$C$90*B289)</f>
        <v>0</v>
      </c>
      <c r="AK289" s="125">
        <f>IF(Valores!C$39*B289&gt;Valores!F$38,Valores!F$38,Valores!C$39*B289)</f>
        <v>0</v>
      </c>
      <c r="AL289" s="125">
        <f>IF($F$3="NO",0,IF(Valores!$C$62*B289&gt;Valores!$F$62,Valores!$F$62,Valores!$C$62*B289))</f>
        <v>0</v>
      </c>
      <c r="AM289" s="125">
        <f t="shared" si="44"/>
        <v>0</v>
      </c>
      <c r="AN289" s="125">
        <f>AH289*Valores!$C$71</f>
        <v>-31867.685300000005</v>
      </c>
      <c r="AO289" s="125">
        <f>AH289*-Valores!$C$72</f>
        <v>0</v>
      </c>
      <c r="AP289" s="125">
        <f>AH289*Valores!$C$73</f>
        <v>-13036.78035</v>
      </c>
      <c r="AQ289" s="125">
        <f>Valores!$C$100</f>
        <v>-554.86</v>
      </c>
      <c r="AR289" s="125">
        <f>IF($F$5=0,Valores!$C$101,(Valores!$C$101+$F$5*(Valores!$C$101)))</f>
        <v>-550</v>
      </c>
      <c r="AS289" s="125">
        <f t="shared" si="47"/>
        <v>243696.90435000003</v>
      </c>
      <c r="AT289" s="125">
        <f t="shared" si="41"/>
        <v>-31867.685300000005</v>
      </c>
      <c r="AU289" s="125">
        <f>AH289*Valores!$C$74</f>
        <v>-7822.068210000001</v>
      </c>
      <c r="AV289" s="125">
        <f>AH289*Valores!$C$75</f>
        <v>-869.1186900000001</v>
      </c>
      <c r="AW289" s="125">
        <f t="shared" si="45"/>
        <v>249147.35780000003</v>
      </c>
      <c r="AX289" s="126"/>
      <c r="AY289" s="126">
        <f t="shared" si="49"/>
        <v>32</v>
      </c>
      <c r="AZ289" s="123" t="s">
        <v>8</v>
      </c>
    </row>
    <row r="290" spans="1:52" s="110" customFormat="1" ht="11.25" customHeight="1">
      <c r="A290" s="123" t="s">
        <v>471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1">
        <f t="shared" si="40"/>
        <v>2528</v>
      </c>
      <c r="F290" s="125">
        <f>ROUND(E290*Valores!$C$2,2)</f>
        <v>102843.59</v>
      </c>
      <c r="G290" s="191">
        <v>0</v>
      </c>
      <c r="H290" s="125">
        <f>ROUND(G290*Valores!$C$2,2)</f>
        <v>0</v>
      </c>
      <c r="I290" s="191">
        <v>0</v>
      </c>
      <c r="J290" s="125">
        <f>ROUND(I290*Valores!$C$2,2)</f>
        <v>0</v>
      </c>
      <c r="K290" s="191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20997.61</v>
      </c>
      <c r="N290" s="125">
        <f t="shared" si="42"/>
        <v>0</v>
      </c>
      <c r="O290" s="125">
        <f>Valores!$C$7*B290</f>
        <v>44148.48</v>
      </c>
      <c r="P290" s="125">
        <f>ROUND(IF(B290&lt;15,(Valores!$E$5*B290),Valores!$D$5),2)</f>
        <v>20796.54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23255.04</v>
      </c>
      <c r="S290" s="125">
        <f>Valores!$C$18*B290</f>
        <v>13885.44</v>
      </c>
      <c r="T290" s="125">
        <f t="shared" si="48"/>
        <v>13885.44</v>
      </c>
      <c r="U290" s="125">
        <v>0</v>
      </c>
      <c r="V290" s="125">
        <v>0</v>
      </c>
      <c r="W290" s="191">
        <v>0</v>
      </c>
      <c r="X290" s="125">
        <f>ROUND(W290*Valores!$C$2,2)</f>
        <v>0</v>
      </c>
      <c r="Y290" s="125">
        <v>0</v>
      </c>
      <c r="Z290" s="125">
        <f>IF(Valores!$C$97*B290&gt;Valores!$C$96,Valores!$C$96,Valores!$C$97*B290)</f>
        <v>42389.44</v>
      </c>
      <c r="AA290" s="125">
        <f>IF((Valores!$C$28)*B290&gt;Valores!$F$28,Valores!$F$28,(Valores!$C$28)*B290)</f>
        <v>1090.56</v>
      </c>
      <c r="AB290" s="210">
        <v>0</v>
      </c>
      <c r="AC290" s="125">
        <f t="shared" si="43"/>
        <v>0</v>
      </c>
      <c r="AD290" s="125">
        <f>IF(Valores!$C$29*B290&gt;Valores!$F$29,Valores!$F$29,Valores!$C$29*B290)</f>
        <v>850.59</v>
      </c>
      <c r="AE290" s="191">
        <v>94</v>
      </c>
      <c r="AF290" s="125">
        <f>ROUND(AE290*Valores!$C$2,2)</f>
        <v>3824.09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19448.94</v>
      </c>
      <c r="AH290" s="125">
        <f t="shared" si="46"/>
        <v>293530.32000000007</v>
      </c>
      <c r="AI290" s="125">
        <f>IF(Valores!$C$32*B290&gt;Valores!$F$32,Valores!$F$32,Valores!$C$32*B290)</f>
        <v>0</v>
      </c>
      <c r="AJ290" s="125">
        <f>IF(Valores!$C$90*B290&gt;Valores!$C$89,Valores!$C$89,Valores!$C$90*B290)</f>
        <v>0</v>
      </c>
      <c r="AK290" s="125">
        <f>IF(Valores!C$39*B290&gt;Valores!F$38,Valores!F$38,Valores!C$39*B290)</f>
        <v>0</v>
      </c>
      <c r="AL290" s="125">
        <f>IF($F$3="NO",0,IF(Valores!$C$62*B290&gt;Valores!$F$62,Valores!$F$62,Valores!$C$62*B290))</f>
        <v>0</v>
      </c>
      <c r="AM290" s="125">
        <f t="shared" si="44"/>
        <v>0</v>
      </c>
      <c r="AN290" s="125">
        <f>AH290*Valores!$C$71</f>
        <v>-32288.33520000001</v>
      </c>
      <c r="AO290" s="125">
        <f>AH290*-Valores!$C$72</f>
        <v>0</v>
      </c>
      <c r="AP290" s="125">
        <f>AH290*Valores!$C$73</f>
        <v>-13208.864400000002</v>
      </c>
      <c r="AQ290" s="125">
        <f>Valores!$C$100</f>
        <v>-554.86</v>
      </c>
      <c r="AR290" s="125">
        <f>IF($F$5=0,Valores!$C$101,(Valores!$C$101+$F$5*(Valores!$C$101)))</f>
        <v>-550</v>
      </c>
      <c r="AS290" s="125">
        <f t="shared" si="47"/>
        <v>246928.26040000006</v>
      </c>
      <c r="AT290" s="125">
        <f t="shared" si="41"/>
        <v>-32288.33520000001</v>
      </c>
      <c r="AU290" s="125">
        <f>AH290*Valores!$C$74</f>
        <v>-7925.318640000001</v>
      </c>
      <c r="AV290" s="125">
        <f>AH290*Valores!$C$75</f>
        <v>-880.5909600000002</v>
      </c>
      <c r="AW290" s="125">
        <f t="shared" si="45"/>
        <v>252436.07520000005</v>
      </c>
      <c r="AX290" s="126"/>
      <c r="AY290" s="126">
        <f t="shared" si="49"/>
        <v>32</v>
      </c>
      <c r="AZ290" s="123" t="s">
        <v>8</v>
      </c>
    </row>
    <row r="291" spans="1:52" s="110" customFormat="1" ht="11.25" customHeight="1">
      <c r="A291" s="123" t="s">
        <v>471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1">
        <f aca="true" t="shared" si="50" ref="E291:E298">79*B291</f>
        <v>2607</v>
      </c>
      <c r="F291" s="125">
        <f>ROUND(E291*Valores!$C$2,2)</f>
        <v>106057.45</v>
      </c>
      <c r="G291" s="191">
        <v>0</v>
      </c>
      <c r="H291" s="125">
        <f>ROUND(G291*Valores!$C$2,2)</f>
        <v>0</v>
      </c>
      <c r="I291" s="191">
        <v>0</v>
      </c>
      <c r="J291" s="125">
        <f>ROUND(I291*Valores!$C$2,2)</f>
        <v>0</v>
      </c>
      <c r="K291" s="191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21653.79</v>
      </c>
      <c r="N291" s="125">
        <f t="shared" si="42"/>
        <v>0</v>
      </c>
      <c r="O291" s="125">
        <f>Valores!$C$7*B291</f>
        <v>45528.12</v>
      </c>
      <c r="P291" s="125">
        <f>ROUND(IF(B291&lt;15,(Valores!$E$5*B291),Valores!$D$5),2)</f>
        <v>20796.54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23981.760000000002</v>
      </c>
      <c r="S291" s="125">
        <f>Valores!$C$18*B291</f>
        <v>14319.36</v>
      </c>
      <c r="T291" s="125">
        <f t="shared" si="48"/>
        <v>14319.36</v>
      </c>
      <c r="U291" s="125">
        <v>0</v>
      </c>
      <c r="V291" s="125">
        <v>0</v>
      </c>
      <c r="W291" s="191">
        <v>0</v>
      </c>
      <c r="X291" s="125">
        <f>ROUND(W291*Valores!$C$2,2)</f>
        <v>0</v>
      </c>
      <c r="Y291" s="125">
        <v>0</v>
      </c>
      <c r="Z291" s="125">
        <f>IF(Valores!$C$97*B291&gt;Valores!$C$96,Valores!$C$96,Valores!$C$97*B291)</f>
        <v>43714.11</v>
      </c>
      <c r="AA291" s="125">
        <f>IF((Valores!$C$28)*B291&gt;Valores!$F$28,Valores!$F$28,(Valores!$C$28)*B291)</f>
        <v>1124.6399999999999</v>
      </c>
      <c r="AB291" s="210">
        <v>0</v>
      </c>
      <c r="AC291" s="125">
        <f t="shared" si="43"/>
        <v>0</v>
      </c>
      <c r="AD291" s="125">
        <f>IF(Valores!$C$29*B291&gt;Valores!$F$29,Valores!$F$29,Valores!$C$29*B291)</f>
        <v>850.59</v>
      </c>
      <c r="AE291" s="191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19448.94</v>
      </c>
      <c r="AH291" s="125">
        <f t="shared" si="46"/>
        <v>297475.30000000005</v>
      </c>
      <c r="AI291" s="125">
        <f>IF(Valores!$C$32*B291&gt;Valores!$F$32,Valores!$F$32,Valores!$C$32*B291)</f>
        <v>0</v>
      </c>
      <c r="AJ291" s="125">
        <f>IF(Valores!$C$90*B291&gt;Valores!$C$89,Valores!$C$89,Valores!$C$90*B291)</f>
        <v>0</v>
      </c>
      <c r="AK291" s="125">
        <f>IF(Valores!C$39*B291&gt;Valores!F$38,Valores!F$38,Valores!C$39*B291)</f>
        <v>0</v>
      </c>
      <c r="AL291" s="125">
        <f>IF($F$3="NO",0,IF(Valores!$C$62*B291&gt;Valores!$F$62,Valores!$F$62,Valores!$C$62*B291))</f>
        <v>0</v>
      </c>
      <c r="AM291" s="125">
        <f t="shared" si="44"/>
        <v>0</v>
      </c>
      <c r="AN291" s="125">
        <f>AH291*Valores!$C$71</f>
        <v>-32722.283000000007</v>
      </c>
      <c r="AO291" s="125">
        <f>AH291*-Valores!$C$72</f>
        <v>0</v>
      </c>
      <c r="AP291" s="125">
        <f>AH291*Valores!$C$73</f>
        <v>-13386.388500000001</v>
      </c>
      <c r="AQ291" s="125">
        <f>Valores!$C$100</f>
        <v>-554.86</v>
      </c>
      <c r="AR291" s="125">
        <f>IF($F$5=0,Valores!$C$101,(Valores!$C$101+$F$5*(Valores!$C$101)))</f>
        <v>-550</v>
      </c>
      <c r="AS291" s="125">
        <f t="shared" si="47"/>
        <v>250261.76850000003</v>
      </c>
      <c r="AT291" s="125">
        <f t="shared" si="41"/>
        <v>-32722.283000000007</v>
      </c>
      <c r="AU291" s="125">
        <f>AH291*Valores!$C$74</f>
        <v>-8031.833100000001</v>
      </c>
      <c r="AV291" s="125">
        <f>AH291*Valores!$C$75</f>
        <v>-892.4259000000002</v>
      </c>
      <c r="AW291" s="125">
        <f t="shared" si="45"/>
        <v>255828.75800000003</v>
      </c>
      <c r="AX291" s="126"/>
      <c r="AY291" s="126">
        <f t="shared" si="49"/>
        <v>33</v>
      </c>
      <c r="AZ291" s="123" t="s">
        <v>8</v>
      </c>
    </row>
    <row r="292" spans="1:52" s="110" customFormat="1" ht="11.25" customHeight="1">
      <c r="A292" s="123" t="s">
        <v>471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2">
        <f t="shared" si="50"/>
        <v>2607</v>
      </c>
      <c r="F292" s="125">
        <f>ROUND(E292*Valores!$C$2,2)</f>
        <v>106057.45</v>
      </c>
      <c r="G292" s="191">
        <v>0</v>
      </c>
      <c r="H292" s="125">
        <f>ROUND(G292*Valores!$C$2,2)</f>
        <v>0</v>
      </c>
      <c r="I292" s="191">
        <v>0</v>
      </c>
      <c r="J292" s="125">
        <f>ROUND(I292*Valores!$C$2,2)</f>
        <v>0</v>
      </c>
      <c r="K292" s="191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21653.79</v>
      </c>
      <c r="N292" s="125">
        <f t="shared" si="42"/>
        <v>0</v>
      </c>
      <c r="O292" s="125">
        <f>Valores!$C$7*B292</f>
        <v>45528.12</v>
      </c>
      <c r="P292" s="125">
        <f>ROUND(IF(B292&lt;15,(Valores!$E$5*B292),Valores!$D$5),2)</f>
        <v>20796.54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23981.760000000002</v>
      </c>
      <c r="S292" s="125">
        <f>Valores!$C$18*B292</f>
        <v>14319.36</v>
      </c>
      <c r="T292" s="125">
        <f t="shared" si="48"/>
        <v>14319.36</v>
      </c>
      <c r="U292" s="125">
        <v>0</v>
      </c>
      <c r="V292" s="125">
        <v>0</v>
      </c>
      <c r="W292" s="191">
        <v>0</v>
      </c>
      <c r="X292" s="125">
        <f>ROUND(W292*Valores!$C$2,2)</f>
        <v>0</v>
      </c>
      <c r="Y292" s="125">
        <v>0</v>
      </c>
      <c r="Z292" s="125">
        <f>IF(Valores!$C$97*B292&gt;Valores!$C$96,Valores!$C$96,Valores!$C$97*B292)</f>
        <v>43714.11</v>
      </c>
      <c r="AA292" s="125">
        <f>IF((Valores!$C$28)*B292&gt;Valores!$F$28,Valores!$F$28,(Valores!$C$28)*B292)</f>
        <v>1124.6399999999999</v>
      </c>
      <c r="AB292" s="210">
        <v>0</v>
      </c>
      <c r="AC292" s="125">
        <f t="shared" si="43"/>
        <v>0</v>
      </c>
      <c r="AD292" s="125">
        <f>IF(Valores!$C$29*B292&gt;Valores!$F$29,Valores!$F$29,Valores!$C$29*B292)</f>
        <v>850.59</v>
      </c>
      <c r="AE292" s="191">
        <v>94</v>
      </c>
      <c r="AF292" s="125">
        <f>ROUND(AE292*Valores!$C$2,2)</f>
        <v>3824.09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19448.94</v>
      </c>
      <c r="AH292" s="125">
        <f t="shared" si="46"/>
        <v>301299.3900000001</v>
      </c>
      <c r="AI292" s="125">
        <f>IF(Valores!$C$32*B292&gt;Valores!$F$32,Valores!$F$32,Valores!$C$32*B292)</f>
        <v>0</v>
      </c>
      <c r="AJ292" s="125">
        <f>IF(Valores!$C$90*B292&gt;Valores!$C$89,Valores!$C$89,Valores!$C$90*B292)</f>
        <v>0</v>
      </c>
      <c r="AK292" s="125">
        <f>IF(Valores!C$39*B292&gt;Valores!F$38,Valores!F$38,Valores!C$39*B292)</f>
        <v>0</v>
      </c>
      <c r="AL292" s="125">
        <f>IF($F$3="NO",0,IF(Valores!$C$62*B292&gt;Valores!$F$62,Valores!$F$62,Valores!$C$62*B292))</f>
        <v>0</v>
      </c>
      <c r="AM292" s="125">
        <f t="shared" si="44"/>
        <v>0</v>
      </c>
      <c r="AN292" s="125">
        <f>AH292*Valores!$C$71</f>
        <v>-33142.93290000001</v>
      </c>
      <c r="AO292" s="125">
        <f>AH292*-Valores!$C$72</f>
        <v>0</v>
      </c>
      <c r="AP292" s="125">
        <f>AH292*Valores!$C$73</f>
        <v>-13558.472550000002</v>
      </c>
      <c r="AQ292" s="125">
        <f>Valores!$C$100</f>
        <v>-554.86</v>
      </c>
      <c r="AR292" s="125">
        <f>IF($F$5=0,Valores!$C$101,(Valores!$C$101+$F$5*(Valores!$C$101)))</f>
        <v>-550</v>
      </c>
      <c r="AS292" s="125">
        <f t="shared" si="47"/>
        <v>253493.12455000007</v>
      </c>
      <c r="AT292" s="125">
        <f t="shared" si="41"/>
        <v>-33142.93290000001</v>
      </c>
      <c r="AU292" s="125">
        <f>AH292*Valores!$C$74</f>
        <v>-8135.083530000002</v>
      </c>
      <c r="AV292" s="125">
        <f>AH292*Valores!$C$75</f>
        <v>-903.8981700000003</v>
      </c>
      <c r="AW292" s="125">
        <f t="shared" si="45"/>
        <v>259117.47540000005</v>
      </c>
      <c r="AX292" s="123"/>
      <c r="AY292" s="126">
        <f t="shared" si="49"/>
        <v>33</v>
      </c>
      <c r="AZ292" s="123" t="s">
        <v>8</v>
      </c>
    </row>
    <row r="293" spans="1:52" s="110" customFormat="1" ht="11.25" customHeight="1">
      <c r="A293" s="123" t="s">
        <v>471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1">
        <f t="shared" si="50"/>
        <v>2686</v>
      </c>
      <c r="F293" s="125">
        <f>ROUND(E293*Valores!$C$2,2)</f>
        <v>109271.31</v>
      </c>
      <c r="G293" s="191">
        <v>0</v>
      </c>
      <c r="H293" s="125">
        <f>ROUND(G293*Valores!$C$2,2)</f>
        <v>0</v>
      </c>
      <c r="I293" s="191">
        <v>0</v>
      </c>
      <c r="J293" s="125">
        <f>ROUND(I293*Valores!$C$2,2)</f>
        <v>0</v>
      </c>
      <c r="K293" s="191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22309.96</v>
      </c>
      <c r="N293" s="125">
        <f t="shared" si="42"/>
        <v>0</v>
      </c>
      <c r="O293" s="125">
        <f>Valores!$C$7*B293</f>
        <v>46907.76</v>
      </c>
      <c r="P293" s="125">
        <f>ROUND(IF(B293&lt;15,(Valores!$E$5*B293),Valores!$D$5),2)</f>
        <v>20796.54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24708.48</v>
      </c>
      <c r="S293" s="125">
        <f>Valores!$C$18*B293</f>
        <v>14753.28</v>
      </c>
      <c r="T293" s="125">
        <f t="shared" si="48"/>
        <v>14753.28</v>
      </c>
      <c r="U293" s="125">
        <v>0</v>
      </c>
      <c r="V293" s="125">
        <v>0</v>
      </c>
      <c r="W293" s="191">
        <v>0</v>
      </c>
      <c r="X293" s="125">
        <f>ROUND(W293*Valores!$C$2,2)</f>
        <v>0</v>
      </c>
      <c r="Y293" s="125">
        <v>0</v>
      </c>
      <c r="Z293" s="125">
        <f>IF(Valores!$C$97*B293&gt;Valores!$C$96,Valores!$C$96,Valores!$C$97*B293)</f>
        <v>45038.78</v>
      </c>
      <c r="AA293" s="125">
        <f>IF((Valores!$C$28)*B293&gt;Valores!$F$28,Valores!$F$28,(Valores!$C$28)*B293)</f>
        <v>1158.72</v>
      </c>
      <c r="AB293" s="210">
        <v>0</v>
      </c>
      <c r="AC293" s="125">
        <f t="shared" si="43"/>
        <v>0</v>
      </c>
      <c r="AD293" s="125">
        <f>IF(Valores!$C$29*B293&gt;Valores!$F$29,Valores!$F$29,Valores!$C$29*B293)</f>
        <v>850.59</v>
      </c>
      <c r="AE293" s="191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19448.94</v>
      </c>
      <c r="AH293" s="125">
        <f t="shared" si="46"/>
        <v>305244.36</v>
      </c>
      <c r="AI293" s="125">
        <f>IF(Valores!$C$32*B293&gt;Valores!$F$32,Valores!$F$32,Valores!$C$32*B293)</f>
        <v>0</v>
      </c>
      <c r="AJ293" s="125">
        <f>IF(Valores!$C$90*B293&gt;Valores!$C$89,Valores!$C$89,Valores!$C$90*B293)</f>
        <v>0</v>
      </c>
      <c r="AK293" s="125">
        <f>IF(Valores!C$39*B293&gt;Valores!F$38,Valores!F$38,Valores!C$39*B293)</f>
        <v>0</v>
      </c>
      <c r="AL293" s="125">
        <f>IF($F$3="NO",0,IF(Valores!$C$62*B293&gt;Valores!$F$62,Valores!$F$62,Valores!$C$62*B293))</f>
        <v>0</v>
      </c>
      <c r="AM293" s="125">
        <f t="shared" si="44"/>
        <v>0</v>
      </c>
      <c r="AN293" s="125">
        <f>AH293*Valores!$C$71</f>
        <v>-33576.8796</v>
      </c>
      <c r="AO293" s="125">
        <f>AH293*-Valores!$C$72</f>
        <v>0</v>
      </c>
      <c r="AP293" s="125">
        <f>AH293*Valores!$C$73</f>
        <v>-13735.9962</v>
      </c>
      <c r="AQ293" s="125">
        <f>Valores!$C$100</f>
        <v>-554.86</v>
      </c>
      <c r="AR293" s="125">
        <f>IF($F$5=0,Valores!$C$101,(Valores!$C$101+$F$5*(Valores!$C$101)))</f>
        <v>-550</v>
      </c>
      <c r="AS293" s="125">
        <f t="shared" si="47"/>
        <v>256826.6242</v>
      </c>
      <c r="AT293" s="125">
        <f t="shared" si="41"/>
        <v>-33576.8796</v>
      </c>
      <c r="AU293" s="125">
        <f>AH293*Valores!$C$74</f>
        <v>-8241.59772</v>
      </c>
      <c r="AV293" s="125">
        <f>AH293*Valores!$C$75</f>
        <v>-915.73308</v>
      </c>
      <c r="AW293" s="125">
        <f t="shared" si="45"/>
        <v>262510.1496</v>
      </c>
      <c r="AX293" s="126"/>
      <c r="AY293" s="126">
        <f t="shared" si="49"/>
        <v>34</v>
      </c>
      <c r="AZ293" s="123" t="s">
        <v>8</v>
      </c>
    </row>
    <row r="294" spans="1:52" s="110" customFormat="1" ht="11.25" customHeight="1">
      <c r="A294" s="123" t="s">
        <v>471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1">
        <f t="shared" si="50"/>
        <v>2686</v>
      </c>
      <c r="F294" s="125">
        <f>ROUND(E294*Valores!$C$2,2)</f>
        <v>109271.31</v>
      </c>
      <c r="G294" s="191">
        <v>0</v>
      </c>
      <c r="H294" s="125">
        <f>ROUND(G294*Valores!$C$2,2)</f>
        <v>0</v>
      </c>
      <c r="I294" s="191">
        <v>0</v>
      </c>
      <c r="J294" s="125">
        <f>ROUND(I294*Valores!$C$2,2)</f>
        <v>0</v>
      </c>
      <c r="K294" s="191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22309.96</v>
      </c>
      <c r="N294" s="125">
        <f t="shared" si="42"/>
        <v>0</v>
      </c>
      <c r="O294" s="125">
        <f>Valores!$C$7*B294</f>
        <v>46907.76</v>
      </c>
      <c r="P294" s="125">
        <f>ROUND(IF(B294&lt;15,(Valores!$E$5*B294),Valores!$D$5),2)</f>
        <v>20796.54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24708.48</v>
      </c>
      <c r="S294" s="125">
        <f>Valores!$C$18*B294</f>
        <v>14753.28</v>
      </c>
      <c r="T294" s="125">
        <f t="shared" si="48"/>
        <v>14753.28</v>
      </c>
      <c r="U294" s="125">
        <v>0</v>
      </c>
      <c r="V294" s="125">
        <v>0</v>
      </c>
      <c r="W294" s="191">
        <v>0</v>
      </c>
      <c r="X294" s="125">
        <f>ROUND(W294*Valores!$C$2,2)</f>
        <v>0</v>
      </c>
      <c r="Y294" s="125">
        <v>0</v>
      </c>
      <c r="Z294" s="125">
        <f>IF(Valores!$C$97*B294&gt;Valores!$C$96,Valores!$C$96,Valores!$C$97*B294)</f>
        <v>45038.78</v>
      </c>
      <c r="AA294" s="125">
        <f>IF((Valores!$C$28)*B294&gt;Valores!$F$28,Valores!$F$28,(Valores!$C$28)*B294)</f>
        <v>1158.72</v>
      </c>
      <c r="AB294" s="210">
        <v>0</v>
      </c>
      <c r="AC294" s="125">
        <f t="shared" si="43"/>
        <v>0</v>
      </c>
      <c r="AD294" s="125">
        <f>IF(Valores!$C$29*B294&gt;Valores!$F$29,Valores!$F$29,Valores!$C$29*B294)</f>
        <v>850.59</v>
      </c>
      <c r="AE294" s="191">
        <v>94</v>
      </c>
      <c r="AF294" s="125">
        <f>ROUND(AE294*Valores!$C$2,2)</f>
        <v>3824.09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19448.94</v>
      </c>
      <c r="AH294" s="125">
        <f t="shared" si="46"/>
        <v>309068.45</v>
      </c>
      <c r="AI294" s="125">
        <f>IF(Valores!$C$32*B294&gt;Valores!$F$32,Valores!$F$32,Valores!$C$32*B294)</f>
        <v>0</v>
      </c>
      <c r="AJ294" s="125">
        <f>IF(Valores!$C$90*B294&gt;Valores!$C$89,Valores!$C$89,Valores!$C$90*B294)</f>
        <v>0</v>
      </c>
      <c r="AK294" s="125">
        <f>IF(Valores!C$39*B294&gt;Valores!F$38,Valores!F$38,Valores!C$39*B294)</f>
        <v>0</v>
      </c>
      <c r="AL294" s="125">
        <f>IF($F$3="NO",0,IF(Valores!$C$62*B294&gt;Valores!$F$62,Valores!$F$62,Valores!$C$62*B294))</f>
        <v>0</v>
      </c>
      <c r="AM294" s="125">
        <f t="shared" si="44"/>
        <v>0</v>
      </c>
      <c r="AN294" s="125">
        <f>AH294*Valores!$C$71</f>
        <v>-33997.529500000004</v>
      </c>
      <c r="AO294" s="125">
        <f>AH294*-Valores!$C$72</f>
        <v>0</v>
      </c>
      <c r="AP294" s="125">
        <f>AH294*Valores!$C$73</f>
        <v>-13908.08025</v>
      </c>
      <c r="AQ294" s="125">
        <f>Valores!$C$100</f>
        <v>-554.86</v>
      </c>
      <c r="AR294" s="125">
        <f>IF($F$5=0,Valores!$C$101,(Valores!$C$101+$F$5*(Valores!$C$101)))</f>
        <v>-550</v>
      </c>
      <c r="AS294" s="125">
        <f t="shared" si="47"/>
        <v>260057.98025000002</v>
      </c>
      <c r="AT294" s="125">
        <f t="shared" si="41"/>
        <v>-33997.529500000004</v>
      </c>
      <c r="AU294" s="125">
        <f>AH294*Valores!$C$74</f>
        <v>-8344.84815</v>
      </c>
      <c r="AV294" s="125">
        <f>AH294*Valores!$C$75</f>
        <v>-927.2053500000001</v>
      </c>
      <c r="AW294" s="125">
        <f t="shared" si="45"/>
        <v>265798.867</v>
      </c>
      <c r="AX294" s="126"/>
      <c r="AY294" s="126">
        <f t="shared" si="49"/>
        <v>34</v>
      </c>
      <c r="AZ294" s="123" t="s">
        <v>8</v>
      </c>
    </row>
    <row r="295" spans="1:52" s="110" customFormat="1" ht="11.25" customHeight="1">
      <c r="A295" s="123" t="s">
        <v>471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1">
        <f t="shared" si="50"/>
        <v>2765</v>
      </c>
      <c r="F295" s="125">
        <f>ROUND(E295*Valores!$C$2,2)</f>
        <v>112485.18</v>
      </c>
      <c r="G295" s="191">
        <v>0</v>
      </c>
      <c r="H295" s="125">
        <f>ROUND(G295*Valores!$C$2,2)</f>
        <v>0</v>
      </c>
      <c r="I295" s="191">
        <v>0</v>
      </c>
      <c r="J295" s="125">
        <f>ROUND(I295*Valores!$C$2,2)</f>
        <v>0</v>
      </c>
      <c r="K295" s="191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22939.22</v>
      </c>
      <c r="N295" s="125">
        <f t="shared" si="42"/>
        <v>0</v>
      </c>
      <c r="O295" s="125">
        <f>Valores!$C$7*B295</f>
        <v>48287.4</v>
      </c>
      <c r="P295" s="125">
        <f>ROUND(IF(B295&lt;15,(Valores!$E$5*B295),Valores!$D$5),2)</f>
        <v>20796.54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25255.725000000002</v>
      </c>
      <c r="S295" s="125">
        <f>Valores!$C$18*B295</f>
        <v>15187.2</v>
      </c>
      <c r="T295" s="125">
        <f t="shared" si="48"/>
        <v>15187.2</v>
      </c>
      <c r="U295" s="125">
        <v>0</v>
      </c>
      <c r="V295" s="125">
        <v>0</v>
      </c>
      <c r="W295" s="191">
        <v>0</v>
      </c>
      <c r="X295" s="125">
        <f>ROUND(W295*Valores!$C$2,2)</f>
        <v>0</v>
      </c>
      <c r="Y295" s="125">
        <v>0</v>
      </c>
      <c r="Z295" s="125">
        <f>IF(Valores!$C$97*B295&gt;Valores!$C$96,Valores!$C$96,Valores!$C$97*B295)</f>
        <v>46363.450000000004</v>
      </c>
      <c r="AA295" s="125">
        <f>IF((Valores!$C$28)*B295&gt;Valores!$F$28,Valores!$F$28,(Valores!$C$28)*B295)</f>
        <v>1192.8</v>
      </c>
      <c r="AB295" s="210">
        <v>0</v>
      </c>
      <c r="AC295" s="125">
        <f t="shared" si="43"/>
        <v>0</v>
      </c>
      <c r="AD295" s="125">
        <f>IF(Valores!$C$29*B295&gt;Valores!$F$29,Valores!$F$29,Valores!$C$29*B295)</f>
        <v>850.59</v>
      </c>
      <c r="AE295" s="191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19448.94</v>
      </c>
      <c r="AH295" s="125">
        <f t="shared" si="46"/>
        <v>312807.04500000004</v>
      </c>
      <c r="AI295" s="125">
        <f>IF(Valores!$C$32*B295&gt;Valores!$F$32,Valores!$F$32,Valores!$C$32*B295)</f>
        <v>0</v>
      </c>
      <c r="AJ295" s="125">
        <f>IF(Valores!$C$90*B295&gt;Valores!$C$89,Valores!$C$89,Valores!$C$90*B295)</f>
        <v>0</v>
      </c>
      <c r="AK295" s="125">
        <f>IF(Valores!C$39*B295&gt;Valores!F$38,Valores!F$38,Valores!C$39*B295)</f>
        <v>0</v>
      </c>
      <c r="AL295" s="125">
        <f>IF($F$3="NO",0,IF(Valores!$C$62*B295&gt;Valores!$F$62,Valores!$F$62,Valores!$C$62*B295))</f>
        <v>0</v>
      </c>
      <c r="AM295" s="125">
        <f t="shared" si="44"/>
        <v>0</v>
      </c>
      <c r="AN295" s="125">
        <f>AH295*Valores!$C$71</f>
        <v>-34408.774950000006</v>
      </c>
      <c r="AO295" s="125">
        <f>AH295*-Valores!$C$72</f>
        <v>0</v>
      </c>
      <c r="AP295" s="125">
        <f>AH295*Valores!$C$73</f>
        <v>-14076.317025000002</v>
      </c>
      <c r="AQ295" s="125">
        <f>Valores!$C$100</f>
        <v>-554.86</v>
      </c>
      <c r="AR295" s="125">
        <f>IF($F$5=0,Valores!$C$101,(Valores!$C$101+$F$5*(Valores!$C$101)))</f>
        <v>-550</v>
      </c>
      <c r="AS295" s="125">
        <f t="shared" si="47"/>
        <v>263217.093025</v>
      </c>
      <c r="AT295" s="125">
        <f t="shared" si="41"/>
        <v>-34408.774950000006</v>
      </c>
      <c r="AU295" s="125">
        <f>AH295*Valores!$C$74</f>
        <v>-8445.790215</v>
      </c>
      <c r="AV295" s="125">
        <f>AH295*Valores!$C$75</f>
        <v>-938.4211350000002</v>
      </c>
      <c r="AW295" s="125">
        <f t="shared" si="45"/>
        <v>269014.05870000005</v>
      </c>
      <c r="AX295" s="126"/>
      <c r="AY295" s="126">
        <f t="shared" si="49"/>
        <v>35</v>
      </c>
      <c r="AZ295" s="123" t="s">
        <v>8</v>
      </c>
    </row>
    <row r="296" spans="1:52" s="110" customFormat="1" ht="11.25" customHeight="1">
      <c r="A296" s="123" t="s">
        <v>471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1">
        <f t="shared" si="50"/>
        <v>2765</v>
      </c>
      <c r="F296" s="125">
        <f>ROUND(E296*Valores!$C$2,2)</f>
        <v>112485.18</v>
      </c>
      <c r="G296" s="191">
        <v>0</v>
      </c>
      <c r="H296" s="125">
        <f>ROUND(G296*Valores!$C$2,2)</f>
        <v>0</v>
      </c>
      <c r="I296" s="191">
        <v>0</v>
      </c>
      <c r="J296" s="125">
        <f>ROUND(I296*Valores!$C$2,2)</f>
        <v>0</v>
      </c>
      <c r="K296" s="191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22939.22</v>
      </c>
      <c r="N296" s="125">
        <f t="shared" si="42"/>
        <v>0</v>
      </c>
      <c r="O296" s="125">
        <f>Valores!$C$7*B296</f>
        <v>48287.4</v>
      </c>
      <c r="P296" s="125">
        <f>ROUND(IF(B296&lt;15,(Valores!$E$5*B296),Valores!$D$5),2)</f>
        <v>20796.54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25255.725000000002</v>
      </c>
      <c r="S296" s="125">
        <f>Valores!$C$18*B296</f>
        <v>15187.2</v>
      </c>
      <c r="T296" s="125">
        <f t="shared" si="48"/>
        <v>15187.2</v>
      </c>
      <c r="U296" s="125">
        <v>0</v>
      </c>
      <c r="V296" s="125">
        <v>0</v>
      </c>
      <c r="W296" s="191">
        <v>0</v>
      </c>
      <c r="X296" s="125">
        <f>ROUND(W296*Valores!$C$2,2)</f>
        <v>0</v>
      </c>
      <c r="Y296" s="125">
        <v>0</v>
      </c>
      <c r="Z296" s="125">
        <f>IF(Valores!$C$97*B296&gt;Valores!$C$96,Valores!$C$96,Valores!$C$97*B296)</f>
        <v>46363.450000000004</v>
      </c>
      <c r="AA296" s="125">
        <f>IF((Valores!$C$28)*B296&gt;Valores!$F$28,Valores!$F$28,(Valores!$C$28)*B296)</f>
        <v>1192.8</v>
      </c>
      <c r="AB296" s="210">
        <v>0</v>
      </c>
      <c r="AC296" s="125">
        <f t="shared" si="43"/>
        <v>0</v>
      </c>
      <c r="AD296" s="125">
        <f>IF(Valores!$C$29*B296&gt;Valores!$F$29,Valores!$F$29,Valores!$C$29*B296)</f>
        <v>850.59</v>
      </c>
      <c r="AE296" s="191">
        <v>94</v>
      </c>
      <c r="AF296" s="125">
        <f>ROUND(AE296*Valores!$C$2,2)</f>
        <v>3824.09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19448.94</v>
      </c>
      <c r="AH296" s="125">
        <f t="shared" si="46"/>
        <v>316631.13500000007</v>
      </c>
      <c r="AI296" s="125">
        <f>IF(Valores!$C$32*B296&gt;Valores!$F$32,Valores!$F$32,Valores!$C$32*B296)</f>
        <v>0</v>
      </c>
      <c r="AJ296" s="125">
        <f>IF(Valores!$C$90*B296&gt;Valores!$C$89,Valores!$C$89,Valores!$C$90*B296)</f>
        <v>0</v>
      </c>
      <c r="AK296" s="125">
        <f>IF(Valores!C$39*B296&gt;Valores!F$38,Valores!F$38,Valores!C$39*B296)</f>
        <v>0</v>
      </c>
      <c r="AL296" s="125">
        <f>IF($F$3="NO",0,IF(Valores!$C$62*B296&gt;Valores!$F$62,Valores!$F$62,Valores!$C$62*B296))</f>
        <v>0</v>
      </c>
      <c r="AM296" s="125">
        <f t="shared" si="44"/>
        <v>0</v>
      </c>
      <c r="AN296" s="125">
        <f>AH296*Valores!$C$71</f>
        <v>-34829.42485000001</v>
      </c>
      <c r="AO296" s="125">
        <f>AH296*-Valores!$C$72</f>
        <v>0</v>
      </c>
      <c r="AP296" s="125">
        <f>AH296*Valores!$C$73</f>
        <v>-14248.401075000003</v>
      </c>
      <c r="AQ296" s="125">
        <f>Valores!$C$100</f>
        <v>-554.86</v>
      </c>
      <c r="AR296" s="125">
        <f>IF($F$5=0,Valores!$C$101,(Valores!$C$101+$F$5*(Valores!$C$101)))</f>
        <v>-550</v>
      </c>
      <c r="AS296" s="125">
        <f t="shared" si="47"/>
        <v>266448.44907500007</v>
      </c>
      <c r="AT296" s="125">
        <f t="shared" si="41"/>
        <v>-34829.42485000001</v>
      </c>
      <c r="AU296" s="125">
        <f>AH296*Valores!$C$74</f>
        <v>-8549.040645000001</v>
      </c>
      <c r="AV296" s="125">
        <f>AH296*Valores!$C$75</f>
        <v>-949.8934050000003</v>
      </c>
      <c r="AW296" s="125">
        <f t="shared" si="45"/>
        <v>272302.7761000001</v>
      </c>
      <c r="AX296" s="126"/>
      <c r="AY296" s="126">
        <f t="shared" si="49"/>
        <v>35</v>
      </c>
      <c r="AZ296" s="123" t="s">
        <v>8</v>
      </c>
    </row>
    <row r="297" spans="1:52" s="110" customFormat="1" ht="11.25" customHeight="1">
      <c r="A297" s="123" t="s">
        <v>471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1">
        <f t="shared" si="50"/>
        <v>2844</v>
      </c>
      <c r="F297" s="125">
        <f>ROUND(E297*Valores!$C$2,2)</f>
        <v>115699.04</v>
      </c>
      <c r="G297" s="191">
        <v>0</v>
      </c>
      <c r="H297" s="125">
        <f>ROUND(G297*Valores!$C$2,2)</f>
        <v>0</v>
      </c>
      <c r="I297" s="191">
        <v>0</v>
      </c>
      <c r="J297" s="125">
        <f>ROUND(I297*Valores!$C$2,2)</f>
        <v>0</v>
      </c>
      <c r="K297" s="191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23486.38</v>
      </c>
      <c r="N297" s="125">
        <f t="shared" si="42"/>
        <v>0</v>
      </c>
      <c r="O297" s="125">
        <f>Valores!$C$7*B297</f>
        <v>49667.04</v>
      </c>
      <c r="P297" s="125">
        <f>ROUND(IF(B297&lt;15,(Valores!$E$5*B297),Valores!$D$5),2)</f>
        <v>20796.54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25255.725000000002</v>
      </c>
      <c r="S297" s="125">
        <f>Valores!$C$18*B297</f>
        <v>15621.12</v>
      </c>
      <c r="T297" s="125">
        <f t="shared" si="48"/>
        <v>15621.12</v>
      </c>
      <c r="U297" s="125">
        <v>0</v>
      </c>
      <c r="V297" s="125">
        <v>0</v>
      </c>
      <c r="W297" s="191">
        <v>0</v>
      </c>
      <c r="X297" s="125">
        <f>ROUND(W297*Valores!$C$2,2)</f>
        <v>0</v>
      </c>
      <c r="Y297" s="125">
        <v>0</v>
      </c>
      <c r="Z297" s="125">
        <f>IF(Valores!$C$97*B297&gt;Valores!$C$96,Valores!$C$96,Valores!$C$97*B297)</f>
        <v>47688.12</v>
      </c>
      <c r="AA297" s="125">
        <f>IF((Valores!$C$28)*B297&gt;Valores!$F$28,Valores!$F$28,(Valores!$C$28)*B297)</f>
        <v>1226.8799999999999</v>
      </c>
      <c r="AB297" s="210">
        <v>0</v>
      </c>
      <c r="AC297" s="125">
        <f t="shared" si="43"/>
        <v>0</v>
      </c>
      <c r="AD297" s="125">
        <f>IF(Valores!$C$29*B297&gt;Valores!$F$29,Valores!$F$29,Valores!$C$29*B297)</f>
        <v>850.59</v>
      </c>
      <c r="AE297" s="191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19448.94</v>
      </c>
      <c r="AH297" s="125">
        <f t="shared" si="46"/>
        <v>319740.37500000006</v>
      </c>
      <c r="AI297" s="125">
        <f>IF(Valores!$C$32*B297&gt;Valores!$F$32,Valores!$F$32,Valores!$C$32*B297)</f>
        <v>0</v>
      </c>
      <c r="AJ297" s="125">
        <f>IF(Valores!$C$90*B297&gt;Valores!$C$89,Valores!$C$89,Valores!$C$90*B297)</f>
        <v>0</v>
      </c>
      <c r="AK297" s="125">
        <f>IF(Valores!C$39*B297&gt;Valores!F$38,Valores!F$38,Valores!C$39*B297)</f>
        <v>0</v>
      </c>
      <c r="AL297" s="125">
        <f>IF($F$3="NO",0,IF(Valores!$C$62*B297&gt;Valores!$F$62,Valores!$F$62,Valores!$C$62*B297))</f>
        <v>0</v>
      </c>
      <c r="AM297" s="125">
        <f t="shared" si="44"/>
        <v>0</v>
      </c>
      <c r="AN297" s="125">
        <f>AH297*Valores!$C$71</f>
        <v>-35171.44125</v>
      </c>
      <c r="AO297" s="125">
        <f>AH297*-Valores!$C$72</f>
        <v>0</v>
      </c>
      <c r="AP297" s="125">
        <f>AH297*Valores!$C$73</f>
        <v>-14388.316875000002</v>
      </c>
      <c r="AQ297" s="125">
        <f>Valores!$C$100</f>
        <v>-554.86</v>
      </c>
      <c r="AR297" s="125">
        <f>IF($F$5=0,Valores!$C$101,(Valores!$C$101+$F$5*(Valores!$C$101)))</f>
        <v>-550</v>
      </c>
      <c r="AS297" s="125">
        <f t="shared" si="47"/>
        <v>269075.7568750001</v>
      </c>
      <c r="AT297" s="125">
        <f t="shared" si="41"/>
        <v>-35171.44125</v>
      </c>
      <c r="AU297" s="125">
        <f>AH297*Valores!$C$74</f>
        <v>-8632.990125000002</v>
      </c>
      <c r="AV297" s="125">
        <f>AH297*Valores!$C$75</f>
        <v>-959.2211250000001</v>
      </c>
      <c r="AW297" s="125">
        <f t="shared" si="45"/>
        <v>274976.72250000003</v>
      </c>
      <c r="AX297" s="126"/>
      <c r="AY297" s="126">
        <f t="shared" si="49"/>
        <v>36</v>
      </c>
      <c r="AZ297" s="123" t="s">
        <v>8</v>
      </c>
    </row>
    <row r="298" spans="1:52" s="110" customFormat="1" ht="11.25" customHeight="1">
      <c r="A298" s="123" t="s">
        <v>471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1">
        <f t="shared" si="50"/>
        <v>2844</v>
      </c>
      <c r="F298" s="125">
        <f>ROUND(E298*Valores!$C$2,2)</f>
        <v>115699.04</v>
      </c>
      <c r="G298" s="191">
        <v>0</v>
      </c>
      <c r="H298" s="125">
        <f>ROUND(G298*Valores!$C$2,2)</f>
        <v>0</v>
      </c>
      <c r="I298" s="191">
        <v>0</v>
      </c>
      <c r="J298" s="125">
        <f>ROUND(I298*Valores!$C$2,2)</f>
        <v>0</v>
      </c>
      <c r="K298" s="191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23486.38</v>
      </c>
      <c r="N298" s="125">
        <f t="shared" si="42"/>
        <v>0</v>
      </c>
      <c r="O298" s="125">
        <f>Valores!$C$7*B298</f>
        <v>49667.04</v>
      </c>
      <c r="P298" s="125">
        <f>ROUND(IF(B298&lt;15,(Valores!$E$5*B298),Valores!$D$5),2)</f>
        <v>20796.54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25255.725000000002</v>
      </c>
      <c r="S298" s="125">
        <f>Valores!$C$18*B298</f>
        <v>15621.12</v>
      </c>
      <c r="T298" s="125">
        <f t="shared" si="48"/>
        <v>15621.12</v>
      </c>
      <c r="U298" s="125">
        <v>0</v>
      </c>
      <c r="V298" s="125">
        <v>0</v>
      </c>
      <c r="W298" s="191">
        <v>0</v>
      </c>
      <c r="X298" s="125">
        <f>ROUND(W298*Valores!$C$2,2)</f>
        <v>0</v>
      </c>
      <c r="Y298" s="125">
        <v>0</v>
      </c>
      <c r="Z298" s="125">
        <f>IF(Valores!$C$97*B298&gt;Valores!$C$96,Valores!$C$96,Valores!$C$97*B298)</f>
        <v>47688.12</v>
      </c>
      <c r="AA298" s="125">
        <f>IF((Valores!$C$28)*B298&gt;Valores!$F$28,Valores!$F$28,(Valores!$C$28)*B298)</f>
        <v>1226.8799999999999</v>
      </c>
      <c r="AB298" s="210">
        <v>0</v>
      </c>
      <c r="AC298" s="125">
        <f t="shared" si="43"/>
        <v>0</v>
      </c>
      <c r="AD298" s="125">
        <f>IF(Valores!$C$29*B298&gt;Valores!$F$29,Valores!$F$29,Valores!$C$29*B298)</f>
        <v>850.59</v>
      </c>
      <c r="AE298" s="191">
        <v>94</v>
      </c>
      <c r="AF298" s="125">
        <f>ROUND(AE298*Valores!$C$2,2)</f>
        <v>3824.09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19448.94</v>
      </c>
      <c r="AH298" s="125">
        <f t="shared" si="46"/>
        <v>323564.4650000001</v>
      </c>
      <c r="AI298" s="125">
        <f>IF(Valores!$C$32*B298&gt;Valores!$F$32,Valores!$F$32,Valores!$C$32*B298)</f>
        <v>0</v>
      </c>
      <c r="AJ298" s="125">
        <f>IF(Valores!$C$90*B298&gt;Valores!$C$89,Valores!$C$89,Valores!$C$90*B298)</f>
        <v>0</v>
      </c>
      <c r="AK298" s="125">
        <f>IF(Valores!C$39*B298&gt;Valores!F$38,Valores!F$38,Valores!C$39*B298)</f>
        <v>0</v>
      </c>
      <c r="AL298" s="125">
        <f>IF($F$3="NO",0,IF(Valores!$C$62*B298&gt;Valores!$F$62,Valores!$F$62,Valores!$C$62*B298))</f>
        <v>0</v>
      </c>
      <c r="AM298" s="125">
        <f t="shared" si="44"/>
        <v>0</v>
      </c>
      <c r="AN298" s="125">
        <f>AH298*Valores!$C$71</f>
        <v>-35592.09115000001</v>
      </c>
      <c r="AO298" s="125">
        <f>AH298*-Valores!$C$72</f>
        <v>0</v>
      </c>
      <c r="AP298" s="125">
        <f>AH298*Valores!$C$73</f>
        <v>-14560.400925000004</v>
      </c>
      <c r="AQ298" s="125">
        <f>Valores!$C$100</f>
        <v>-554.86</v>
      </c>
      <c r="AR298" s="125">
        <f>IF($F$5=0,Valores!$C$101,(Valores!$C$101+$F$5*(Valores!$C$101)))</f>
        <v>-550</v>
      </c>
      <c r="AS298" s="125">
        <f t="shared" si="47"/>
        <v>272307.1129250001</v>
      </c>
      <c r="AT298" s="125">
        <f t="shared" si="41"/>
        <v>-35592.09115000001</v>
      </c>
      <c r="AU298" s="125">
        <f>AH298*Valores!$C$74</f>
        <v>-8736.240555000002</v>
      </c>
      <c r="AV298" s="125">
        <f>AH298*Valores!$C$75</f>
        <v>-970.6933950000002</v>
      </c>
      <c r="AW298" s="125">
        <f t="shared" si="45"/>
        <v>278265.43990000006</v>
      </c>
      <c r="AX298" s="126"/>
      <c r="AY298" s="126">
        <f t="shared" si="49"/>
        <v>36</v>
      </c>
      <c r="AZ298" s="123" t="s">
        <v>8</v>
      </c>
    </row>
    <row r="299" spans="1:52" s="110" customFormat="1" ht="11.25" customHeight="1">
      <c r="A299" s="123" t="s">
        <v>472</v>
      </c>
      <c r="B299" s="123">
        <v>1</v>
      </c>
      <c r="C299" s="126">
        <v>292</v>
      </c>
      <c r="D299" s="124" t="s">
        <v>473</v>
      </c>
      <c r="E299" s="191">
        <v>79</v>
      </c>
      <c r="F299" s="125">
        <f>ROUND(E299*Valores!$C$2,2)</f>
        <v>3213.86</v>
      </c>
      <c r="G299" s="191">
        <v>0</v>
      </c>
      <c r="H299" s="125">
        <f>ROUND(G299*Valores!$C$2,2)</f>
        <v>0</v>
      </c>
      <c r="I299" s="191">
        <v>0</v>
      </c>
      <c r="J299" s="125">
        <f>ROUND(I299*Valores!$C$2,2)</f>
        <v>0</v>
      </c>
      <c r="K299" s="191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656.18</v>
      </c>
      <c r="N299" s="125">
        <f t="shared" si="42"/>
        <v>0</v>
      </c>
      <c r="O299" s="125">
        <f>Valores!$C$7*B299</f>
        <v>1379.64</v>
      </c>
      <c r="P299" s="125">
        <f>ROUND(IF(B299&lt;15,(Valores!$E$5*B299),Valores!$D$5),2)</f>
        <v>1386.44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726.72</v>
      </c>
      <c r="S299" s="125">
        <f>Valores!$C$18*B299</f>
        <v>433.92</v>
      </c>
      <c r="T299" s="125">
        <f t="shared" si="48"/>
        <v>433.92</v>
      </c>
      <c r="U299" s="125">
        <v>0</v>
      </c>
      <c r="V299" s="125">
        <v>0</v>
      </c>
      <c r="W299" s="191">
        <v>0</v>
      </c>
      <c r="X299" s="125">
        <f>ROUND(W299*Valores!$C$2,2)</f>
        <v>0</v>
      </c>
      <c r="Y299" s="125">
        <v>0</v>
      </c>
      <c r="Z299" s="125">
        <f>IF(Valores!$C$97*B299&gt;Valores!$C$96,Valores!$C$96,Valores!$C$97*B299)</f>
        <v>1324.67</v>
      </c>
      <c r="AA299" s="125">
        <f>IF((Valores!$C$28)*B299&gt;Valores!$F$28,Valores!$F$28,(Valores!$C$28)*B299)</f>
        <v>34.08</v>
      </c>
      <c r="AB299" s="210">
        <v>0</v>
      </c>
      <c r="AC299" s="125">
        <f t="shared" si="43"/>
        <v>0</v>
      </c>
      <c r="AD299" s="125">
        <f>IF(Valores!$C$29*B299&gt;Valores!$F$29,Valores!$F$29,Valores!$C$29*B299)</f>
        <v>28.38</v>
      </c>
      <c r="AE299" s="191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648.3</v>
      </c>
      <c r="AH299" s="125">
        <f t="shared" si="46"/>
        <v>9832.189999999999</v>
      </c>
      <c r="AI299" s="125">
        <f>IF(Valores!$C$32*B299&gt;Valores!$F$32,Valores!$F$32,Valores!$C$32*B299)</f>
        <v>0</v>
      </c>
      <c r="AJ299" s="125">
        <f>IF(Valores!$C$90*B299&gt;Valores!$C$89,Valores!$C$89,Valores!$C$90*B299)</f>
        <v>0</v>
      </c>
      <c r="AK299" s="125">
        <f>IF(Valores!C$39*B299&gt;Valores!F$38,Valores!F$38,Valores!C$39*B299)</f>
        <v>0</v>
      </c>
      <c r="AL299" s="125">
        <f>IF($F$3="NO",0,IF(Valores!$C$62*B299&gt;Valores!$F$62,Valores!$F$62,Valores!$C$62*B299))</f>
        <v>0</v>
      </c>
      <c r="AM299" s="125">
        <f t="shared" si="44"/>
        <v>0</v>
      </c>
      <c r="AN299" s="125">
        <f>AH299*Valores!$C$71</f>
        <v>-1081.5409</v>
      </c>
      <c r="AO299" s="125">
        <f>AH299*-Valores!$C$72</f>
        <v>0</v>
      </c>
      <c r="AP299" s="125">
        <f>AH299*Valores!$C$73</f>
        <v>-442.4485499999999</v>
      </c>
      <c r="AQ299" s="125">
        <f>Valores!$C$100</f>
        <v>-554.86</v>
      </c>
      <c r="AR299" s="125">
        <f>IF($F$5=0,Valores!$C$101,(Valores!$C$101+$F$5*(Valores!$C$101)))</f>
        <v>-550</v>
      </c>
      <c r="AS299" s="125">
        <f t="shared" si="47"/>
        <v>7203.340549999999</v>
      </c>
      <c r="AT299" s="125">
        <f t="shared" si="41"/>
        <v>-1081.5409</v>
      </c>
      <c r="AU299" s="125">
        <f>AH299*Valores!$C$74</f>
        <v>-265.46912999999995</v>
      </c>
      <c r="AV299" s="125">
        <f>AH299*Valores!$C$75</f>
        <v>-29.49657</v>
      </c>
      <c r="AW299" s="125">
        <f t="shared" si="45"/>
        <v>8455.683399999998</v>
      </c>
      <c r="AX299" s="126"/>
      <c r="AY299" s="126">
        <f t="shared" si="49"/>
        <v>1</v>
      </c>
      <c r="AZ299" s="123" t="s">
        <v>4</v>
      </c>
    </row>
    <row r="300" spans="1:52" s="110" customFormat="1" ht="11.25" customHeight="1">
      <c r="A300" s="123" t="s">
        <v>474</v>
      </c>
      <c r="B300" s="123">
        <v>2</v>
      </c>
      <c r="C300" s="126">
        <v>293</v>
      </c>
      <c r="D300" s="124" t="s">
        <v>475</v>
      </c>
      <c r="E300" s="193">
        <v>243</v>
      </c>
      <c r="F300" s="125">
        <f>ROUND(E300*Valores!$C$2,2)</f>
        <v>9885.68</v>
      </c>
      <c r="G300" s="191">
        <v>0</v>
      </c>
      <c r="H300" s="125">
        <f>ROUND(G300*Valores!$C$2,2)</f>
        <v>0</v>
      </c>
      <c r="I300" s="191">
        <v>0</v>
      </c>
      <c r="J300" s="125">
        <f>ROUND(I300*Valores!$C$2,2)</f>
        <v>0</v>
      </c>
      <c r="K300" s="191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2"/>
        <v>0</v>
      </c>
      <c r="O300" s="125">
        <v>0</v>
      </c>
      <c r="P300" s="125">
        <f>ROUND(IF(B300&lt;15,(Valores!$E$5*B300),Valores!$D$5),2)</f>
        <v>2772.88</v>
      </c>
      <c r="Q300" s="125">
        <v>0</v>
      </c>
      <c r="R300" s="125">
        <f>IF($F$4="NO",Valores!C50,Valores!C50/2)</f>
        <v>1080.45</v>
      </c>
      <c r="S300" s="125">
        <v>0</v>
      </c>
      <c r="T300" s="125">
        <f aca="true" t="shared" si="51" ref="T300:T326">INT((S300*(1+$H$2)*C300/30*100)+0.5)/100</f>
        <v>0</v>
      </c>
      <c r="U300" s="125">
        <v>0</v>
      </c>
      <c r="V300" s="125">
        <v>0</v>
      </c>
      <c r="W300" s="191">
        <v>0</v>
      </c>
      <c r="X300" s="125">
        <f>ROUND(W300*Valores!$C$2,2)</f>
        <v>0</v>
      </c>
      <c r="Y300" s="125">
        <v>0</v>
      </c>
      <c r="Z300" s="125">
        <f>Valores!$C$98</f>
        <v>2847.81</v>
      </c>
      <c r="AA300" s="125">
        <v>0</v>
      </c>
      <c r="AB300" s="210">
        <v>0</v>
      </c>
      <c r="AC300" s="125">
        <f t="shared" si="43"/>
        <v>0</v>
      </c>
      <c r="AD300" s="125">
        <v>0</v>
      </c>
      <c r="AE300" s="191">
        <v>0</v>
      </c>
      <c r="AF300" s="125">
        <f>ROUND(AE300*Valores!$C$2,2)</f>
        <v>0</v>
      </c>
      <c r="AG300" s="125">
        <f>IF($F$4="NO",Valores!$C$64,Valores!$C$64/2)</f>
        <v>979.1</v>
      </c>
      <c r="AH300" s="125">
        <f t="shared" si="46"/>
        <v>17565.920000000002</v>
      </c>
      <c r="AI300" s="125">
        <f>Valores!$C$33</f>
        <v>0</v>
      </c>
      <c r="AJ300" s="125">
        <f>Valores!$C$91</f>
        <v>0</v>
      </c>
      <c r="AK300" s="125">
        <f>AK299*2</f>
        <v>0</v>
      </c>
      <c r="AL300" s="125">
        <v>0</v>
      </c>
      <c r="AM300" s="125">
        <f t="shared" si="44"/>
        <v>0</v>
      </c>
      <c r="AN300" s="125">
        <f>AH300*Valores!$C$71</f>
        <v>-1932.2512000000002</v>
      </c>
      <c r="AO300" s="125">
        <f>AH300*-Valores!$C$72</f>
        <v>0</v>
      </c>
      <c r="AP300" s="125">
        <f>AH300*Valores!$C$73</f>
        <v>-790.4664</v>
      </c>
      <c r="AQ300" s="125">
        <f>Valores!$C$100</f>
        <v>-554.86</v>
      </c>
      <c r="AR300" s="125">
        <f>IF($F$5=0,Valores!$C$101,(Valores!$C$101+$F$5*(Valores!$C$101)))</f>
        <v>-550</v>
      </c>
      <c r="AS300" s="125">
        <f t="shared" si="47"/>
        <v>13738.342400000001</v>
      </c>
      <c r="AT300" s="125">
        <f t="shared" si="41"/>
        <v>-1932.2512000000002</v>
      </c>
      <c r="AU300" s="125">
        <f>AH300*Valores!$C$74</f>
        <v>-474.27984000000004</v>
      </c>
      <c r="AV300" s="125">
        <f>AH300*Valores!$C$75</f>
        <v>-52.69776000000001</v>
      </c>
      <c r="AW300" s="125">
        <f t="shared" si="45"/>
        <v>15106.691200000001</v>
      </c>
      <c r="AX300" s="126"/>
      <c r="AY300" s="126">
        <v>8</v>
      </c>
      <c r="AZ300" s="123" t="s">
        <v>4</v>
      </c>
    </row>
    <row r="301" spans="1:52" s="110" customFormat="1" ht="11.25" customHeight="1">
      <c r="A301" s="123" t="s">
        <v>650</v>
      </c>
      <c r="B301" s="123">
        <v>1</v>
      </c>
      <c r="C301" s="126">
        <v>294</v>
      </c>
      <c r="D301" s="124" t="s">
        <v>651</v>
      </c>
      <c r="E301" s="193">
        <f>E300/2</f>
        <v>121.5</v>
      </c>
      <c r="F301" s="125">
        <f>ROUND(E301*Valores!$C$2,2)</f>
        <v>4942.84</v>
      </c>
      <c r="G301" s="191">
        <v>0</v>
      </c>
      <c r="H301" s="125">
        <f>ROUND(G301*Valores!$C$2,2)</f>
        <v>0</v>
      </c>
      <c r="I301" s="191">
        <v>0</v>
      </c>
      <c r="J301" s="125">
        <f>ROUND(I301*Valores!$C$2,2)</f>
        <v>0</v>
      </c>
      <c r="K301" s="191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2"/>
        <v>0</v>
      </c>
      <c r="O301" s="125">
        <v>0</v>
      </c>
      <c r="P301" s="125">
        <f>ROUND(IF(B301&lt;15,(Valores!$E$5*B301),Valores!$D$5),2)</f>
        <v>1386.44</v>
      </c>
      <c r="Q301" s="125">
        <v>0</v>
      </c>
      <c r="R301" s="125">
        <f>IF($F$4="NO",Valores!C51,Valores!C51/2)</f>
        <v>540.23</v>
      </c>
      <c r="S301" s="125">
        <v>0</v>
      </c>
      <c r="T301" s="125">
        <f t="shared" si="51"/>
        <v>0</v>
      </c>
      <c r="U301" s="125">
        <v>0</v>
      </c>
      <c r="V301" s="125">
        <v>0</v>
      </c>
      <c r="W301" s="191">
        <v>0</v>
      </c>
      <c r="X301" s="125">
        <f>ROUND(W301*Valores!$C$2,2)</f>
        <v>0</v>
      </c>
      <c r="Y301" s="125">
        <v>0</v>
      </c>
      <c r="Z301" s="125">
        <f>Valores!$C$99</f>
        <v>1423.905</v>
      </c>
      <c r="AA301" s="125">
        <v>0</v>
      </c>
      <c r="AB301" s="210">
        <v>0</v>
      </c>
      <c r="AC301" s="125">
        <f t="shared" si="43"/>
        <v>0</v>
      </c>
      <c r="AD301" s="125">
        <v>0</v>
      </c>
      <c r="AE301" s="191">
        <v>0</v>
      </c>
      <c r="AF301" s="125">
        <f>ROUND(AE301*Valores!$C$2,2)</f>
        <v>0</v>
      </c>
      <c r="AG301" s="125">
        <f>IF($F$4="NO",Valores!$C$65,Valores!$C$65/2)</f>
        <v>489.55</v>
      </c>
      <c r="AH301" s="125">
        <f t="shared" si="46"/>
        <v>8782.965</v>
      </c>
      <c r="AI301" s="125">
        <f>Valores!C34</f>
        <v>0</v>
      </c>
      <c r="AJ301" s="125">
        <f>Valores!$C$92</f>
        <v>0</v>
      </c>
      <c r="AK301" s="125">
        <f>AK300/2</f>
        <v>0</v>
      </c>
      <c r="AL301" s="125">
        <v>0</v>
      </c>
      <c r="AM301" s="125">
        <f t="shared" si="44"/>
        <v>0</v>
      </c>
      <c r="AN301" s="125">
        <f>AH301*Valores!$C$71</f>
        <v>-966.12615</v>
      </c>
      <c r="AO301" s="125">
        <v>0</v>
      </c>
      <c r="AP301" s="125">
        <f>AH301*Valores!$C$73</f>
        <v>-395.233425</v>
      </c>
      <c r="AQ301" s="125">
        <f>Valores!$C$100</f>
        <v>-554.86</v>
      </c>
      <c r="AR301" s="125">
        <f>IF($F$5=0,Valores!$C$101,(Valores!$C$101+$F$5*(Valores!$C$101)))</f>
        <v>-550</v>
      </c>
      <c r="AS301" s="125">
        <f t="shared" si="47"/>
        <v>6316.745425</v>
      </c>
      <c r="AT301" s="125">
        <f>AN301</f>
        <v>-966.12615</v>
      </c>
      <c r="AU301" s="125">
        <f>AH301*Valores!$C$74</f>
        <v>-237.140055</v>
      </c>
      <c r="AV301" s="125">
        <f>AH301*Valores!$C$75</f>
        <v>-26.348895000000002</v>
      </c>
      <c r="AW301" s="125">
        <f t="shared" si="45"/>
        <v>7553.3499</v>
      </c>
      <c r="AX301" s="126"/>
      <c r="AY301" s="126">
        <v>4</v>
      </c>
      <c r="AZ301" s="123" t="s">
        <v>4</v>
      </c>
    </row>
    <row r="302" spans="1:1020" s="141" customFormat="1" ht="11.25" customHeight="1">
      <c r="A302" s="139"/>
      <c r="B302" s="140">
        <v>1</v>
      </c>
      <c r="C302" s="126">
        <v>295</v>
      </c>
      <c r="D302" s="127" t="s">
        <v>476</v>
      </c>
      <c r="E302" s="193">
        <v>700</v>
      </c>
      <c r="F302" s="125">
        <f>ROUND(E302*Valores!$C$2,2)</f>
        <v>28477.26</v>
      </c>
      <c r="G302" s="191">
        <v>0</v>
      </c>
      <c r="H302" s="125">
        <f>ROUND(G302*Valores!$C$2,2)</f>
        <v>0</v>
      </c>
      <c r="I302" s="191">
        <v>0</v>
      </c>
      <c r="J302" s="125">
        <f>ROUND(I302*Valores!$C$2,2)</f>
        <v>0</v>
      </c>
      <c r="K302" s="191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5906.71</v>
      </c>
      <c r="N302" s="125">
        <f t="shared" si="42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10900.800000000001</v>
      </c>
      <c r="S302" s="125">
        <v>0</v>
      </c>
      <c r="T302" s="125">
        <f t="shared" si="51"/>
        <v>0</v>
      </c>
      <c r="U302" s="125">
        <v>0</v>
      </c>
      <c r="V302" s="125">
        <v>0</v>
      </c>
      <c r="W302" s="191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0">
        <v>0</v>
      </c>
      <c r="AC302" s="125">
        <f t="shared" si="43"/>
        <v>0</v>
      </c>
      <c r="AD302" s="125">
        <v>0</v>
      </c>
      <c r="AE302" s="191">
        <v>0</v>
      </c>
      <c r="AF302" s="125">
        <f>ROUND(AE302*Valores!$C$2,2)</f>
        <v>0</v>
      </c>
      <c r="AG302" s="125">
        <v>0</v>
      </c>
      <c r="AH302" s="125">
        <f t="shared" si="46"/>
        <v>45284.770000000004</v>
      </c>
      <c r="AI302" s="125">
        <v>0</v>
      </c>
      <c r="AJ302" s="125">
        <v>0</v>
      </c>
      <c r="AK302" s="125">
        <v>0</v>
      </c>
      <c r="AL302" s="125">
        <v>0</v>
      </c>
      <c r="AM302" s="125">
        <f t="shared" si="44"/>
        <v>0</v>
      </c>
      <c r="AN302" s="125">
        <f>AH302*Valores!$C$71</f>
        <v>-4981.3247</v>
      </c>
      <c r="AO302" s="125">
        <f>AH302*-Valores!$C$72</f>
        <v>0</v>
      </c>
      <c r="AP302" s="125">
        <f>AH302*Valores!$C$73</f>
        <v>-2037.81465</v>
      </c>
      <c r="AQ302" s="125">
        <v>0</v>
      </c>
      <c r="AR302" s="125">
        <v>0</v>
      </c>
      <c r="AS302" s="125">
        <f t="shared" si="47"/>
        <v>38265.63065000001</v>
      </c>
      <c r="AT302" s="125">
        <f t="shared" si="41"/>
        <v>-4981.3247</v>
      </c>
      <c r="AU302" s="125">
        <f>AH302*Valores!$C$74</f>
        <v>-1222.6887900000002</v>
      </c>
      <c r="AV302" s="125">
        <f>AH302*Valores!$C$75</f>
        <v>-135.85431000000003</v>
      </c>
      <c r="AW302" s="125">
        <f t="shared" si="45"/>
        <v>38944.902200000004</v>
      </c>
      <c r="AX302" s="126"/>
      <c r="AY302" s="126"/>
      <c r="AZ302" s="123" t="s">
        <v>4</v>
      </c>
      <c r="BA302" s="110"/>
      <c r="BB302" s="110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</row>
    <row r="303" spans="1:1020" s="141" customFormat="1" ht="11.25" customHeight="1">
      <c r="A303" s="126"/>
      <c r="B303" s="140">
        <v>1</v>
      </c>
      <c r="C303" s="126">
        <v>296</v>
      </c>
      <c r="D303" s="127" t="s">
        <v>477</v>
      </c>
      <c r="E303" s="193">
        <v>500</v>
      </c>
      <c r="F303" s="125">
        <f>ROUND(E303*Valores!$C$2,2)</f>
        <v>20340.9</v>
      </c>
      <c r="G303" s="191">
        <v>0</v>
      </c>
      <c r="H303" s="125">
        <f>ROUND(G303*Valores!$C$2,2)</f>
        <v>0</v>
      </c>
      <c r="I303" s="191">
        <v>0</v>
      </c>
      <c r="J303" s="125">
        <f>ROUND(I303*Valores!$C$2,2)</f>
        <v>0</v>
      </c>
      <c r="K303" s="191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4141.22</v>
      </c>
      <c r="N303" s="125">
        <f t="shared" si="42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7267.200000000001</v>
      </c>
      <c r="S303" s="125">
        <v>0</v>
      </c>
      <c r="T303" s="125">
        <f t="shared" si="51"/>
        <v>0</v>
      </c>
      <c r="U303" s="125">
        <v>0</v>
      </c>
      <c r="V303" s="125">
        <v>0</v>
      </c>
      <c r="W303" s="191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0">
        <v>0</v>
      </c>
      <c r="AC303" s="125">
        <f t="shared" si="43"/>
        <v>0</v>
      </c>
      <c r="AD303" s="125">
        <v>0</v>
      </c>
      <c r="AE303" s="191">
        <v>0</v>
      </c>
      <c r="AF303" s="125">
        <f>ROUND(AE303*Valores!$C$2,2)</f>
        <v>0</v>
      </c>
      <c r="AG303" s="125">
        <v>0</v>
      </c>
      <c r="AH303" s="125">
        <f t="shared" si="46"/>
        <v>31749.320000000003</v>
      </c>
      <c r="AI303" s="125">
        <v>0</v>
      </c>
      <c r="AJ303" s="125">
        <v>0</v>
      </c>
      <c r="AK303" s="125">
        <v>0</v>
      </c>
      <c r="AL303" s="125">
        <v>0</v>
      </c>
      <c r="AM303" s="125">
        <f t="shared" si="44"/>
        <v>0</v>
      </c>
      <c r="AN303" s="125">
        <f>AH303*Valores!$C$71</f>
        <v>-3492.4252000000006</v>
      </c>
      <c r="AO303" s="125">
        <f>AH303*-Valores!$C$72</f>
        <v>0</v>
      </c>
      <c r="AP303" s="125">
        <f>AH303*Valores!$C$73</f>
        <v>-1428.7194000000002</v>
      </c>
      <c r="AQ303" s="125">
        <v>0</v>
      </c>
      <c r="AR303" s="125">
        <v>0</v>
      </c>
      <c r="AS303" s="125">
        <f t="shared" si="47"/>
        <v>26828.175400000004</v>
      </c>
      <c r="AT303" s="125">
        <f t="shared" si="41"/>
        <v>-3492.4252000000006</v>
      </c>
      <c r="AU303" s="125">
        <f>AH303*Valores!$C$74</f>
        <v>-857.2316400000001</v>
      </c>
      <c r="AV303" s="125">
        <f>AH303*Valores!$C$75</f>
        <v>-95.24796</v>
      </c>
      <c r="AW303" s="125">
        <f t="shared" si="45"/>
        <v>27304.415200000003</v>
      </c>
      <c r="AX303" s="126"/>
      <c r="AY303" s="126"/>
      <c r="AZ303" s="123" t="s">
        <v>4</v>
      </c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</row>
    <row r="304" spans="1:1020" s="141" customFormat="1" ht="11.25" customHeight="1">
      <c r="A304" s="123"/>
      <c r="B304" s="140">
        <v>1</v>
      </c>
      <c r="C304" s="126">
        <v>297</v>
      </c>
      <c r="D304" s="127" t="s">
        <v>478</v>
      </c>
      <c r="E304" s="193">
        <v>300</v>
      </c>
      <c r="F304" s="125">
        <f>ROUND(E304*Valores!$C$2,2)</f>
        <v>12204.54</v>
      </c>
      <c r="G304" s="191">
        <v>0</v>
      </c>
      <c r="H304" s="125">
        <f>ROUND(G304*Valores!$C$2,2)</f>
        <v>0</v>
      </c>
      <c r="I304" s="191">
        <v>0</v>
      </c>
      <c r="J304" s="125">
        <f>ROUND(I304*Valores!$C$2,2)</f>
        <v>0</v>
      </c>
      <c r="K304" s="191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2375.72</v>
      </c>
      <c r="N304" s="125">
        <f t="shared" si="42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3633.6000000000004</v>
      </c>
      <c r="S304" s="125">
        <v>0</v>
      </c>
      <c r="T304" s="125">
        <f t="shared" si="51"/>
        <v>0</v>
      </c>
      <c r="U304" s="125">
        <v>0</v>
      </c>
      <c r="V304" s="125">
        <v>0</v>
      </c>
      <c r="W304" s="191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0">
        <v>0</v>
      </c>
      <c r="AC304" s="125">
        <f t="shared" si="43"/>
        <v>0</v>
      </c>
      <c r="AD304" s="125">
        <v>0</v>
      </c>
      <c r="AE304" s="191">
        <v>0</v>
      </c>
      <c r="AF304" s="125">
        <f>ROUND(AE304*Valores!$C$2,2)</f>
        <v>0</v>
      </c>
      <c r="AG304" s="125">
        <v>0</v>
      </c>
      <c r="AH304" s="125">
        <f t="shared" si="46"/>
        <v>18213.86</v>
      </c>
      <c r="AI304" s="125">
        <v>0</v>
      </c>
      <c r="AJ304" s="125">
        <v>0</v>
      </c>
      <c r="AK304" s="125">
        <v>0</v>
      </c>
      <c r="AL304" s="125">
        <v>0</v>
      </c>
      <c r="AM304" s="125">
        <f t="shared" si="44"/>
        <v>0</v>
      </c>
      <c r="AN304" s="125">
        <f>AH304*Valores!$C$71</f>
        <v>-2003.5246</v>
      </c>
      <c r="AO304" s="125">
        <f>AH304*-Valores!$C$72</f>
        <v>0</v>
      </c>
      <c r="AP304" s="125">
        <f>AH304*Valores!$C$73</f>
        <v>-819.6237</v>
      </c>
      <c r="AQ304" s="125">
        <v>0</v>
      </c>
      <c r="AR304" s="125">
        <v>0</v>
      </c>
      <c r="AS304" s="125">
        <f t="shared" si="47"/>
        <v>15390.7117</v>
      </c>
      <c r="AT304" s="125">
        <f t="shared" si="41"/>
        <v>-2003.5246</v>
      </c>
      <c r="AU304" s="125">
        <f>AH304*Valores!$C$74</f>
        <v>-491.77422</v>
      </c>
      <c r="AV304" s="125">
        <f>AH304*Valores!$C$75</f>
        <v>-54.641580000000005</v>
      </c>
      <c r="AW304" s="125">
        <f t="shared" si="45"/>
        <v>15663.919600000001</v>
      </c>
      <c r="AX304" s="126"/>
      <c r="AY304" s="126"/>
      <c r="AZ304" s="123" t="s">
        <v>4</v>
      </c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</row>
    <row r="305" spans="1:1020" s="141" customFormat="1" ht="11.25" customHeight="1">
      <c r="A305" s="126"/>
      <c r="B305" s="140">
        <v>1</v>
      </c>
      <c r="C305" s="126">
        <v>298</v>
      </c>
      <c r="D305" s="127" t="s">
        <v>479</v>
      </c>
      <c r="E305" s="193">
        <v>155</v>
      </c>
      <c r="F305" s="125">
        <f>ROUND(E305*Valores!$C$2,2)</f>
        <v>6305.68</v>
      </c>
      <c r="G305" s="191">
        <v>0</v>
      </c>
      <c r="H305" s="125">
        <f>ROUND(G305*Valores!$C$2,2)</f>
        <v>0</v>
      </c>
      <c r="I305" s="191">
        <v>0</v>
      </c>
      <c r="J305" s="125">
        <f>ROUND(I305*Valores!$C$2,2)</f>
        <v>0</v>
      </c>
      <c r="K305" s="191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1054.86</v>
      </c>
      <c r="N305" s="125">
        <f t="shared" si="42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726.72</v>
      </c>
      <c r="S305" s="125">
        <v>0</v>
      </c>
      <c r="T305" s="125">
        <f t="shared" si="51"/>
        <v>0</v>
      </c>
      <c r="U305" s="125">
        <v>0</v>
      </c>
      <c r="V305" s="125">
        <v>0</v>
      </c>
      <c r="W305" s="191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0">
        <v>0</v>
      </c>
      <c r="AC305" s="125">
        <f t="shared" si="43"/>
        <v>0</v>
      </c>
      <c r="AD305" s="125">
        <v>0</v>
      </c>
      <c r="AE305" s="191">
        <v>0</v>
      </c>
      <c r="AF305" s="125">
        <f>ROUND(AE305*Valores!$C$2,2)</f>
        <v>0</v>
      </c>
      <c r="AG305" s="125">
        <v>0</v>
      </c>
      <c r="AH305" s="125">
        <f t="shared" si="46"/>
        <v>8087.26</v>
      </c>
      <c r="AI305" s="125">
        <v>0</v>
      </c>
      <c r="AJ305" s="125">
        <v>0</v>
      </c>
      <c r="AK305" s="125">
        <v>0</v>
      </c>
      <c r="AL305" s="125">
        <v>0</v>
      </c>
      <c r="AM305" s="125">
        <f t="shared" si="44"/>
        <v>0</v>
      </c>
      <c r="AN305" s="125">
        <f>AH305*Valores!$C$71</f>
        <v>-889.5986</v>
      </c>
      <c r="AO305" s="125">
        <f>AH305*-Valores!$C$72</f>
        <v>0</v>
      </c>
      <c r="AP305" s="125">
        <f>AH305*Valores!$C$73</f>
        <v>-363.9267</v>
      </c>
      <c r="AQ305" s="125">
        <v>0</v>
      </c>
      <c r="AR305" s="125">
        <v>0</v>
      </c>
      <c r="AS305" s="125">
        <f t="shared" si="47"/>
        <v>6833.7347</v>
      </c>
      <c r="AT305" s="125">
        <f t="shared" si="41"/>
        <v>-889.5986</v>
      </c>
      <c r="AU305" s="125">
        <f>AH305*Valores!$C$74</f>
        <v>-218.35602</v>
      </c>
      <c r="AV305" s="125">
        <f>AH305*Valores!$C$75</f>
        <v>-24.26178</v>
      </c>
      <c r="AW305" s="125">
        <f t="shared" si="45"/>
        <v>6955.0436</v>
      </c>
      <c r="AX305" s="126"/>
      <c r="AY305" s="126"/>
      <c r="AZ305" s="123" t="s">
        <v>4</v>
      </c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</row>
    <row r="306" spans="1:1020" s="141" customFormat="1" ht="11.25" customHeight="1">
      <c r="A306" s="123"/>
      <c r="B306" s="140">
        <v>2</v>
      </c>
      <c r="C306" s="126">
        <v>299</v>
      </c>
      <c r="D306" s="127" t="s">
        <v>480</v>
      </c>
      <c r="E306" s="193">
        <f aca="true" t="shared" si="52" ref="E306:E320">155+E305</f>
        <v>310</v>
      </c>
      <c r="F306" s="125">
        <f>ROUND(E306*Valores!$C$2,2)</f>
        <v>12611.36</v>
      </c>
      <c r="G306" s="191">
        <v>0</v>
      </c>
      <c r="H306" s="125">
        <f>ROUND(G306*Valores!$C$2,2)</f>
        <v>0</v>
      </c>
      <c r="I306" s="191">
        <v>0</v>
      </c>
      <c r="J306" s="125">
        <f>ROUND(I306*Valores!$C$2,2)</f>
        <v>0</v>
      </c>
      <c r="K306" s="191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2109.72</v>
      </c>
      <c r="N306" s="125">
        <f t="shared" si="42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1453.44</v>
      </c>
      <c r="S306" s="125">
        <v>0</v>
      </c>
      <c r="T306" s="125">
        <f t="shared" si="51"/>
        <v>0</v>
      </c>
      <c r="U306" s="125">
        <v>0</v>
      </c>
      <c r="V306" s="125">
        <v>0</v>
      </c>
      <c r="W306" s="191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0">
        <v>0</v>
      </c>
      <c r="AC306" s="125">
        <f t="shared" si="43"/>
        <v>0</v>
      </c>
      <c r="AD306" s="125">
        <v>0</v>
      </c>
      <c r="AE306" s="191">
        <v>0</v>
      </c>
      <c r="AF306" s="125">
        <f>ROUND(AE306*Valores!$C$2,2)</f>
        <v>0</v>
      </c>
      <c r="AG306" s="125">
        <v>0</v>
      </c>
      <c r="AH306" s="125">
        <f t="shared" si="46"/>
        <v>16174.52</v>
      </c>
      <c r="AI306" s="125">
        <v>0</v>
      </c>
      <c r="AJ306" s="125">
        <v>0</v>
      </c>
      <c r="AK306" s="125">
        <v>0</v>
      </c>
      <c r="AL306" s="125">
        <v>0</v>
      </c>
      <c r="AM306" s="125">
        <f t="shared" si="44"/>
        <v>0</v>
      </c>
      <c r="AN306" s="125">
        <f>AH306*Valores!$C$71</f>
        <v>-1779.1972</v>
      </c>
      <c r="AO306" s="125">
        <f>AH306*-Valores!$C$72</f>
        <v>0</v>
      </c>
      <c r="AP306" s="125">
        <f>AH306*Valores!$C$73</f>
        <v>-727.8534</v>
      </c>
      <c r="AQ306" s="125">
        <v>0</v>
      </c>
      <c r="AR306" s="125">
        <v>0</v>
      </c>
      <c r="AS306" s="125">
        <f t="shared" si="47"/>
        <v>13667.4694</v>
      </c>
      <c r="AT306" s="125">
        <f t="shared" si="41"/>
        <v>-1779.1972</v>
      </c>
      <c r="AU306" s="125">
        <f>AH306*Valores!$C$74</f>
        <v>-436.71204</v>
      </c>
      <c r="AV306" s="125">
        <f>AH306*Valores!$C$75</f>
        <v>-48.52356</v>
      </c>
      <c r="AW306" s="125">
        <f t="shared" si="45"/>
        <v>13910.0872</v>
      </c>
      <c r="AX306" s="126"/>
      <c r="AY306" s="126"/>
      <c r="AZ306" s="123" t="s">
        <v>4</v>
      </c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</row>
    <row r="307" spans="1:1020" s="141" customFormat="1" ht="11.25" customHeight="1">
      <c r="A307" s="123"/>
      <c r="B307" s="140">
        <v>3</v>
      </c>
      <c r="C307" s="126">
        <v>300</v>
      </c>
      <c r="D307" s="127" t="s">
        <v>481</v>
      </c>
      <c r="E307" s="193">
        <f t="shared" si="52"/>
        <v>465</v>
      </c>
      <c r="F307" s="125">
        <f>ROUND(E307*Valores!$C$2,2)</f>
        <v>18917.04</v>
      </c>
      <c r="G307" s="191">
        <v>0</v>
      </c>
      <c r="H307" s="125">
        <f>ROUND(G307*Valores!$C$2,2)</f>
        <v>0</v>
      </c>
      <c r="I307" s="191">
        <v>0</v>
      </c>
      <c r="J307" s="125">
        <f>ROUND(I307*Valores!$C$2,2)</f>
        <v>0</v>
      </c>
      <c r="K307" s="191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3164.58</v>
      </c>
      <c r="N307" s="125">
        <f t="shared" si="42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2180.16</v>
      </c>
      <c r="S307" s="125">
        <v>0</v>
      </c>
      <c r="T307" s="125">
        <f t="shared" si="51"/>
        <v>0</v>
      </c>
      <c r="U307" s="125">
        <v>0</v>
      </c>
      <c r="V307" s="125">
        <v>0</v>
      </c>
      <c r="W307" s="191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0">
        <v>0</v>
      </c>
      <c r="AC307" s="125">
        <f t="shared" si="43"/>
        <v>0</v>
      </c>
      <c r="AD307" s="125">
        <v>0</v>
      </c>
      <c r="AE307" s="191">
        <v>0</v>
      </c>
      <c r="AF307" s="125">
        <f>ROUND(AE307*Valores!$C$2,2)</f>
        <v>0</v>
      </c>
      <c r="AG307" s="125">
        <v>0</v>
      </c>
      <c r="AH307" s="125">
        <f t="shared" si="46"/>
        <v>24261.780000000002</v>
      </c>
      <c r="AI307" s="125">
        <v>0</v>
      </c>
      <c r="AJ307" s="125">
        <v>0</v>
      </c>
      <c r="AK307" s="125">
        <v>0</v>
      </c>
      <c r="AL307" s="125">
        <v>0</v>
      </c>
      <c r="AM307" s="125">
        <f t="shared" si="44"/>
        <v>0</v>
      </c>
      <c r="AN307" s="125">
        <f>AH307*Valores!$C$71</f>
        <v>-2668.7958000000003</v>
      </c>
      <c r="AO307" s="125">
        <f>AH307*-Valores!$C$72</f>
        <v>0</v>
      </c>
      <c r="AP307" s="125">
        <f>AH307*Valores!$C$73</f>
        <v>-1091.7801000000002</v>
      </c>
      <c r="AQ307" s="125">
        <v>0</v>
      </c>
      <c r="AR307" s="125">
        <v>0</v>
      </c>
      <c r="AS307" s="125">
        <f t="shared" si="47"/>
        <v>20501.204100000003</v>
      </c>
      <c r="AT307" s="125">
        <f t="shared" si="41"/>
        <v>-2668.7958000000003</v>
      </c>
      <c r="AU307" s="125">
        <f>AH307*Valores!$C$74</f>
        <v>-655.0680600000001</v>
      </c>
      <c r="AV307" s="125">
        <f>AH307*Valores!$C$75</f>
        <v>-72.78534</v>
      </c>
      <c r="AW307" s="125">
        <f t="shared" si="45"/>
        <v>20865.130800000003</v>
      </c>
      <c r="AX307" s="126"/>
      <c r="AY307" s="126"/>
      <c r="AZ307" s="123" t="s">
        <v>4</v>
      </c>
      <c r="BA307" s="110"/>
      <c r="BB307" s="110"/>
      <c r="BC307" s="110"/>
      <c r="BD307" s="110"/>
      <c r="BE307" s="110"/>
      <c r="BF307" s="110"/>
      <c r="BG307" s="110"/>
      <c r="BH307" s="110"/>
      <c r="BI307" s="110"/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</row>
    <row r="308" spans="1:1020" s="141" customFormat="1" ht="11.25" customHeight="1">
      <c r="A308" s="123"/>
      <c r="B308" s="140">
        <v>4</v>
      </c>
      <c r="C308" s="126">
        <v>301</v>
      </c>
      <c r="D308" s="127" t="s">
        <v>482</v>
      </c>
      <c r="E308" s="193">
        <f t="shared" si="52"/>
        <v>620</v>
      </c>
      <c r="F308" s="125">
        <f>ROUND(E308*Valores!$C$2,2)</f>
        <v>25222.72</v>
      </c>
      <c r="G308" s="191">
        <v>0</v>
      </c>
      <c r="H308" s="125">
        <f>ROUND(G308*Valores!$C$2,2)</f>
        <v>0</v>
      </c>
      <c r="I308" s="191">
        <v>0</v>
      </c>
      <c r="J308" s="125">
        <f>ROUND(I308*Valores!$C$2,2)</f>
        <v>0</v>
      </c>
      <c r="K308" s="191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4219.44</v>
      </c>
      <c r="N308" s="125">
        <f t="shared" si="42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2906.88</v>
      </c>
      <c r="S308" s="125">
        <v>0</v>
      </c>
      <c r="T308" s="125">
        <f t="shared" si="51"/>
        <v>0</v>
      </c>
      <c r="U308" s="125">
        <v>0</v>
      </c>
      <c r="V308" s="125">
        <v>0</v>
      </c>
      <c r="W308" s="191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0">
        <v>0</v>
      </c>
      <c r="AC308" s="125">
        <f t="shared" si="43"/>
        <v>0</v>
      </c>
      <c r="AD308" s="125">
        <v>0</v>
      </c>
      <c r="AE308" s="191">
        <v>0</v>
      </c>
      <c r="AF308" s="125">
        <f>ROUND(AE308*Valores!$C$2,2)</f>
        <v>0</v>
      </c>
      <c r="AG308" s="125">
        <v>0</v>
      </c>
      <c r="AH308" s="125">
        <f t="shared" si="46"/>
        <v>32349.04</v>
      </c>
      <c r="AI308" s="125">
        <v>0</v>
      </c>
      <c r="AJ308" s="125">
        <v>0</v>
      </c>
      <c r="AK308" s="125">
        <v>0</v>
      </c>
      <c r="AL308" s="125">
        <v>0</v>
      </c>
      <c r="AM308" s="125">
        <f t="shared" si="44"/>
        <v>0</v>
      </c>
      <c r="AN308" s="125">
        <f>AH308*Valores!$C$71</f>
        <v>-3558.3944</v>
      </c>
      <c r="AO308" s="125">
        <f>AH308*-Valores!$C$72</f>
        <v>0</v>
      </c>
      <c r="AP308" s="125">
        <f>AH308*Valores!$C$73</f>
        <v>-1455.7068</v>
      </c>
      <c r="AQ308" s="125">
        <v>0</v>
      </c>
      <c r="AR308" s="125">
        <v>0</v>
      </c>
      <c r="AS308" s="125">
        <f t="shared" si="47"/>
        <v>27334.9388</v>
      </c>
      <c r="AT308" s="125">
        <f t="shared" si="41"/>
        <v>-3558.3944</v>
      </c>
      <c r="AU308" s="125">
        <f>AH308*Valores!$C$74</f>
        <v>-873.42408</v>
      </c>
      <c r="AV308" s="125">
        <f>AH308*Valores!$C$75</f>
        <v>-97.04712</v>
      </c>
      <c r="AW308" s="125">
        <f t="shared" si="45"/>
        <v>27820.1744</v>
      </c>
      <c r="AX308" s="126"/>
      <c r="AY308" s="126"/>
      <c r="AZ308" s="123"/>
      <c r="BA308" s="110"/>
      <c r="BB308" s="110"/>
      <c r="BC308" s="110"/>
      <c r="BD308" s="110"/>
      <c r="BE308" s="110"/>
      <c r="BF308" s="110"/>
      <c r="BG308" s="110"/>
      <c r="BH308" s="110"/>
      <c r="BI308" s="110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</row>
    <row r="309" spans="1:1020" s="141" customFormat="1" ht="11.25" customHeight="1">
      <c r="A309" s="123"/>
      <c r="B309" s="140">
        <v>5</v>
      </c>
      <c r="C309" s="126">
        <v>302</v>
      </c>
      <c r="D309" s="127" t="s">
        <v>483</v>
      </c>
      <c r="E309" s="193">
        <f t="shared" si="52"/>
        <v>775</v>
      </c>
      <c r="F309" s="125">
        <f>ROUND(E309*Valores!$C$2,2)</f>
        <v>31528.4</v>
      </c>
      <c r="G309" s="191">
        <v>0</v>
      </c>
      <c r="H309" s="125">
        <f>ROUND(G309*Valores!$C$2,2)</f>
        <v>0</v>
      </c>
      <c r="I309" s="191">
        <v>0</v>
      </c>
      <c r="J309" s="125">
        <f>ROUND(I309*Valores!$C$2,2)</f>
        <v>0</v>
      </c>
      <c r="K309" s="191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5274.3</v>
      </c>
      <c r="N309" s="125">
        <f t="shared" si="42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3633.6000000000004</v>
      </c>
      <c r="S309" s="125">
        <v>0</v>
      </c>
      <c r="T309" s="125">
        <f t="shared" si="51"/>
        <v>0</v>
      </c>
      <c r="U309" s="125">
        <v>0</v>
      </c>
      <c r="V309" s="125">
        <v>0</v>
      </c>
      <c r="W309" s="191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0">
        <v>0</v>
      </c>
      <c r="AC309" s="125">
        <f t="shared" si="43"/>
        <v>0</v>
      </c>
      <c r="AD309" s="125">
        <v>0</v>
      </c>
      <c r="AE309" s="191">
        <v>0</v>
      </c>
      <c r="AF309" s="125">
        <f>ROUND(AE309*Valores!$C$2,2)</f>
        <v>0</v>
      </c>
      <c r="AG309" s="125">
        <v>0</v>
      </c>
      <c r="AH309" s="125">
        <f t="shared" si="46"/>
        <v>40436.3</v>
      </c>
      <c r="AI309" s="125">
        <v>0</v>
      </c>
      <c r="AJ309" s="125">
        <v>0</v>
      </c>
      <c r="AK309" s="125">
        <v>0</v>
      </c>
      <c r="AL309" s="125">
        <v>0</v>
      </c>
      <c r="AM309" s="125">
        <f t="shared" si="44"/>
        <v>0</v>
      </c>
      <c r="AN309" s="125">
        <f>AH309*Valores!$C$71</f>
        <v>-4447.993</v>
      </c>
      <c r="AO309" s="125">
        <f>AH309*-Valores!$C$72</f>
        <v>0</v>
      </c>
      <c r="AP309" s="125">
        <f>AH309*Valores!$C$73</f>
        <v>-1819.6335000000001</v>
      </c>
      <c r="AQ309" s="125">
        <v>0</v>
      </c>
      <c r="AR309" s="125">
        <v>0</v>
      </c>
      <c r="AS309" s="125">
        <f t="shared" si="47"/>
        <v>34168.673500000004</v>
      </c>
      <c r="AT309" s="125">
        <f t="shared" si="41"/>
        <v>-4447.993</v>
      </c>
      <c r="AU309" s="125">
        <f>AH309*Valores!$C$74</f>
        <v>-1091.7801000000002</v>
      </c>
      <c r="AV309" s="125">
        <f>AH309*Valores!$C$75</f>
        <v>-121.30890000000001</v>
      </c>
      <c r="AW309" s="125">
        <f t="shared" si="45"/>
        <v>34775.218</v>
      </c>
      <c r="AX309" s="126"/>
      <c r="AY309" s="126"/>
      <c r="AZ309" s="123"/>
      <c r="BA309" s="110"/>
      <c r="BB309" s="110"/>
      <c r="BC309" s="110"/>
      <c r="BD309" s="110"/>
      <c r="BE309" s="110"/>
      <c r="BF309" s="110"/>
      <c r="BG309" s="110"/>
      <c r="BH309" s="110"/>
      <c r="BI309" s="110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</row>
    <row r="310" spans="1:1020" s="141" customFormat="1" ht="11.25" customHeight="1">
      <c r="A310" s="123"/>
      <c r="B310" s="140">
        <v>6</v>
      </c>
      <c r="C310" s="126">
        <v>303</v>
      </c>
      <c r="D310" s="127" t="s">
        <v>484</v>
      </c>
      <c r="E310" s="193">
        <f t="shared" si="52"/>
        <v>930</v>
      </c>
      <c r="F310" s="125">
        <f>ROUND(E310*Valores!$C$2,2)</f>
        <v>37834.07</v>
      </c>
      <c r="G310" s="191">
        <v>0</v>
      </c>
      <c r="H310" s="125">
        <f>ROUND(G310*Valores!$C$2,2)</f>
        <v>0</v>
      </c>
      <c r="I310" s="191">
        <v>0</v>
      </c>
      <c r="J310" s="125">
        <f>ROUND(I310*Valores!$C$2,2)</f>
        <v>0</v>
      </c>
      <c r="K310" s="191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6329.16</v>
      </c>
      <c r="N310" s="125">
        <f t="shared" si="42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4360.32</v>
      </c>
      <c r="S310" s="125">
        <v>0</v>
      </c>
      <c r="T310" s="125">
        <f t="shared" si="51"/>
        <v>0</v>
      </c>
      <c r="U310" s="125">
        <v>0</v>
      </c>
      <c r="V310" s="125">
        <v>0</v>
      </c>
      <c r="W310" s="191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0">
        <v>0</v>
      </c>
      <c r="AC310" s="125">
        <f t="shared" si="43"/>
        <v>0</v>
      </c>
      <c r="AD310" s="125">
        <v>0</v>
      </c>
      <c r="AE310" s="191">
        <v>0</v>
      </c>
      <c r="AF310" s="125">
        <f>ROUND(AE310*Valores!$C$2,2)</f>
        <v>0</v>
      </c>
      <c r="AG310" s="125">
        <v>0</v>
      </c>
      <c r="AH310" s="125">
        <f t="shared" si="46"/>
        <v>48523.549999999996</v>
      </c>
      <c r="AI310" s="125">
        <v>0</v>
      </c>
      <c r="AJ310" s="125">
        <v>0</v>
      </c>
      <c r="AK310" s="125">
        <v>0</v>
      </c>
      <c r="AL310" s="125">
        <v>0</v>
      </c>
      <c r="AM310" s="125">
        <f t="shared" si="44"/>
        <v>0</v>
      </c>
      <c r="AN310" s="125">
        <f>AH310*Valores!$C$71</f>
        <v>-5337.590499999999</v>
      </c>
      <c r="AO310" s="125">
        <f>AH310*-Valores!$C$72</f>
        <v>0</v>
      </c>
      <c r="AP310" s="125">
        <f>AH310*Valores!$C$73</f>
        <v>-2183.55975</v>
      </c>
      <c r="AQ310" s="125">
        <v>0</v>
      </c>
      <c r="AR310" s="125">
        <v>0</v>
      </c>
      <c r="AS310" s="125">
        <f t="shared" si="47"/>
        <v>41002.39975</v>
      </c>
      <c r="AT310" s="125">
        <f t="shared" si="41"/>
        <v>-5337.590499999999</v>
      </c>
      <c r="AU310" s="125">
        <f>AH310*Valores!$C$74</f>
        <v>-1310.13585</v>
      </c>
      <c r="AV310" s="125">
        <f>AH310*Valores!$C$75</f>
        <v>-145.57065</v>
      </c>
      <c r="AW310" s="125">
        <f t="shared" si="45"/>
        <v>41730.253</v>
      </c>
      <c r="AX310" s="126"/>
      <c r="AY310" s="126"/>
      <c r="AZ310" s="123"/>
      <c r="BA310" s="110"/>
      <c r="BB310" s="110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</row>
    <row r="311" spans="1:1020" s="141" customFormat="1" ht="11.25" customHeight="1">
      <c r="A311" s="123"/>
      <c r="B311" s="140">
        <v>7</v>
      </c>
      <c r="C311" s="126">
        <v>304</v>
      </c>
      <c r="D311" s="127" t="s">
        <v>485</v>
      </c>
      <c r="E311" s="193">
        <f t="shared" si="52"/>
        <v>1085</v>
      </c>
      <c r="F311" s="125">
        <f>ROUND(E311*Valores!$C$2,2)</f>
        <v>44139.75</v>
      </c>
      <c r="G311" s="191">
        <v>0</v>
      </c>
      <c r="H311" s="125">
        <f>ROUND(G311*Valores!$C$2,2)</f>
        <v>0</v>
      </c>
      <c r="I311" s="191">
        <v>0</v>
      </c>
      <c r="J311" s="125">
        <f>ROUND(I311*Valores!$C$2,2)</f>
        <v>0</v>
      </c>
      <c r="K311" s="191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7384.02</v>
      </c>
      <c r="N311" s="125">
        <f t="shared" si="42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5087.04</v>
      </c>
      <c r="S311" s="125">
        <v>0</v>
      </c>
      <c r="T311" s="125">
        <f t="shared" si="51"/>
        <v>0</v>
      </c>
      <c r="U311" s="125">
        <v>0</v>
      </c>
      <c r="V311" s="125">
        <v>0</v>
      </c>
      <c r="W311" s="191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0">
        <v>0</v>
      </c>
      <c r="AC311" s="125">
        <f t="shared" si="43"/>
        <v>0</v>
      </c>
      <c r="AD311" s="125">
        <v>0</v>
      </c>
      <c r="AE311" s="191">
        <v>0</v>
      </c>
      <c r="AF311" s="125">
        <f>ROUND(AE311*Valores!$C$2,2)</f>
        <v>0</v>
      </c>
      <c r="AG311" s="125">
        <v>0</v>
      </c>
      <c r="AH311" s="125">
        <f t="shared" si="46"/>
        <v>56610.810000000005</v>
      </c>
      <c r="AI311" s="125">
        <v>0</v>
      </c>
      <c r="AJ311" s="125">
        <v>0</v>
      </c>
      <c r="AK311" s="125">
        <v>0</v>
      </c>
      <c r="AL311" s="125">
        <v>0</v>
      </c>
      <c r="AM311" s="125">
        <f t="shared" si="44"/>
        <v>0</v>
      </c>
      <c r="AN311" s="125">
        <f>AH311*Valores!$C$71</f>
        <v>-6227.1891000000005</v>
      </c>
      <c r="AO311" s="125">
        <f>AH311*-Valores!$C$72</f>
        <v>0</v>
      </c>
      <c r="AP311" s="125">
        <f>AH311*Valores!$C$73</f>
        <v>-2547.4864500000003</v>
      </c>
      <c r="AQ311" s="125">
        <v>0</v>
      </c>
      <c r="AR311" s="125">
        <v>0</v>
      </c>
      <c r="AS311" s="125">
        <f t="shared" si="47"/>
        <v>47836.134450000005</v>
      </c>
      <c r="AT311" s="125">
        <f t="shared" si="41"/>
        <v>-6227.1891000000005</v>
      </c>
      <c r="AU311" s="125">
        <f>AH311*Valores!$C$74</f>
        <v>-1528.49187</v>
      </c>
      <c r="AV311" s="125">
        <f>AH311*Valores!$C$75</f>
        <v>-169.83243000000002</v>
      </c>
      <c r="AW311" s="125">
        <f t="shared" si="45"/>
        <v>48685.2966</v>
      </c>
      <c r="AX311" s="126"/>
      <c r="AY311" s="126"/>
      <c r="AZ311" s="123"/>
      <c r="BA311" s="110"/>
      <c r="BB311" s="110"/>
      <c r="BC311" s="110"/>
      <c r="BD311" s="110"/>
      <c r="BE311" s="110"/>
      <c r="BF311" s="110"/>
      <c r="BG311" s="110"/>
      <c r="BH311" s="110"/>
      <c r="BI311" s="110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</row>
    <row r="312" spans="1:1020" s="141" customFormat="1" ht="11.25" customHeight="1">
      <c r="A312" s="123"/>
      <c r="B312" s="140">
        <v>8</v>
      </c>
      <c r="C312" s="126">
        <v>305</v>
      </c>
      <c r="D312" s="127" t="s">
        <v>486</v>
      </c>
      <c r="E312" s="193">
        <f t="shared" si="52"/>
        <v>1240</v>
      </c>
      <c r="F312" s="125">
        <f>ROUND(E312*Valores!$C$2,2)</f>
        <v>50445.43</v>
      </c>
      <c r="G312" s="191">
        <v>0</v>
      </c>
      <c r="H312" s="125">
        <f>ROUND(G312*Valores!$C$2,2)</f>
        <v>0</v>
      </c>
      <c r="I312" s="191">
        <v>0</v>
      </c>
      <c r="J312" s="125">
        <f>ROUND(I312*Valores!$C$2,2)</f>
        <v>0</v>
      </c>
      <c r="K312" s="191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8438.88</v>
      </c>
      <c r="N312" s="125">
        <f t="shared" si="42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5813.76</v>
      </c>
      <c r="S312" s="125">
        <v>0</v>
      </c>
      <c r="T312" s="125">
        <f t="shared" si="51"/>
        <v>0</v>
      </c>
      <c r="U312" s="125">
        <v>0</v>
      </c>
      <c r="V312" s="125">
        <v>0</v>
      </c>
      <c r="W312" s="191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0">
        <v>0</v>
      </c>
      <c r="AC312" s="125">
        <f t="shared" si="43"/>
        <v>0</v>
      </c>
      <c r="AD312" s="125">
        <v>0</v>
      </c>
      <c r="AE312" s="191">
        <v>0</v>
      </c>
      <c r="AF312" s="125">
        <f>ROUND(AE312*Valores!$C$2,2)</f>
        <v>0</v>
      </c>
      <c r="AG312" s="125">
        <v>0</v>
      </c>
      <c r="AH312" s="125">
        <f t="shared" si="46"/>
        <v>64698.07</v>
      </c>
      <c r="AI312" s="125">
        <v>0</v>
      </c>
      <c r="AJ312" s="125">
        <v>0</v>
      </c>
      <c r="AK312" s="125">
        <v>0</v>
      </c>
      <c r="AL312" s="125">
        <v>0</v>
      </c>
      <c r="AM312" s="125">
        <f t="shared" si="44"/>
        <v>0</v>
      </c>
      <c r="AN312" s="125">
        <f>AH312*Valores!$C$71</f>
        <v>-7116.7877</v>
      </c>
      <c r="AO312" s="125">
        <f>AH312*-Valores!$C$72</f>
        <v>0</v>
      </c>
      <c r="AP312" s="125">
        <f>AH312*Valores!$C$73</f>
        <v>-2911.41315</v>
      </c>
      <c r="AQ312" s="125">
        <v>0</v>
      </c>
      <c r="AR312" s="125">
        <v>0</v>
      </c>
      <c r="AS312" s="125">
        <f t="shared" si="47"/>
        <v>54669.86915</v>
      </c>
      <c r="AT312" s="125">
        <f t="shared" si="41"/>
        <v>-7116.7877</v>
      </c>
      <c r="AU312" s="125">
        <f>AH312*Valores!$C$74</f>
        <v>-1746.84789</v>
      </c>
      <c r="AV312" s="125">
        <f>AH312*Valores!$C$75</f>
        <v>-194.09421</v>
      </c>
      <c r="AW312" s="125">
        <f t="shared" si="45"/>
        <v>55640.3402</v>
      </c>
      <c r="AX312" s="126"/>
      <c r="AY312" s="126"/>
      <c r="AZ312" s="123" t="s">
        <v>4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</row>
    <row r="313" spans="1:1020" s="141" customFormat="1" ht="11.25" customHeight="1">
      <c r="A313" s="123"/>
      <c r="B313" s="140">
        <v>9</v>
      </c>
      <c r="C313" s="126">
        <v>306</v>
      </c>
      <c r="D313" s="127" t="s">
        <v>487</v>
      </c>
      <c r="E313" s="193">
        <f t="shared" si="52"/>
        <v>1395</v>
      </c>
      <c r="F313" s="125">
        <f>ROUND(E313*Valores!$C$2,2)</f>
        <v>56751.11</v>
      </c>
      <c r="G313" s="191">
        <v>0</v>
      </c>
      <c r="H313" s="125">
        <f>ROUND(G313*Valores!$C$2,2)</f>
        <v>0</v>
      </c>
      <c r="I313" s="191">
        <v>0</v>
      </c>
      <c r="J313" s="125">
        <f>ROUND(I313*Valores!$C$2,2)</f>
        <v>0</v>
      </c>
      <c r="K313" s="191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9493.74</v>
      </c>
      <c r="N313" s="125">
        <f t="shared" si="42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6540.4800000000005</v>
      </c>
      <c r="S313" s="125">
        <v>0</v>
      </c>
      <c r="T313" s="125">
        <f t="shared" si="51"/>
        <v>0</v>
      </c>
      <c r="U313" s="125">
        <v>0</v>
      </c>
      <c r="V313" s="125">
        <v>0</v>
      </c>
      <c r="W313" s="191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0">
        <v>0</v>
      </c>
      <c r="AC313" s="125">
        <f t="shared" si="43"/>
        <v>0</v>
      </c>
      <c r="AD313" s="125">
        <v>0</v>
      </c>
      <c r="AE313" s="191">
        <v>0</v>
      </c>
      <c r="AF313" s="125">
        <f>ROUND(AE313*Valores!$C$2,2)</f>
        <v>0</v>
      </c>
      <c r="AG313" s="125">
        <v>0</v>
      </c>
      <c r="AH313" s="125">
        <f t="shared" si="46"/>
        <v>72785.33</v>
      </c>
      <c r="AI313" s="125">
        <v>0</v>
      </c>
      <c r="AJ313" s="125">
        <v>0</v>
      </c>
      <c r="AK313" s="125">
        <v>0</v>
      </c>
      <c r="AL313" s="125">
        <v>0</v>
      </c>
      <c r="AM313" s="125">
        <f t="shared" si="44"/>
        <v>0</v>
      </c>
      <c r="AN313" s="125">
        <f>AH313*Valores!$C$71</f>
        <v>-8006.3863</v>
      </c>
      <c r="AO313" s="125">
        <f>AH313*-Valores!$C$72</f>
        <v>0</v>
      </c>
      <c r="AP313" s="125">
        <f>AH313*Valores!$C$73</f>
        <v>-3275.33985</v>
      </c>
      <c r="AQ313" s="125">
        <v>0</v>
      </c>
      <c r="AR313" s="125">
        <v>0</v>
      </c>
      <c r="AS313" s="125">
        <f t="shared" si="47"/>
        <v>61503.60385</v>
      </c>
      <c r="AT313" s="125">
        <f t="shared" si="41"/>
        <v>-8006.3863</v>
      </c>
      <c r="AU313" s="125">
        <f>AH313*Valores!$C$74</f>
        <v>-1965.20391</v>
      </c>
      <c r="AV313" s="125">
        <f>AH313*Valores!$C$75</f>
        <v>-218.35599000000002</v>
      </c>
      <c r="AW313" s="125">
        <f t="shared" si="45"/>
        <v>62595.3838</v>
      </c>
      <c r="AX313" s="126"/>
      <c r="AY313" s="126"/>
      <c r="AZ313" s="123"/>
      <c r="BA313" s="110"/>
      <c r="BB313" s="110"/>
      <c r="BC313" s="110"/>
      <c r="BD313" s="110"/>
      <c r="BE313" s="110"/>
      <c r="BF313" s="110"/>
      <c r="BG313" s="110"/>
      <c r="BH313" s="110"/>
      <c r="BI313" s="110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</row>
    <row r="314" spans="1:1020" s="141" customFormat="1" ht="11.25" customHeight="1">
      <c r="A314" s="123"/>
      <c r="B314" s="140">
        <v>10</v>
      </c>
      <c r="C314" s="126">
        <v>307</v>
      </c>
      <c r="D314" s="127" t="s">
        <v>488</v>
      </c>
      <c r="E314" s="193">
        <f t="shared" si="52"/>
        <v>1550</v>
      </c>
      <c r="F314" s="125">
        <f>ROUND(E314*Valores!$C$2,2)</f>
        <v>63056.79</v>
      </c>
      <c r="G314" s="191">
        <v>0</v>
      </c>
      <c r="H314" s="125">
        <f>ROUND(G314*Valores!$C$2,2)</f>
        <v>0</v>
      </c>
      <c r="I314" s="191">
        <v>0</v>
      </c>
      <c r="J314" s="125">
        <f>ROUND(I314*Valores!$C$2,2)</f>
        <v>0</v>
      </c>
      <c r="K314" s="191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10548.6</v>
      </c>
      <c r="N314" s="125">
        <f t="shared" si="42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7267.200000000001</v>
      </c>
      <c r="S314" s="125">
        <v>0</v>
      </c>
      <c r="T314" s="125">
        <f t="shared" si="51"/>
        <v>0</v>
      </c>
      <c r="U314" s="125">
        <v>0</v>
      </c>
      <c r="V314" s="125">
        <v>0</v>
      </c>
      <c r="W314" s="191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0">
        <v>0</v>
      </c>
      <c r="AC314" s="125">
        <f t="shared" si="43"/>
        <v>0</v>
      </c>
      <c r="AD314" s="125">
        <v>0</v>
      </c>
      <c r="AE314" s="191">
        <v>0</v>
      </c>
      <c r="AF314" s="125">
        <f>ROUND(AE314*Valores!$C$2,2)</f>
        <v>0</v>
      </c>
      <c r="AG314" s="125">
        <v>0</v>
      </c>
      <c r="AH314" s="125">
        <f t="shared" si="46"/>
        <v>80872.59</v>
      </c>
      <c r="AI314" s="125">
        <v>0</v>
      </c>
      <c r="AJ314" s="125">
        <v>0</v>
      </c>
      <c r="AK314" s="125">
        <v>0</v>
      </c>
      <c r="AL314" s="125">
        <v>0</v>
      </c>
      <c r="AM314" s="125">
        <f t="shared" si="44"/>
        <v>0</v>
      </c>
      <c r="AN314" s="125">
        <f>AH314*Valores!$C$71</f>
        <v>-8895.9849</v>
      </c>
      <c r="AO314" s="125">
        <f>AH314*-Valores!$C$72</f>
        <v>0</v>
      </c>
      <c r="AP314" s="125">
        <f>AH314*Valores!$C$73</f>
        <v>-3639.26655</v>
      </c>
      <c r="AQ314" s="125">
        <v>0</v>
      </c>
      <c r="AR314" s="125">
        <v>0</v>
      </c>
      <c r="AS314" s="125">
        <f t="shared" si="47"/>
        <v>68337.33855</v>
      </c>
      <c r="AT314" s="125">
        <f t="shared" si="41"/>
        <v>-8895.9849</v>
      </c>
      <c r="AU314" s="125">
        <f>AH314*Valores!$C$74</f>
        <v>-2183.55993</v>
      </c>
      <c r="AV314" s="125">
        <f>AH314*Valores!$C$75</f>
        <v>-242.61777</v>
      </c>
      <c r="AW314" s="125">
        <f t="shared" si="45"/>
        <v>69550.4274</v>
      </c>
      <c r="AX314" s="126"/>
      <c r="AY314" s="126"/>
      <c r="AZ314" s="123"/>
      <c r="BA314" s="110"/>
      <c r="BB314" s="110"/>
      <c r="BC314" s="110"/>
      <c r="BD314" s="110"/>
      <c r="BE314" s="110"/>
      <c r="BF314" s="110"/>
      <c r="BG314" s="110"/>
      <c r="BH314" s="110"/>
      <c r="BI314" s="110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</row>
    <row r="315" spans="1:1020" s="141" customFormat="1" ht="11.25" customHeight="1">
      <c r="A315" s="123"/>
      <c r="B315" s="140">
        <v>11</v>
      </c>
      <c r="C315" s="126">
        <v>308</v>
      </c>
      <c r="D315" s="127" t="s">
        <v>489</v>
      </c>
      <c r="E315" s="193">
        <f t="shared" si="52"/>
        <v>1705</v>
      </c>
      <c r="F315" s="125">
        <f>ROUND(E315*Valores!$C$2,2)</f>
        <v>69362.47</v>
      </c>
      <c r="G315" s="191">
        <v>0</v>
      </c>
      <c r="H315" s="125">
        <f>ROUND(G315*Valores!$C$2,2)</f>
        <v>0</v>
      </c>
      <c r="I315" s="191">
        <v>0</v>
      </c>
      <c r="J315" s="125">
        <f>ROUND(I315*Valores!$C$2,2)</f>
        <v>0</v>
      </c>
      <c r="K315" s="191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11603.46</v>
      </c>
      <c r="N315" s="125">
        <f t="shared" si="42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7993.92</v>
      </c>
      <c r="S315" s="125">
        <v>0</v>
      </c>
      <c r="T315" s="125">
        <f t="shared" si="51"/>
        <v>0</v>
      </c>
      <c r="U315" s="125">
        <v>0</v>
      </c>
      <c r="V315" s="125">
        <v>0</v>
      </c>
      <c r="W315" s="191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0">
        <v>0</v>
      </c>
      <c r="AC315" s="125">
        <f t="shared" si="43"/>
        <v>0</v>
      </c>
      <c r="AD315" s="125">
        <v>0</v>
      </c>
      <c r="AE315" s="191">
        <v>0</v>
      </c>
      <c r="AF315" s="125">
        <f>ROUND(AE315*Valores!$C$2,2)</f>
        <v>0</v>
      </c>
      <c r="AG315" s="125">
        <v>0</v>
      </c>
      <c r="AH315" s="125">
        <f t="shared" si="46"/>
        <v>88959.84999999999</v>
      </c>
      <c r="AI315" s="125">
        <v>0</v>
      </c>
      <c r="AJ315" s="125">
        <v>0</v>
      </c>
      <c r="AK315" s="125">
        <v>0</v>
      </c>
      <c r="AL315" s="125">
        <v>0</v>
      </c>
      <c r="AM315" s="125">
        <f t="shared" si="44"/>
        <v>0</v>
      </c>
      <c r="AN315" s="125">
        <f>AH315*Valores!$C$71</f>
        <v>-9785.583499999999</v>
      </c>
      <c r="AO315" s="125">
        <f>AH315*-Valores!$C$72</f>
        <v>0</v>
      </c>
      <c r="AP315" s="125">
        <f>AH315*Valores!$C$73</f>
        <v>-4003.1932499999994</v>
      </c>
      <c r="AQ315" s="125">
        <v>0</v>
      </c>
      <c r="AR315" s="125">
        <v>0</v>
      </c>
      <c r="AS315" s="125">
        <f t="shared" si="47"/>
        <v>75171.07324999999</v>
      </c>
      <c r="AT315" s="125">
        <f t="shared" si="41"/>
        <v>-9785.583499999999</v>
      </c>
      <c r="AU315" s="125">
        <f>AH315*Valores!$C$74</f>
        <v>-2401.9159499999996</v>
      </c>
      <c r="AV315" s="125">
        <f>AH315*Valores!$C$75</f>
        <v>-266.87955</v>
      </c>
      <c r="AW315" s="125">
        <f t="shared" si="45"/>
        <v>76505.47099999999</v>
      </c>
      <c r="AX315" s="126"/>
      <c r="AY315" s="126"/>
      <c r="AZ315" s="123"/>
      <c r="BA315" s="110"/>
      <c r="BB315" s="110"/>
      <c r="BC315" s="110"/>
      <c r="BD315" s="110"/>
      <c r="BE315" s="110"/>
      <c r="BF315" s="110"/>
      <c r="BG315" s="110"/>
      <c r="BH315" s="110"/>
      <c r="BI315" s="110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</row>
    <row r="316" spans="1:1020" s="141" customFormat="1" ht="11.25" customHeight="1">
      <c r="A316" s="123"/>
      <c r="B316" s="140">
        <v>12</v>
      </c>
      <c r="C316" s="126">
        <v>309</v>
      </c>
      <c r="D316" s="127" t="s">
        <v>490</v>
      </c>
      <c r="E316" s="193">
        <f t="shared" si="52"/>
        <v>1860</v>
      </c>
      <c r="F316" s="125">
        <f>ROUND(E316*Valores!$C$2,2)</f>
        <v>75668.15</v>
      </c>
      <c r="G316" s="191">
        <v>0</v>
      </c>
      <c r="H316" s="125">
        <f>ROUND(G316*Valores!$C$2,2)</f>
        <v>0</v>
      </c>
      <c r="I316" s="191">
        <v>0</v>
      </c>
      <c r="J316" s="125">
        <f>ROUND(I316*Valores!$C$2,2)</f>
        <v>0</v>
      </c>
      <c r="K316" s="191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12658.32</v>
      </c>
      <c r="N316" s="125">
        <f t="shared" si="42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8720.64</v>
      </c>
      <c r="S316" s="125">
        <v>0</v>
      </c>
      <c r="T316" s="125">
        <f t="shared" si="51"/>
        <v>0</v>
      </c>
      <c r="U316" s="125">
        <v>0</v>
      </c>
      <c r="V316" s="125">
        <v>0</v>
      </c>
      <c r="W316" s="191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0">
        <v>0</v>
      </c>
      <c r="AC316" s="125">
        <f t="shared" si="43"/>
        <v>0</v>
      </c>
      <c r="AD316" s="125">
        <v>0</v>
      </c>
      <c r="AE316" s="191">
        <v>0</v>
      </c>
      <c r="AF316" s="125">
        <f>ROUND(AE316*Valores!$C$2,2)</f>
        <v>0</v>
      </c>
      <c r="AG316" s="125">
        <v>0</v>
      </c>
      <c r="AH316" s="125">
        <f t="shared" si="46"/>
        <v>97047.11</v>
      </c>
      <c r="AI316" s="125">
        <v>0</v>
      </c>
      <c r="AJ316" s="125">
        <v>0</v>
      </c>
      <c r="AK316" s="125">
        <v>0</v>
      </c>
      <c r="AL316" s="125">
        <v>0</v>
      </c>
      <c r="AM316" s="125">
        <f t="shared" si="44"/>
        <v>0</v>
      </c>
      <c r="AN316" s="125">
        <f>AH316*Valores!$C$71</f>
        <v>-10675.1821</v>
      </c>
      <c r="AO316" s="125">
        <f>AH316*-Valores!$C$72</f>
        <v>0</v>
      </c>
      <c r="AP316" s="125">
        <f>AH316*Valores!$C$73</f>
        <v>-4367.11995</v>
      </c>
      <c r="AQ316" s="125">
        <v>0</v>
      </c>
      <c r="AR316" s="125">
        <v>0</v>
      </c>
      <c r="AS316" s="125">
        <f t="shared" si="47"/>
        <v>82004.80795</v>
      </c>
      <c r="AT316" s="125">
        <f t="shared" si="41"/>
        <v>-10675.1821</v>
      </c>
      <c r="AU316" s="125">
        <f>AH316*Valores!$C$74</f>
        <v>-2620.27197</v>
      </c>
      <c r="AV316" s="125">
        <f>AH316*Valores!$C$75</f>
        <v>-291.14133</v>
      </c>
      <c r="AW316" s="125">
        <f t="shared" si="45"/>
        <v>83460.5146</v>
      </c>
      <c r="AX316" s="126"/>
      <c r="AY316" s="126"/>
      <c r="AZ316" s="123"/>
      <c r="BA316" s="110"/>
      <c r="BB316" s="110"/>
      <c r="BC316" s="110"/>
      <c r="BD316" s="110"/>
      <c r="BE316" s="110"/>
      <c r="BF316" s="110"/>
      <c r="BG316" s="110"/>
      <c r="BH316" s="110"/>
      <c r="BI316" s="110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</row>
    <row r="317" spans="1:1020" s="141" customFormat="1" ht="11.25" customHeight="1">
      <c r="A317" s="123"/>
      <c r="B317" s="140">
        <v>13</v>
      </c>
      <c r="C317" s="126">
        <v>310</v>
      </c>
      <c r="D317" s="127" t="s">
        <v>491</v>
      </c>
      <c r="E317" s="193">
        <f t="shared" si="52"/>
        <v>2015</v>
      </c>
      <c r="F317" s="125">
        <f>ROUND(E317*Valores!$C$2,2)</f>
        <v>81973.83</v>
      </c>
      <c r="G317" s="191">
        <v>0</v>
      </c>
      <c r="H317" s="125">
        <f>ROUND(G317*Valores!$C$2,2)</f>
        <v>0</v>
      </c>
      <c r="I317" s="191">
        <v>0</v>
      </c>
      <c r="J317" s="125">
        <f>ROUND(I317*Valores!$C$2,2)</f>
        <v>0</v>
      </c>
      <c r="K317" s="191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13713.18</v>
      </c>
      <c r="N317" s="125">
        <f t="shared" si="42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9447.36</v>
      </c>
      <c r="S317" s="125">
        <v>0</v>
      </c>
      <c r="T317" s="125">
        <f t="shared" si="51"/>
        <v>0</v>
      </c>
      <c r="U317" s="125">
        <v>0</v>
      </c>
      <c r="V317" s="125">
        <v>0</v>
      </c>
      <c r="W317" s="191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0">
        <v>0</v>
      </c>
      <c r="AC317" s="125">
        <f t="shared" si="43"/>
        <v>0</v>
      </c>
      <c r="AD317" s="125">
        <v>0</v>
      </c>
      <c r="AE317" s="191">
        <v>0</v>
      </c>
      <c r="AF317" s="125">
        <f>ROUND(AE317*Valores!$C$2,2)</f>
        <v>0</v>
      </c>
      <c r="AG317" s="125">
        <v>0</v>
      </c>
      <c r="AH317" s="125">
        <f t="shared" si="46"/>
        <v>105134.37000000001</v>
      </c>
      <c r="AI317" s="125">
        <v>0</v>
      </c>
      <c r="AJ317" s="125">
        <v>0</v>
      </c>
      <c r="AK317" s="125">
        <v>0</v>
      </c>
      <c r="AL317" s="125">
        <v>0</v>
      </c>
      <c r="AM317" s="125">
        <f t="shared" si="44"/>
        <v>0</v>
      </c>
      <c r="AN317" s="125">
        <f>AH317*Valores!$C$71</f>
        <v>-11564.780700000001</v>
      </c>
      <c r="AO317" s="125">
        <f>AH317*-Valores!$C$72</f>
        <v>0</v>
      </c>
      <c r="AP317" s="125">
        <f>AH317*Valores!$C$73</f>
        <v>-4731.04665</v>
      </c>
      <c r="AQ317" s="125">
        <v>0</v>
      </c>
      <c r="AR317" s="125">
        <v>0</v>
      </c>
      <c r="AS317" s="125">
        <f t="shared" si="47"/>
        <v>88838.54265</v>
      </c>
      <c r="AT317" s="125">
        <f t="shared" si="41"/>
        <v>-11564.780700000001</v>
      </c>
      <c r="AU317" s="125">
        <f>AH317*Valores!$C$74</f>
        <v>-2838.6279900000004</v>
      </c>
      <c r="AV317" s="125">
        <f>AH317*Valores!$C$75</f>
        <v>-315.40311</v>
      </c>
      <c r="AW317" s="125">
        <f t="shared" si="45"/>
        <v>90415.55820000001</v>
      </c>
      <c r="AX317" s="126"/>
      <c r="AY317" s="126"/>
      <c r="AZ317" s="123"/>
      <c r="BA317" s="110"/>
      <c r="BB317" s="110"/>
      <c r="BC317" s="110"/>
      <c r="BD317" s="110"/>
      <c r="BE317" s="110"/>
      <c r="BF317" s="110"/>
      <c r="BG317" s="110"/>
      <c r="BH317" s="110"/>
      <c r="BI317" s="110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</row>
    <row r="318" spans="1:1020" s="141" customFormat="1" ht="11.25" customHeight="1">
      <c r="A318" s="123"/>
      <c r="B318" s="140">
        <v>14</v>
      </c>
      <c r="C318" s="126">
        <v>311</v>
      </c>
      <c r="D318" s="127" t="s">
        <v>492</v>
      </c>
      <c r="E318" s="193">
        <f t="shared" si="52"/>
        <v>2170</v>
      </c>
      <c r="F318" s="125">
        <f>ROUND(E318*Valores!$C$2,2)</f>
        <v>88279.51</v>
      </c>
      <c r="G318" s="191">
        <v>0</v>
      </c>
      <c r="H318" s="125">
        <f>ROUND(G318*Valores!$C$2,2)</f>
        <v>0</v>
      </c>
      <c r="I318" s="191">
        <v>0</v>
      </c>
      <c r="J318" s="125">
        <f>ROUND(I318*Valores!$C$2,2)</f>
        <v>0</v>
      </c>
      <c r="K318" s="191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14768.04</v>
      </c>
      <c r="N318" s="125">
        <f t="shared" si="42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10174.08</v>
      </c>
      <c r="S318" s="125">
        <v>0</v>
      </c>
      <c r="T318" s="125">
        <f t="shared" si="51"/>
        <v>0</v>
      </c>
      <c r="U318" s="125">
        <v>0</v>
      </c>
      <c r="V318" s="125">
        <v>0</v>
      </c>
      <c r="W318" s="191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0">
        <v>0</v>
      </c>
      <c r="AC318" s="125">
        <f t="shared" si="43"/>
        <v>0</v>
      </c>
      <c r="AD318" s="125">
        <v>0</v>
      </c>
      <c r="AE318" s="191">
        <v>0</v>
      </c>
      <c r="AF318" s="125">
        <f>ROUND(AE318*Valores!$C$2,2)</f>
        <v>0</v>
      </c>
      <c r="AG318" s="125">
        <v>0</v>
      </c>
      <c r="AH318" s="125">
        <f t="shared" si="46"/>
        <v>113221.62999999999</v>
      </c>
      <c r="AI318" s="125">
        <v>0</v>
      </c>
      <c r="AJ318" s="125">
        <v>0</v>
      </c>
      <c r="AK318" s="125">
        <v>0</v>
      </c>
      <c r="AL318" s="125">
        <v>0</v>
      </c>
      <c r="AM318" s="125">
        <f t="shared" si="44"/>
        <v>0</v>
      </c>
      <c r="AN318" s="125">
        <f>AH318*Valores!$C$71</f>
        <v>-12454.379299999999</v>
      </c>
      <c r="AO318" s="125">
        <f>AH318*-Valores!$C$72</f>
        <v>0</v>
      </c>
      <c r="AP318" s="125">
        <f>AH318*Valores!$C$73</f>
        <v>-5094.973349999999</v>
      </c>
      <c r="AQ318" s="125">
        <v>0</v>
      </c>
      <c r="AR318" s="125">
        <v>0</v>
      </c>
      <c r="AS318" s="125">
        <f t="shared" si="47"/>
        <v>95672.27734999999</v>
      </c>
      <c r="AT318" s="125">
        <f t="shared" si="41"/>
        <v>-12454.379299999999</v>
      </c>
      <c r="AU318" s="125">
        <f>AH318*Valores!$C$74</f>
        <v>-3056.9840099999997</v>
      </c>
      <c r="AV318" s="125">
        <f>AH318*Valores!$C$75</f>
        <v>-339.66488999999996</v>
      </c>
      <c r="AW318" s="125">
        <f t="shared" si="45"/>
        <v>97370.60179999999</v>
      </c>
      <c r="AX318" s="126"/>
      <c r="AY318" s="126"/>
      <c r="AZ318" s="123"/>
      <c r="BA318" s="110"/>
      <c r="BB318" s="110"/>
      <c r="BC318" s="110"/>
      <c r="BD318" s="110"/>
      <c r="BE318" s="110"/>
      <c r="BF318" s="110"/>
      <c r="BG318" s="110"/>
      <c r="BH318" s="110"/>
      <c r="BI318" s="110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</row>
    <row r="319" spans="1:1020" s="141" customFormat="1" ht="11.25" customHeight="1">
      <c r="A319" s="123"/>
      <c r="B319" s="140">
        <v>15</v>
      </c>
      <c r="C319" s="126">
        <v>312</v>
      </c>
      <c r="D319" s="127" t="s">
        <v>493</v>
      </c>
      <c r="E319" s="193">
        <f t="shared" si="52"/>
        <v>2325</v>
      </c>
      <c r="F319" s="125">
        <f>ROUND(E319*Valores!$C$2,2)</f>
        <v>94585.19</v>
      </c>
      <c r="G319" s="191">
        <v>0</v>
      </c>
      <c r="H319" s="125">
        <f>ROUND(G319*Valores!$C$2,2)</f>
        <v>0</v>
      </c>
      <c r="I319" s="191">
        <v>0</v>
      </c>
      <c r="J319" s="125">
        <f>ROUND(I319*Valores!$C$2,2)</f>
        <v>0</v>
      </c>
      <c r="K319" s="191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15822.9</v>
      </c>
      <c r="N319" s="125">
        <f t="shared" si="42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10900.800000000001</v>
      </c>
      <c r="S319" s="125">
        <v>0</v>
      </c>
      <c r="T319" s="125">
        <f t="shared" si="51"/>
        <v>0</v>
      </c>
      <c r="U319" s="125">
        <v>0</v>
      </c>
      <c r="V319" s="125">
        <v>0</v>
      </c>
      <c r="W319" s="191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0">
        <v>0</v>
      </c>
      <c r="AC319" s="125">
        <f t="shared" si="43"/>
        <v>0</v>
      </c>
      <c r="AD319" s="125">
        <v>0</v>
      </c>
      <c r="AE319" s="191">
        <v>0</v>
      </c>
      <c r="AF319" s="125">
        <f>ROUND(AE319*Valores!$C$2,2)</f>
        <v>0</v>
      </c>
      <c r="AG319" s="125">
        <v>0</v>
      </c>
      <c r="AH319" s="125">
        <f t="shared" si="46"/>
        <v>121308.89</v>
      </c>
      <c r="AI319" s="125">
        <v>0</v>
      </c>
      <c r="AJ319" s="125">
        <v>0</v>
      </c>
      <c r="AK319" s="125">
        <v>0</v>
      </c>
      <c r="AL319" s="125">
        <v>0</v>
      </c>
      <c r="AM319" s="125">
        <f t="shared" si="44"/>
        <v>0</v>
      </c>
      <c r="AN319" s="125">
        <f>AH319*Valores!$C$71</f>
        <v>-13343.9779</v>
      </c>
      <c r="AO319" s="125">
        <f>AH319*-Valores!$C$72</f>
        <v>0</v>
      </c>
      <c r="AP319" s="125">
        <f>AH319*Valores!$C$73</f>
        <v>-5458.90005</v>
      </c>
      <c r="AQ319" s="125">
        <v>0</v>
      </c>
      <c r="AR319" s="125">
        <v>0</v>
      </c>
      <c r="AS319" s="125">
        <f t="shared" si="47"/>
        <v>102506.01204999999</v>
      </c>
      <c r="AT319" s="125">
        <f t="shared" si="41"/>
        <v>-13343.9779</v>
      </c>
      <c r="AU319" s="125">
        <f>AH319*Valores!$C$74</f>
        <v>-3275.34003</v>
      </c>
      <c r="AV319" s="125">
        <f>AH319*Valores!$C$75</f>
        <v>-363.92667</v>
      </c>
      <c r="AW319" s="125">
        <f t="shared" si="45"/>
        <v>104325.6454</v>
      </c>
      <c r="AX319" s="126"/>
      <c r="AY319" s="126"/>
      <c r="AZ319" s="123"/>
      <c r="BA319" s="110"/>
      <c r="BB319" s="110"/>
      <c r="BC319" s="110"/>
      <c r="BD319" s="110"/>
      <c r="BE319" s="110"/>
      <c r="BF319" s="110"/>
      <c r="BG319" s="110"/>
      <c r="BH319" s="110"/>
      <c r="BI319" s="110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</row>
    <row r="320" spans="1:1020" s="141" customFormat="1" ht="11.25" customHeight="1">
      <c r="A320" s="123"/>
      <c r="B320" s="140">
        <v>16</v>
      </c>
      <c r="C320" s="126">
        <v>313</v>
      </c>
      <c r="D320" s="127" t="s">
        <v>494</v>
      </c>
      <c r="E320" s="193">
        <f t="shared" si="52"/>
        <v>2480</v>
      </c>
      <c r="F320" s="125">
        <f>ROUND(E320*Valores!$C$2,2)</f>
        <v>100890.86</v>
      </c>
      <c r="G320" s="191">
        <v>0</v>
      </c>
      <c r="H320" s="125">
        <f>ROUND(G320*Valores!$C$2,2)</f>
        <v>0</v>
      </c>
      <c r="I320" s="191">
        <v>0</v>
      </c>
      <c r="J320" s="125">
        <f>ROUND(I320*Valores!$C$2,2)</f>
        <v>0</v>
      </c>
      <c r="K320" s="191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16877.76</v>
      </c>
      <c r="N320" s="125">
        <f t="shared" si="42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11627.52</v>
      </c>
      <c r="S320" s="125">
        <v>0</v>
      </c>
      <c r="T320" s="125">
        <f t="shared" si="51"/>
        <v>0</v>
      </c>
      <c r="U320" s="125">
        <v>0</v>
      </c>
      <c r="V320" s="125">
        <v>0</v>
      </c>
      <c r="W320" s="191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0">
        <v>0</v>
      </c>
      <c r="AC320" s="125">
        <f t="shared" si="43"/>
        <v>0</v>
      </c>
      <c r="AD320" s="125">
        <v>0</v>
      </c>
      <c r="AE320" s="191">
        <v>0</v>
      </c>
      <c r="AF320" s="125">
        <f>ROUND(AE320*Valores!$C$2,2)</f>
        <v>0</v>
      </c>
      <c r="AG320" s="125">
        <v>0</v>
      </c>
      <c r="AH320" s="125">
        <f t="shared" si="46"/>
        <v>129396.14</v>
      </c>
      <c r="AI320" s="125">
        <v>0</v>
      </c>
      <c r="AJ320" s="125">
        <v>0</v>
      </c>
      <c r="AK320" s="125">
        <v>0</v>
      </c>
      <c r="AL320" s="125">
        <v>0</v>
      </c>
      <c r="AM320" s="125">
        <f t="shared" si="44"/>
        <v>0</v>
      </c>
      <c r="AN320" s="125">
        <f>AH320*Valores!$C$71</f>
        <v>-14233.5754</v>
      </c>
      <c r="AO320" s="125">
        <f>AH320*-Valores!$C$72</f>
        <v>0</v>
      </c>
      <c r="AP320" s="125">
        <f>AH320*Valores!$C$73</f>
        <v>-5822.8263</v>
      </c>
      <c r="AQ320" s="125">
        <v>0</v>
      </c>
      <c r="AR320" s="125">
        <v>0</v>
      </c>
      <c r="AS320" s="125">
        <f t="shared" si="47"/>
        <v>109339.7383</v>
      </c>
      <c r="AT320" s="125">
        <f t="shared" si="41"/>
        <v>-14233.5754</v>
      </c>
      <c r="AU320" s="125">
        <f>AH320*Valores!$C$74</f>
        <v>-3493.69578</v>
      </c>
      <c r="AV320" s="125">
        <f>AH320*Valores!$C$75</f>
        <v>-388.18842</v>
      </c>
      <c r="AW320" s="125">
        <f t="shared" si="45"/>
        <v>111280.6804</v>
      </c>
      <c r="AX320" s="126"/>
      <c r="AY320" s="126"/>
      <c r="AZ320" s="123" t="s">
        <v>4</v>
      </c>
      <c r="BA320" s="110"/>
      <c r="BB320" s="110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</row>
    <row r="321" spans="1:1020" s="141" customFormat="1" ht="11.25" customHeight="1">
      <c r="A321" s="142" t="s">
        <v>474</v>
      </c>
      <c r="B321" s="140">
        <v>1</v>
      </c>
      <c r="C321" s="126">
        <v>314</v>
      </c>
      <c r="D321" s="127" t="s">
        <v>495</v>
      </c>
      <c r="E321" s="193">
        <v>275</v>
      </c>
      <c r="F321" s="125">
        <f>ROUND(E321*Valores!$C$2,2)</f>
        <v>11187.5</v>
      </c>
      <c r="G321" s="191">
        <v>0</v>
      </c>
      <c r="H321" s="125">
        <f>ROUND(G321*Valores!$C$2,2)</f>
        <v>0</v>
      </c>
      <c r="I321" s="191">
        <v>0</v>
      </c>
      <c r="J321" s="125">
        <f>ROUND(I321*Valores!$C$2,2)</f>
        <v>0</v>
      </c>
      <c r="K321" s="191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2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1080.45</v>
      </c>
      <c r="S321" s="125">
        <v>0</v>
      </c>
      <c r="T321" s="125">
        <f t="shared" si="51"/>
        <v>0</v>
      </c>
      <c r="U321" s="125">
        <v>0</v>
      </c>
      <c r="V321" s="125">
        <v>0</v>
      </c>
      <c r="W321" s="191">
        <v>0</v>
      </c>
      <c r="X321" s="125">
        <f>ROUND(W321*Valores!$C$2,2)</f>
        <v>0</v>
      </c>
      <c r="Y321" s="125">
        <v>0</v>
      </c>
      <c r="Z321" s="125">
        <f>Valores!$C$98</f>
        <v>2847.81</v>
      </c>
      <c r="AA321" s="125">
        <v>0</v>
      </c>
      <c r="AB321" s="210">
        <v>0</v>
      </c>
      <c r="AC321" s="125">
        <f t="shared" si="43"/>
        <v>0</v>
      </c>
      <c r="AD321" s="125">
        <v>0</v>
      </c>
      <c r="AE321" s="191">
        <v>0</v>
      </c>
      <c r="AF321" s="125">
        <f>ROUND(AE321*Valores!$C$2,2)</f>
        <v>0</v>
      </c>
      <c r="AG321" s="125">
        <f>Valores!$C$64</f>
        <v>979.1</v>
      </c>
      <c r="AH321" s="125">
        <f t="shared" si="46"/>
        <v>16094.86</v>
      </c>
      <c r="AI321" s="125">
        <f>Valores!$C$33</f>
        <v>0</v>
      </c>
      <c r="AJ321" s="125">
        <f>Valores!$C$91</f>
        <v>0</v>
      </c>
      <c r="AK321" s="125">
        <v>0</v>
      </c>
      <c r="AL321" s="125">
        <v>0</v>
      </c>
      <c r="AM321" s="125">
        <f t="shared" si="44"/>
        <v>0</v>
      </c>
      <c r="AN321" s="125">
        <f>AH321*Valores!$C$71</f>
        <v>-1770.4346</v>
      </c>
      <c r="AO321" s="125">
        <f>AH321*-Valores!$C$72</f>
        <v>0</v>
      </c>
      <c r="AP321" s="125">
        <f>AH321*Valores!$C$73</f>
        <v>-724.2687</v>
      </c>
      <c r="AQ321" s="125">
        <v>0</v>
      </c>
      <c r="AR321" s="125">
        <v>0</v>
      </c>
      <c r="AS321" s="125">
        <f t="shared" si="47"/>
        <v>13600.1567</v>
      </c>
      <c r="AT321" s="125">
        <f t="shared" si="41"/>
        <v>-1770.4346</v>
      </c>
      <c r="AU321" s="125">
        <f>AH321*Valores!$C$74</f>
        <v>-434.56122</v>
      </c>
      <c r="AV321" s="125">
        <f>AH321*Valores!$C$75</f>
        <v>-48.284580000000005</v>
      </c>
      <c r="AW321" s="125">
        <f t="shared" si="45"/>
        <v>13841.579600000001</v>
      </c>
      <c r="AX321" s="126"/>
      <c r="AY321" s="126"/>
      <c r="AZ321" s="123" t="s">
        <v>4</v>
      </c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</row>
    <row r="322" spans="1:1020" s="141" customFormat="1" ht="11.25" customHeight="1">
      <c r="A322" s="143" t="s">
        <v>474</v>
      </c>
      <c r="B322" s="140">
        <v>1</v>
      </c>
      <c r="C322" s="126">
        <v>315</v>
      </c>
      <c r="D322" s="127" t="s">
        <v>496</v>
      </c>
      <c r="E322" s="193">
        <v>245</v>
      </c>
      <c r="F322" s="125">
        <f>ROUND(E322*Valores!$C$2,2)</f>
        <v>9967.04</v>
      </c>
      <c r="G322" s="191">
        <v>0</v>
      </c>
      <c r="H322" s="125">
        <f>ROUND(G322*Valores!$C$2,2)</f>
        <v>0</v>
      </c>
      <c r="I322" s="191">
        <v>0</v>
      </c>
      <c r="J322" s="125">
        <f>ROUND(I322*Valores!$C$2,2)</f>
        <v>0</v>
      </c>
      <c r="K322" s="191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2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1080.45</v>
      </c>
      <c r="S322" s="125">
        <v>0</v>
      </c>
      <c r="T322" s="125">
        <f t="shared" si="51"/>
        <v>0</v>
      </c>
      <c r="U322" s="125">
        <v>0</v>
      </c>
      <c r="V322" s="125">
        <v>0</v>
      </c>
      <c r="W322" s="191">
        <v>0</v>
      </c>
      <c r="X322" s="125">
        <f>ROUND(W322*Valores!$C$2,2)</f>
        <v>0</v>
      </c>
      <c r="Y322" s="125">
        <v>0</v>
      </c>
      <c r="Z322" s="125">
        <f>Valores!$C$98</f>
        <v>2847.81</v>
      </c>
      <c r="AA322" s="125">
        <v>0</v>
      </c>
      <c r="AB322" s="210">
        <v>0</v>
      </c>
      <c r="AC322" s="125">
        <f t="shared" si="43"/>
        <v>0</v>
      </c>
      <c r="AD322" s="125">
        <v>0</v>
      </c>
      <c r="AE322" s="191">
        <v>0</v>
      </c>
      <c r="AF322" s="125">
        <f>ROUND(AE322*Valores!$C$2,2)</f>
        <v>0</v>
      </c>
      <c r="AG322" s="125">
        <f>Valores!$C$64</f>
        <v>979.1</v>
      </c>
      <c r="AH322" s="125">
        <f t="shared" si="46"/>
        <v>14874.400000000001</v>
      </c>
      <c r="AI322" s="125">
        <f>Valores!$C$33</f>
        <v>0</v>
      </c>
      <c r="AJ322" s="125">
        <f>Valores!$C$91</f>
        <v>0</v>
      </c>
      <c r="AK322" s="125">
        <v>0</v>
      </c>
      <c r="AL322" s="125">
        <v>0</v>
      </c>
      <c r="AM322" s="125">
        <f t="shared" si="44"/>
        <v>0</v>
      </c>
      <c r="AN322" s="125">
        <f>AH322*Valores!$C$71</f>
        <v>-1636.1840000000002</v>
      </c>
      <c r="AO322" s="125">
        <f>AH322*-Valores!$C$72</f>
        <v>0</v>
      </c>
      <c r="AP322" s="125">
        <f>AH322*Valores!$C$73</f>
        <v>-669.3480000000001</v>
      </c>
      <c r="AQ322" s="125">
        <v>0</v>
      </c>
      <c r="AR322" s="125">
        <v>0</v>
      </c>
      <c r="AS322" s="125">
        <f t="shared" si="47"/>
        <v>12568.868000000002</v>
      </c>
      <c r="AT322" s="125">
        <f t="shared" si="41"/>
        <v>-1636.1840000000002</v>
      </c>
      <c r="AU322" s="125">
        <f>AH322*Valores!$C$74</f>
        <v>-401.60880000000003</v>
      </c>
      <c r="AV322" s="125">
        <f>AH322*Valores!$C$75</f>
        <v>-44.623200000000004</v>
      </c>
      <c r="AW322" s="125">
        <f t="shared" si="45"/>
        <v>12791.984</v>
      </c>
      <c r="AX322" s="126"/>
      <c r="AY322" s="126"/>
      <c r="AZ322" s="123" t="s">
        <v>4</v>
      </c>
      <c r="BA322" s="110"/>
      <c r="BB322" s="110"/>
      <c r="BC322" s="110"/>
      <c r="BD322" s="110"/>
      <c r="BE322" s="110"/>
      <c r="BF322" s="110"/>
      <c r="BG322" s="110"/>
      <c r="BH322" s="110"/>
      <c r="BI322" s="110"/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</row>
    <row r="323" spans="1:1020" s="141" customFormat="1" ht="11.25" customHeight="1">
      <c r="A323" s="143" t="s">
        <v>474</v>
      </c>
      <c r="B323" s="140">
        <v>1</v>
      </c>
      <c r="C323" s="126">
        <v>316</v>
      </c>
      <c r="D323" s="127" t="s">
        <v>497</v>
      </c>
      <c r="E323" s="193">
        <v>238</v>
      </c>
      <c r="F323" s="125">
        <f>ROUND(E323*Valores!$C$2,2)</f>
        <v>9682.27</v>
      </c>
      <c r="G323" s="191">
        <v>0</v>
      </c>
      <c r="H323" s="125">
        <f>ROUND(G323*Valores!$C$2,2)</f>
        <v>0</v>
      </c>
      <c r="I323" s="191">
        <v>0</v>
      </c>
      <c r="J323" s="125">
        <f>ROUND(I323*Valores!$C$2,2)</f>
        <v>0</v>
      </c>
      <c r="K323" s="191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2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1080.45</v>
      </c>
      <c r="S323" s="125">
        <v>0</v>
      </c>
      <c r="T323" s="125">
        <f t="shared" si="51"/>
        <v>0</v>
      </c>
      <c r="U323" s="125">
        <v>0</v>
      </c>
      <c r="V323" s="125">
        <v>0</v>
      </c>
      <c r="W323" s="191">
        <v>0</v>
      </c>
      <c r="X323" s="125">
        <f>ROUND(W323*Valores!$C$2,2)</f>
        <v>0</v>
      </c>
      <c r="Y323" s="125">
        <v>0</v>
      </c>
      <c r="Z323" s="125">
        <f>Valores!$C$98</f>
        <v>2847.81</v>
      </c>
      <c r="AA323" s="125">
        <v>0</v>
      </c>
      <c r="AB323" s="210">
        <v>0</v>
      </c>
      <c r="AC323" s="125">
        <f t="shared" si="43"/>
        <v>0</v>
      </c>
      <c r="AD323" s="125">
        <v>0</v>
      </c>
      <c r="AE323" s="191">
        <v>0</v>
      </c>
      <c r="AF323" s="125">
        <f>ROUND(AE323*Valores!$C$2,2)</f>
        <v>0</v>
      </c>
      <c r="AG323" s="125">
        <f>Valores!$C$64</f>
        <v>979.1</v>
      </c>
      <c r="AH323" s="125">
        <f t="shared" si="46"/>
        <v>14589.630000000001</v>
      </c>
      <c r="AI323" s="125">
        <f>Valores!$C$33</f>
        <v>0</v>
      </c>
      <c r="AJ323" s="125">
        <f>Valores!$C$91</f>
        <v>0</v>
      </c>
      <c r="AK323" s="125">
        <v>0</v>
      </c>
      <c r="AL323" s="125">
        <v>0</v>
      </c>
      <c r="AM323" s="125">
        <f t="shared" si="44"/>
        <v>0</v>
      </c>
      <c r="AN323" s="125">
        <f>AH323*Valores!$C$71</f>
        <v>-1604.8593</v>
      </c>
      <c r="AO323" s="125">
        <f>AH323*-Valores!$C$72</f>
        <v>0</v>
      </c>
      <c r="AP323" s="125">
        <f>AH323*Valores!$C$73</f>
        <v>-656.53335</v>
      </c>
      <c r="AQ323" s="125">
        <v>0</v>
      </c>
      <c r="AR323" s="125">
        <v>0</v>
      </c>
      <c r="AS323" s="125">
        <f t="shared" si="47"/>
        <v>12328.237350000001</v>
      </c>
      <c r="AT323" s="125">
        <f t="shared" si="41"/>
        <v>-1604.8593</v>
      </c>
      <c r="AU323" s="125">
        <f>AH323*Valores!$C$74</f>
        <v>-393.92001000000005</v>
      </c>
      <c r="AV323" s="125">
        <f>AH323*Valores!$C$75</f>
        <v>-43.768890000000006</v>
      </c>
      <c r="AW323" s="125">
        <f t="shared" si="45"/>
        <v>12547.0818</v>
      </c>
      <c r="AX323" s="126"/>
      <c r="AY323" s="126"/>
      <c r="AZ323" s="123" t="s">
        <v>4</v>
      </c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</row>
    <row r="324" spans="1:1020" s="141" customFormat="1" ht="11.25" customHeight="1">
      <c r="A324" s="143" t="s">
        <v>474</v>
      </c>
      <c r="B324" s="140">
        <v>1</v>
      </c>
      <c r="C324" s="126">
        <v>317</v>
      </c>
      <c r="D324" s="127" t="s">
        <v>498</v>
      </c>
      <c r="E324" s="193">
        <v>245</v>
      </c>
      <c r="F324" s="125">
        <f>ROUND(E324*Valores!$C$2,2)</f>
        <v>9967.04</v>
      </c>
      <c r="G324" s="191">
        <v>0</v>
      </c>
      <c r="H324" s="125">
        <f>ROUND(G324*Valores!$C$2,2)</f>
        <v>0</v>
      </c>
      <c r="I324" s="191">
        <v>0</v>
      </c>
      <c r="J324" s="125">
        <f>ROUND(I324*Valores!$C$2,2)</f>
        <v>0</v>
      </c>
      <c r="K324" s="191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2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1080.45</v>
      </c>
      <c r="S324" s="125">
        <v>0</v>
      </c>
      <c r="T324" s="125">
        <f t="shared" si="51"/>
        <v>0</v>
      </c>
      <c r="U324" s="125">
        <v>0</v>
      </c>
      <c r="V324" s="125">
        <v>0</v>
      </c>
      <c r="W324" s="191">
        <v>0</v>
      </c>
      <c r="X324" s="125">
        <f>ROUND(W324*Valores!$C$2,2)</f>
        <v>0</v>
      </c>
      <c r="Y324" s="125">
        <v>0</v>
      </c>
      <c r="Z324" s="125">
        <f>Valores!$C$98</f>
        <v>2847.81</v>
      </c>
      <c r="AA324" s="125">
        <v>0</v>
      </c>
      <c r="AB324" s="210">
        <v>0</v>
      </c>
      <c r="AC324" s="125">
        <f t="shared" si="43"/>
        <v>0</v>
      </c>
      <c r="AD324" s="125">
        <v>0</v>
      </c>
      <c r="AE324" s="191">
        <v>0</v>
      </c>
      <c r="AF324" s="125">
        <f>ROUND(AE324*Valores!$C$2,2)</f>
        <v>0</v>
      </c>
      <c r="AG324" s="125">
        <f>Valores!$C$64</f>
        <v>979.1</v>
      </c>
      <c r="AH324" s="125">
        <f t="shared" si="46"/>
        <v>14874.400000000001</v>
      </c>
      <c r="AI324" s="125">
        <v>0</v>
      </c>
      <c r="AJ324" s="125">
        <f>Valores!$C$91</f>
        <v>0</v>
      </c>
      <c r="AK324" s="125">
        <v>0</v>
      </c>
      <c r="AL324" s="125">
        <v>0</v>
      </c>
      <c r="AM324" s="125">
        <f t="shared" si="44"/>
        <v>0</v>
      </c>
      <c r="AN324" s="125">
        <f>AH324*Valores!$C$71</f>
        <v>-1636.1840000000002</v>
      </c>
      <c r="AO324" s="125">
        <f>AH324*-Valores!$C$72</f>
        <v>0</v>
      </c>
      <c r="AP324" s="125">
        <f>AH324*Valores!$C$73</f>
        <v>-669.3480000000001</v>
      </c>
      <c r="AQ324" s="125">
        <v>0</v>
      </c>
      <c r="AR324" s="125">
        <v>0</v>
      </c>
      <c r="AS324" s="125">
        <f t="shared" si="47"/>
        <v>12568.868000000002</v>
      </c>
      <c r="AT324" s="125">
        <f t="shared" si="41"/>
        <v>-1636.1840000000002</v>
      </c>
      <c r="AU324" s="125">
        <f>AH324*Valores!$C$74</f>
        <v>-401.60880000000003</v>
      </c>
      <c r="AV324" s="125">
        <f>AH324*Valores!$C$75</f>
        <v>-44.623200000000004</v>
      </c>
      <c r="AW324" s="125">
        <f t="shared" si="45"/>
        <v>12791.984</v>
      </c>
      <c r="AX324" s="126"/>
      <c r="AY324" s="126"/>
      <c r="AZ324" s="123" t="s">
        <v>4</v>
      </c>
      <c r="BA324" s="110"/>
      <c r="BB324" s="110"/>
      <c r="BC324" s="110"/>
      <c r="BD324" s="110"/>
      <c r="BE324" s="110"/>
      <c r="BF324" s="110"/>
      <c r="BG324" s="110"/>
      <c r="BH324" s="110"/>
      <c r="BI324" s="110"/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</row>
    <row r="325" spans="1:1020" s="141" customFormat="1" ht="11.25" customHeight="1">
      <c r="A325" s="142" t="s">
        <v>474</v>
      </c>
      <c r="B325" s="140">
        <v>1</v>
      </c>
      <c r="C325" s="126">
        <v>318</v>
      </c>
      <c r="D325" s="127" t="s">
        <v>499</v>
      </c>
      <c r="E325" s="193">
        <v>243</v>
      </c>
      <c r="F325" s="125">
        <f>ROUND(E325*Valores!$C$2,2)</f>
        <v>9885.68</v>
      </c>
      <c r="G325" s="191">
        <v>0</v>
      </c>
      <c r="H325" s="125">
        <f>ROUND(G325*Valores!$C$2,2)</f>
        <v>0</v>
      </c>
      <c r="I325" s="191">
        <v>0</v>
      </c>
      <c r="J325" s="125">
        <f>ROUND(I325*Valores!$C$2,2)</f>
        <v>0</v>
      </c>
      <c r="K325" s="191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2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1080.45</v>
      </c>
      <c r="S325" s="125">
        <v>0</v>
      </c>
      <c r="T325" s="125">
        <f t="shared" si="51"/>
        <v>0</v>
      </c>
      <c r="U325" s="125">
        <v>0</v>
      </c>
      <c r="V325" s="125">
        <v>0</v>
      </c>
      <c r="W325" s="191">
        <v>0</v>
      </c>
      <c r="X325" s="125">
        <f>ROUND(W325*Valores!$C$2,2)</f>
        <v>0</v>
      </c>
      <c r="Y325" s="125">
        <v>0</v>
      </c>
      <c r="Z325" s="125">
        <f>Valores!$C$98</f>
        <v>2847.81</v>
      </c>
      <c r="AA325" s="125">
        <v>0</v>
      </c>
      <c r="AB325" s="210">
        <v>0</v>
      </c>
      <c r="AC325" s="125">
        <f t="shared" si="43"/>
        <v>0</v>
      </c>
      <c r="AD325" s="125">
        <v>0</v>
      </c>
      <c r="AE325" s="191">
        <v>0</v>
      </c>
      <c r="AF325" s="125">
        <f>ROUND(AE325*Valores!$C$2,2)</f>
        <v>0</v>
      </c>
      <c r="AG325" s="125">
        <f>Valores!$C$64</f>
        <v>979.1</v>
      </c>
      <c r="AH325" s="125">
        <f t="shared" si="46"/>
        <v>14793.04</v>
      </c>
      <c r="AI325" s="125">
        <v>0</v>
      </c>
      <c r="AJ325" s="125">
        <f>Valores!$C$91</f>
        <v>0</v>
      </c>
      <c r="AK325" s="125">
        <v>0</v>
      </c>
      <c r="AL325" s="125">
        <v>0</v>
      </c>
      <c r="AM325" s="125">
        <f t="shared" si="44"/>
        <v>0</v>
      </c>
      <c r="AN325" s="125">
        <f>AH325*Valores!$C$71</f>
        <v>-1627.2344</v>
      </c>
      <c r="AO325" s="125">
        <f>AH325*-Valores!$C$72</f>
        <v>0</v>
      </c>
      <c r="AP325" s="125">
        <f>AH325*Valores!$C$73</f>
        <v>-665.6868000000001</v>
      </c>
      <c r="AQ325" s="125">
        <v>0</v>
      </c>
      <c r="AR325" s="125">
        <v>0</v>
      </c>
      <c r="AS325" s="125">
        <f t="shared" si="47"/>
        <v>12500.1188</v>
      </c>
      <c r="AT325" s="125">
        <f t="shared" si="41"/>
        <v>-1627.2344</v>
      </c>
      <c r="AU325" s="125">
        <f>AH325*Valores!$C$74</f>
        <v>-399.41208</v>
      </c>
      <c r="AV325" s="125">
        <f>AH325*Valores!$C$75</f>
        <v>-44.37912</v>
      </c>
      <c r="AW325" s="125">
        <f t="shared" si="45"/>
        <v>12722.0144</v>
      </c>
      <c r="AX325" s="126"/>
      <c r="AY325" s="126"/>
      <c r="AZ325" s="123" t="s">
        <v>4</v>
      </c>
      <c r="BA325" s="110"/>
      <c r="BB325" s="110"/>
      <c r="BC325" s="110"/>
      <c r="BD325" s="110"/>
      <c r="BE325" s="110"/>
      <c r="BF325" s="110"/>
      <c r="BG325" s="110"/>
      <c r="BH325" s="110"/>
      <c r="BI325" s="110"/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</row>
    <row r="326" spans="1:1020" s="141" customFormat="1" ht="11.25" customHeight="1">
      <c r="A326" s="142" t="s">
        <v>474</v>
      </c>
      <c r="B326" s="123">
        <v>1</v>
      </c>
      <c r="C326" s="126">
        <v>319</v>
      </c>
      <c r="D326" s="127" t="s">
        <v>500</v>
      </c>
      <c r="E326" s="193">
        <v>235</v>
      </c>
      <c r="F326" s="125">
        <f>ROUND(E326*Valores!$C$2,2)</f>
        <v>9560.22</v>
      </c>
      <c r="G326" s="191">
        <v>0</v>
      </c>
      <c r="H326" s="125">
        <f>ROUND(G326*Valores!$C$2,2)</f>
        <v>0</v>
      </c>
      <c r="I326" s="191">
        <v>0</v>
      </c>
      <c r="J326" s="125">
        <f>ROUND(I326*Valores!$C$2,2)</f>
        <v>0</v>
      </c>
      <c r="K326" s="191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2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1080.45</v>
      </c>
      <c r="S326" s="125">
        <v>0</v>
      </c>
      <c r="T326" s="125">
        <f t="shared" si="51"/>
        <v>0</v>
      </c>
      <c r="U326" s="125">
        <v>0</v>
      </c>
      <c r="V326" s="125">
        <v>0</v>
      </c>
      <c r="W326" s="191">
        <v>0</v>
      </c>
      <c r="X326" s="125">
        <f>ROUND(W326*Valores!$C$2,2)</f>
        <v>0</v>
      </c>
      <c r="Y326" s="125">
        <v>0</v>
      </c>
      <c r="Z326" s="125">
        <f>Valores!$C$98</f>
        <v>2847.81</v>
      </c>
      <c r="AA326" s="125">
        <v>0</v>
      </c>
      <c r="AB326" s="210">
        <v>0</v>
      </c>
      <c r="AC326" s="125">
        <f t="shared" si="43"/>
        <v>0</v>
      </c>
      <c r="AD326" s="125">
        <v>0</v>
      </c>
      <c r="AE326" s="191">
        <v>0</v>
      </c>
      <c r="AF326" s="125">
        <f>ROUND(AE326*Valores!$C$2,2)</f>
        <v>0</v>
      </c>
      <c r="AG326" s="125">
        <f>Valores!$C$64</f>
        <v>979.1</v>
      </c>
      <c r="AH326" s="125">
        <f t="shared" si="46"/>
        <v>14467.58</v>
      </c>
      <c r="AI326" s="125">
        <v>0</v>
      </c>
      <c r="AJ326" s="125">
        <f>Valores!$C$91</f>
        <v>0</v>
      </c>
      <c r="AK326" s="125">
        <v>0</v>
      </c>
      <c r="AL326" s="125">
        <v>0</v>
      </c>
      <c r="AM326" s="125">
        <f t="shared" si="44"/>
        <v>0</v>
      </c>
      <c r="AN326" s="125">
        <f>AH326*Valores!$C$71</f>
        <v>-1591.4338</v>
      </c>
      <c r="AO326" s="125">
        <f>AH326*-Valores!$C$72</f>
        <v>0</v>
      </c>
      <c r="AP326" s="125">
        <f>AH326*Valores!$C$73</f>
        <v>-651.0411</v>
      </c>
      <c r="AQ326" s="125">
        <v>0</v>
      </c>
      <c r="AR326" s="125">
        <v>0</v>
      </c>
      <c r="AS326" s="125">
        <f t="shared" si="47"/>
        <v>12225.1051</v>
      </c>
      <c r="AT326" s="125">
        <f>AN326</f>
        <v>-1591.4338</v>
      </c>
      <c r="AU326" s="125">
        <f>AH326*Valores!$C$74</f>
        <v>-390.62466</v>
      </c>
      <c r="AV326" s="125">
        <f>AH326*Valores!$C$75</f>
        <v>-43.40274</v>
      </c>
      <c r="AW326" s="125">
        <f t="shared" si="45"/>
        <v>12442.1188</v>
      </c>
      <c r="AX326" s="126"/>
      <c r="AY326" s="126"/>
      <c r="AZ326" s="123" t="s">
        <v>4</v>
      </c>
      <c r="BA326" s="110"/>
      <c r="BB326" s="110"/>
      <c r="BC326" s="110"/>
      <c r="BD326" s="110"/>
      <c r="BE326" s="110"/>
      <c r="BF326" s="110"/>
      <c r="BG326" s="110"/>
      <c r="BH326" s="110"/>
      <c r="BI326" s="110"/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</row>
    <row r="328" spans="6:35" ht="11.25" customHeight="1">
      <c r="F328" s="172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30"/>
      <c r="AI328" s="131"/>
    </row>
    <row r="332" ht="12.75">
      <c r="R332" s="167"/>
    </row>
  </sheetData>
  <autoFilter ref="A7:AZ326"/>
  <mergeCells count="13">
    <mergeCell ref="A1:AL1"/>
    <mergeCell ref="AL2:AL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</mergeCells>
  <dataValidations count="3">
    <dataValidation type="list" allowBlank="1" showInputMessage="1" showErrorMessage="1" error="VALOR INCORRECTO" sqref="F3:F4 AL4:AL5">
      <formula1>$AM$3:$AM$4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659</v>
      </c>
      <c r="B1" t="s">
        <v>660</v>
      </c>
      <c r="C1" t="s">
        <v>76</v>
      </c>
      <c r="D1" t="s">
        <v>690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692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111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113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115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117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119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121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123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125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127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129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131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133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135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137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139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141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143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145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147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149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151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153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155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157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159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161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163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165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167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169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171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173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175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177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177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180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182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184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186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188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190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192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194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196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198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200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202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204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206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208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210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212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214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216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218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220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222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224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226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228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230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232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234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236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238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240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242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244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246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248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250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252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254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256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258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260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262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264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266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268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270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271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273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274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276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277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279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281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283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285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287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289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291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293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295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297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299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301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303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305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307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309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311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313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315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317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319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321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323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325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327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329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331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333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335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337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339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341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343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345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347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349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351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353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355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357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359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361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363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365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367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369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371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373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375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377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379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381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383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385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387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389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391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393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395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397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399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401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403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405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407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408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410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412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413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415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417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419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421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423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425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427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429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431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433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435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437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439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441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443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445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447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449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451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453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455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457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459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461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463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465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467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469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700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696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697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698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699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701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702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703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704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705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706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708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707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709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710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711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712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713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714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715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716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717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718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719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720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721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722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723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724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725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726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727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728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729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730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731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732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733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734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735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736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737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738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739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740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741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742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743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744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745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746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747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748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749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750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751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752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753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754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755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756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757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758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759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760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761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762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763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764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765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766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767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768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769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770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771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772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773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774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775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776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777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778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779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780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781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782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786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784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783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787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785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788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789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790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791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792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793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794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795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796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797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798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799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800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801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802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803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473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475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651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476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477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478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479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480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481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482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483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484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485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486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487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488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489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490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491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492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493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494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495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496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497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498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499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500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662</v>
      </c>
      <c r="E1" s="197">
        <v>30</v>
      </c>
      <c r="G1" s="197">
        <v>30</v>
      </c>
      <c r="I1" s="197">
        <v>30</v>
      </c>
      <c r="K1" s="197">
        <v>30</v>
      </c>
    </row>
    <row r="2" spans="1:11" ht="12.75">
      <c r="A2" s="206"/>
      <c r="B2" s="74" t="s">
        <v>691</v>
      </c>
      <c r="E2" s="204">
        <v>0</v>
      </c>
      <c r="G2" s="204">
        <v>0</v>
      </c>
      <c r="H2" s="204"/>
      <c r="I2" s="204">
        <v>0</v>
      </c>
      <c r="J2" s="204"/>
      <c r="K2" s="204">
        <v>0</v>
      </c>
    </row>
    <row r="3" spans="1:11" ht="33.75" customHeight="1">
      <c r="A3" s="201" t="s">
        <v>686</v>
      </c>
      <c r="B3" s="200" t="s">
        <v>689</v>
      </c>
      <c r="E3" s="202" t="s">
        <v>804</v>
      </c>
      <c r="F3" s="203"/>
      <c r="G3" s="202" t="s">
        <v>805</v>
      </c>
      <c r="H3" s="203"/>
      <c r="I3" s="202" t="s">
        <v>806</v>
      </c>
      <c r="J3" s="203"/>
      <c r="K3" s="202" t="s">
        <v>693</v>
      </c>
    </row>
    <row r="4" spans="2:11" ht="12.75" hidden="1">
      <c r="B4" t="s">
        <v>688</v>
      </c>
      <c r="E4" s="197">
        <f>VLOOKUP(E3,Hoja2!$A$1:$B$321,2,FALSE)</f>
        <v>224</v>
      </c>
      <c r="G4" s="197">
        <f>VLOOKUP(G3,Hoja2!$A$1:$B$321,2,FALSE)</f>
        <v>151</v>
      </c>
      <c r="I4" s="197">
        <f>VLOOKUP(I3,Hoja2!$A$1:$B$321,2,FALSE)</f>
        <v>313</v>
      </c>
      <c r="K4" s="197" t="e">
        <f>VLOOKUP(K3,Hoja2!$A$1:$B$321,2,FALSE)</f>
        <v>#N/A</v>
      </c>
    </row>
    <row r="5" spans="1:11" ht="42" customHeight="1" hidden="1">
      <c r="A5" s="74" t="s">
        <v>686</v>
      </c>
      <c r="B5" s="74"/>
      <c r="D5" s="198" t="str">
        <f>_xlfn.IFNA(VLOOKUP(E$4,'Escala Docente'!$C$8:$AW$326,2,FALSE),"SIN ESPEC")</f>
        <v>Hora Cátedra Enseñanza Media 3 hs</v>
      </c>
      <c r="E5" s="198" t="str">
        <f>D5</f>
        <v>Hora Cátedra Enseñanza Media 3 hs</v>
      </c>
      <c r="F5" s="198" t="str">
        <f>_xlfn.IFNA(VLOOKUP(G$4,'Escala Docente'!$C$8:$AW$326,2,FALSE),"SIN ESPEC")</f>
        <v>Maestro Materia Especial</v>
      </c>
      <c r="G5" s="198" t="str">
        <f>F5</f>
        <v>Maestro Materia Especial</v>
      </c>
      <c r="H5" s="198" t="str">
        <f>_xlfn.IFNA(VLOOKUP(I$4,'Escala Docente'!$C$8:$AW$326,2,FALSE),"SIN ESPEC")</f>
        <v>Prol Jor (13-515) 16 horas</v>
      </c>
      <c r="I5" s="198" t="str">
        <f>H5</f>
        <v>Prol Jor (13-515) 16 horas</v>
      </c>
      <c r="J5" s="198" t="str">
        <f>_xlfn.IFNA(VLOOKUP(K$4,'Escala Docente'!$C$8:$AW$326,2,FALSE),"SIN ESPEC")</f>
        <v>SIN ESPEC</v>
      </c>
      <c r="K5" s="198" t="str">
        <f>J5</f>
        <v>SIN ESPEC</v>
      </c>
    </row>
    <row r="6" spans="1:11" ht="12.75" customHeight="1">
      <c r="A6" t="s">
        <v>663</v>
      </c>
      <c r="C6" s="8">
        <v>0</v>
      </c>
      <c r="D6" s="205">
        <f>_xlfn.IFNA(VLOOKUP(E$4,'Escala Docente'!$C$8:$AW$326,4,FALSE),0)</f>
        <v>9641.59</v>
      </c>
      <c r="E6" s="199">
        <f>ROUND(D6*E$1/30,2)</f>
        <v>9641.59</v>
      </c>
      <c r="F6" s="205">
        <f>_xlfn.IFNA(VLOOKUP(G$4,'Escala Docente'!$C$8:$AW$326,4,FALSE),0)</f>
        <v>39502.03</v>
      </c>
      <c r="G6" s="199">
        <f>ROUND(F6*G$1/30,2)</f>
        <v>39502.03</v>
      </c>
      <c r="H6" s="205">
        <f>_xlfn.IFNA(VLOOKUP(I$4,'Escala Docente'!$C$8:$AW$326,4,FALSE),0)</f>
        <v>100890.86</v>
      </c>
      <c r="I6" s="199">
        <f>ROUND(H6*I$1/30,2)</f>
        <v>100890.86</v>
      </c>
      <c r="J6" s="205">
        <f>_xlfn.IFNA(VLOOKUP(K$4,'Escala Docente'!$C$8:$AW$326,4,FALSE),0)</f>
        <v>0</v>
      </c>
      <c r="K6" s="199">
        <f>ROUND(J6*K$1/30,2)</f>
        <v>0</v>
      </c>
    </row>
    <row r="7" spans="1:11" ht="12.75" customHeight="1">
      <c r="A7" t="s">
        <v>664</v>
      </c>
      <c r="C7" s="8">
        <f>Valores!F89</f>
        <v>0</v>
      </c>
      <c r="D7" s="205">
        <f>_xlfn.IFNA(VLOOKUP(E$4,'Escala Docente'!$C$8:$AW$326,34,FALSE),0)</f>
        <v>0</v>
      </c>
      <c r="E7" s="199">
        <f>IF((ROUND(D7*E$1/30,2)+(ROUND(F7*$G$1/30,2))+ROUND(H7*$I$1/30,2)+ROUND(J7*$K$1/30,2))&gt;C7,C7,(ROUND(D7*E$1/30,2)+ROUND(F7*$G$1/30,2)+ROUND(H7*$I$1/30,2)+ROUND(J7*$K$1/30,2)))</f>
        <v>0</v>
      </c>
      <c r="F7" s="205">
        <f>_xlfn.IFNA(VLOOKUP(G$4,'Escala Docente'!$C$8:$AW$326,34,FALSE),0)</f>
        <v>0</v>
      </c>
      <c r="G7" s="199">
        <f>IF($E7&gt;0,0,ROUND($F7*G$1/30,2))</f>
        <v>0</v>
      </c>
      <c r="H7" s="205">
        <f>_xlfn.IFNA(VLOOKUP(I$4,'Escala Docente'!$C$8:$AW$326,34,FALSE),0)</f>
        <v>0</v>
      </c>
      <c r="I7" s="199">
        <f>IF($E7&gt;0,0,ROUND($H7*I$1/30,2))</f>
        <v>0</v>
      </c>
      <c r="J7" s="205">
        <f>_xlfn.IFNA(VLOOKUP(K$4,'Escala Docente'!$C$8:$AW$326,34,FALSE),0)</f>
        <v>0</v>
      </c>
      <c r="K7" s="199">
        <f>IF($E7&gt;0,0,ROUND($J7*K$1/30,2))</f>
        <v>0</v>
      </c>
    </row>
    <row r="8" spans="1:11" ht="12.75" customHeight="1">
      <c r="A8" t="s">
        <v>665</v>
      </c>
      <c r="C8" s="8">
        <f>Valores!F96</f>
        <v>56956.28</v>
      </c>
      <c r="D8" s="205">
        <f>_xlfn.IFNA(VLOOKUP(E$4,'Escala Docente'!$C$8:$AW$326,24,FALSE),0)</f>
        <v>3974.01</v>
      </c>
      <c r="E8" s="199">
        <f>IF((ROUND(D8*E$1/30,2)+(ROUND(F8*$G$1/30,2))+ROUND(H8*$I$1/30,2)+ROUND(J8*$K$1/30,2))&gt;C8,C8,(ROUND(D8*E$1/30,2)+ROUND(F8*$G$1/30,2)+ROUND(H8*$I$1/30,2)+ROUND(J8*$K$1/30,2)))</f>
        <v>32452.15</v>
      </c>
      <c r="F8" s="205">
        <f>_xlfn.IFNA(VLOOKUP(G$4,'Escala Docente'!$C$8:$AW$326,24,FALSE),0)</f>
        <v>28478.14</v>
      </c>
      <c r="G8" s="199">
        <f>IF($E8&gt;0,0,ROUND($F8*G$1/30,2))</f>
        <v>0</v>
      </c>
      <c r="H8" s="205">
        <f>_xlfn.IFNA(VLOOKUP(I$4,'Escala Docente'!$C$8:$AW$326,24,FALSE),0)</f>
        <v>0</v>
      </c>
      <c r="I8" s="199">
        <f>IF($E8&gt;0,0,ROUND($H8*I$1/30,2))</f>
        <v>0</v>
      </c>
      <c r="J8" s="205">
        <f>_xlfn.IFNA(VLOOKUP(K$4,'Escala Docente'!$C$8:$AW$326,24,FALSE),0)</f>
        <v>0</v>
      </c>
      <c r="K8" s="199">
        <f>IF($E8&gt;0,0,ROUND($J8*K$1/30,2))</f>
        <v>0</v>
      </c>
    </row>
    <row r="9" spans="1:11" ht="12.75" customHeight="1">
      <c r="A9" t="s">
        <v>666</v>
      </c>
      <c r="C9" s="8">
        <v>0</v>
      </c>
      <c r="D9" s="205">
        <f>_xlfn.IFNA(VLOOKUP(E$4,'Escala Docente'!$C$8:$AW$326,13,FALSE),0)</f>
        <v>4138.92</v>
      </c>
      <c r="E9" s="199">
        <f>ROUND(D9*E$1/30,2)</f>
        <v>4138.92</v>
      </c>
      <c r="F9" s="205">
        <f>_xlfn.IFNA(VLOOKUP(G$4,'Escala Docente'!$C$8:$AW$326,13,FALSE),0)</f>
        <v>35154.38</v>
      </c>
      <c r="G9" s="199">
        <f>ROUND(F9*G$1/30,2)</f>
        <v>35154.38</v>
      </c>
      <c r="H9" s="205">
        <f>_xlfn.IFNA(VLOOKUP(I$4,'Escala Docente'!$C$8:$AW$326,13,FALSE),0)</f>
        <v>0</v>
      </c>
      <c r="I9" s="199">
        <f>ROUND(H9*I$1/30,2)</f>
        <v>0</v>
      </c>
      <c r="J9" s="205">
        <f>_xlfn.IFNA(VLOOKUP(K$4,'Escala Docente'!$C$8:$AW$326,13,FALSE),0)</f>
        <v>0</v>
      </c>
      <c r="K9" s="199">
        <f>ROUND(J9*K$1/30,2)</f>
        <v>0</v>
      </c>
    </row>
    <row r="10" spans="1:11" ht="12.75" customHeight="1">
      <c r="A10" t="s">
        <v>667</v>
      </c>
      <c r="C10" s="8">
        <f>IF('Escala Docente'!$F$4="NO",Valores!F46,Valores!F46/2)</f>
        <v>25255.725000000002</v>
      </c>
      <c r="D10" s="205">
        <f>_xlfn.IFNA(VLOOKUP(E$4,'Escala Docente'!$C$8:$AW$326,16,FALSE),0)</f>
        <v>2180.16</v>
      </c>
      <c r="E10" s="199">
        <f>IF((ROUND(D10*E$1/30,2)+(ROUND(F10*$G$1/30,2))+ROUND(H10*$I$1/30,2)+ROUND(J10*$K$1/30,2))&gt;C10,C10,(ROUND(D10*E$1/30,2)+ROUND(F10*$G$1/30,2)+ROUND(H10*$I$1/30,2)+ROUND(J10*$K$1/30,2)))</f>
        <v>25255.725000000002</v>
      </c>
      <c r="F10" s="205">
        <f>_xlfn.IFNA(VLOOKUP(G$4,'Escala Docente'!$C$8:$AW$326,16,FALSE),0)</f>
        <v>13633.16</v>
      </c>
      <c r="G10" s="199">
        <f>IF($E10&gt;0,0,ROUND($F10*G$1/30,2))</f>
        <v>0</v>
      </c>
      <c r="H10" s="205">
        <f>_xlfn.IFNA(VLOOKUP(I$4,'Escala Docente'!$C$8:$AW$326,16,FALSE),0)</f>
        <v>11627.52</v>
      </c>
      <c r="I10" s="199">
        <f>IF($E10&gt;0,0,ROUND($H10*I$1/30,2))</f>
        <v>0</v>
      </c>
      <c r="J10" s="205">
        <f>_xlfn.IFNA(VLOOKUP(K$4,'Escala Docente'!$C$8:$AW$326,16,FALSE),0)</f>
        <v>0</v>
      </c>
      <c r="K10" s="199">
        <f>IF($E10&gt;0,0,ROUND($J10*K$1/30,2))</f>
        <v>0</v>
      </c>
    </row>
    <row r="11" spans="1:11" ht="12.75">
      <c r="A11" t="s">
        <v>668</v>
      </c>
      <c r="C11" s="8">
        <f>Valores!F26</f>
        <v>850.59</v>
      </c>
      <c r="D11" s="205">
        <f>_xlfn.IFNA(VLOOKUP(E$4,'Escala Docente'!$C$8:$AW$326,27,FALSE),0)</f>
        <v>0</v>
      </c>
      <c r="E11" s="199">
        <f>ROUND(D11*E$1/30,2)</f>
        <v>0</v>
      </c>
      <c r="F11" s="205">
        <f>_xlfn.IFNA(VLOOKUP(G$4,'Escala Docente'!$C$8:$AW$326,27,FALSE),0)</f>
        <v>0</v>
      </c>
      <c r="G11" s="199">
        <f>IF(E11&gt;=C11,0,IF((F11*G$1/30)&gt;(E11-C11),F11*G$1/30,E11-C11))</f>
        <v>0</v>
      </c>
      <c r="H11" s="205">
        <f>_xlfn.IFNA(VLOOKUP(I$4,'Escala Docente'!$C$8:$AW$326,27,FALSE),0)</f>
        <v>0</v>
      </c>
      <c r="I11" s="199">
        <f>IF(E11+G11&gt;=C11,0,IF((H11*G$1/30)&gt;(E11+G11-C11),H11*G$1/30,E11+G1-C11))</f>
        <v>0</v>
      </c>
      <c r="J11" s="205">
        <f>_xlfn.IFNA(VLOOKUP(K$4,'Escala Docente'!$C$8:$AW$326,27,FALSE),0)</f>
        <v>0</v>
      </c>
      <c r="K11" s="199">
        <f>IF(E11+G11+H11&gt;=C11,0,IF((J11*G$1/30)&gt;(E11+G11+H11-C11),J11*G$1/30,E11+G1+H11-C11))</f>
        <v>0</v>
      </c>
    </row>
    <row r="12" spans="1:11" ht="12.75" customHeight="1">
      <c r="A12" t="s">
        <v>669</v>
      </c>
      <c r="C12" s="8">
        <v>0</v>
      </c>
      <c r="D12" s="205">
        <f>_xlfn.IFNA(VLOOKUP(E$4,'Escala Docente'!$C$8:$AW$326,6,FALSE),0)</f>
        <v>0</v>
      </c>
      <c r="E12" s="199">
        <f>ROUND(D12*E$1/30,2)</f>
        <v>0</v>
      </c>
      <c r="F12" s="205">
        <f>_xlfn.IFNA(VLOOKUP(G$4,'Escala Docente'!$C$8:$AW$326,6,FALSE),0)</f>
        <v>0</v>
      </c>
      <c r="G12" s="199">
        <f>ROUND(F12*G$1/30,2)</f>
        <v>0</v>
      </c>
      <c r="H12" s="205">
        <f>_xlfn.IFNA(VLOOKUP(I$4,'Escala Docente'!$C$8:$AW$326,6,FALSE),0)</f>
        <v>0</v>
      </c>
      <c r="I12" s="199">
        <f>ROUND(H12*I$1/30,2)</f>
        <v>0</v>
      </c>
      <c r="J12" s="205">
        <f>_xlfn.IFNA(VLOOKUP(K$4,'Escala Docente'!$C$8:$AW$326,6,FALSE),0)</f>
        <v>0</v>
      </c>
      <c r="K12" s="199">
        <f>ROUND(J12*K$1/30,2)</f>
        <v>0</v>
      </c>
    </row>
    <row r="13" spans="1:11" ht="12.75" customHeight="1">
      <c r="A13" t="s">
        <v>681</v>
      </c>
      <c r="C13" s="8">
        <v>0</v>
      </c>
      <c r="D13" s="205">
        <f>_xlfn.IFNA(VLOOKUP(E$4,'Escala Docente'!$C$8:$AW$326,15,FALSE),0)</f>
        <v>0</v>
      </c>
      <c r="E13" s="199">
        <f>ROUND(D13*E$1/30,2)</f>
        <v>0</v>
      </c>
      <c r="F13" s="205">
        <f>_xlfn.IFNA(VLOOKUP(G$4,'Escala Docente'!$C$8:$AW$326,15,FALSE),0)</f>
        <v>17268.68</v>
      </c>
      <c r="G13" s="199">
        <f>ROUND(F13*G$1/30,2)</f>
        <v>17268.68</v>
      </c>
      <c r="H13" s="205">
        <f>_xlfn.IFNA(VLOOKUP(I$4,'Escala Docente'!$C$8:$AW$326,15,FALSE),0)</f>
        <v>0</v>
      </c>
      <c r="I13" s="199">
        <f>ROUND(H13*I$1/30,2)</f>
        <v>0</v>
      </c>
      <c r="J13" s="205">
        <f>_xlfn.IFNA(VLOOKUP(K$4,'Escala Docente'!$C$8:$AW$326,15,FALSE),0)</f>
        <v>0</v>
      </c>
      <c r="K13" s="199">
        <f>ROUND(J13*K$1/30,2)</f>
        <v>0</v>
      </c>
    </row>
    <row r="14" spans="1:11" ht="12.75" customHeight="1">
      <c r="A14" t="s">
        <v>670</v>
      </c>
      <c r="C14" s="8">
        <v>0</v>
      </c>
      <c r="D14" s="205">
        <f>_xlfn.IFNA(VLOOKUP(E$4,'Escala Docente'!$C$8:$AW$326,8,FALSE),0)</f>
        <v>0</v>
      </c>
      <c r="E14" s="199">
        <f>ROUND(D14*E$1/30,2)</f>
        <v>0</v>
      </c>
      <c r="F14" s="205">
        <f>_xlfn.IFNA(VLOOKUP(G$4,'Escala Docente'!$C$8:$AW$326,8,FALSE),0)</f>
        <v>0</v>
      </c>
      <c r="G14" s="199">
        <f>ROUND(F14*G$1/30,2)</f>
        <v>0</v>
      </c>
      <c r="H14" s="205">
        <f>_xlfn.IFNA(VLOOKUP(I$4,'Escala Docente'!$C$8:$AW$326,8,FALSE),0)</f>
        <v>0</v>
      </c>
      <c r="I14" s="199">
        <f>ROUND(H14*I$1/30,2)</f>
        <v>0</v>
      </c>
      <c r="J14" s="205">
        <f>_xlfn.IFNA(VLOOKUP(K$4,'Escala Docente'!$C$8:$AW$326,8,FALSE),0)</f>
        <v>0</v>
      </c>
      <c r="K14" s="199">
        <f>ROUND(J14*K$1/30,2)</f>
        <v>0</v>
      </c>
    </row>
    <row r="15" spans="1:11" ht="12.75" customHeight="1">
      <c r="A15" t="s">
        <v>671</v>
      </c>
      <c r="C15" s="8">
        <f>Valores!D5</f>
        <v>20796.54</v>
      </c>
      <c r="D15" s="205">
        <f>_xlfn.IFNA(VLOOKUP(E$4,'Escala Docente'!$C$8:$AW$326,14,FALSE),0)</f>
        <v>4159.32</v>
      </c>
      <c r="E15" s="199">
        <f>IF((ROUND(D15*E$1/30,2)+(ROUND(F15*$G$1/30,2))+ROUND(H15*$I$1/30,2)+ROUND(J15*$K$1/30,2))&gt;C15,C15,(ROUND(D15*E$1/30,2)+ROUND(F15*$G$1/30,2)+ROUND(H15*$I$1/30,2)+ROUND(J15*$K$1/30,2)))</f>
        <v>20796.54</v>
      </c>
      <c r="F15" s="205">
        <f>_xlfn.IFNA(VLOOKUP(G$4,'Escala Docente'!$C$8:$AW$326,14,FALSE),0)</f>
        <v>20796.54</v>
      </c>
      <c r="G15" s="199">
        <f>IF($E15&gt;0,0,ROUND($F15*G$1/30,2))</f>
        <v>0</v>
      </c>
      <c r="H15" s="205">
        <f>_xlfn.IFNA(VLOOKUP(I$4,'Escala Docente'!$C$8:$AW$326,14,FALSE),0)</f>
        <v>0</v>
      </c>
      <c r="I15" s="199">
        <f>IF($E15&gt;0,0,ROUND($H15*I$1/30,2))</f>
        <v>0</v>
      </c>
      <c r="J15" s="205">
        <f>_xlfn.IFNA(VLOOKUP(K$4,'Escala Docente'!$C$8:$AW$326,14,FALSE),0)</f>
        <v>0</v>
      </c>
      <c r="K15" s="199">
        <f>IF($E15&gt;0,0,ROUND($J15*K$1/30,2))</f>
        <v>0</v>
      </c>
    </row>
    <row r="16" spans="1:11" ht="12.75">
      <c r="A16" t="s">
        <v>672</v>
      </c>
      <c r="C16" s="8">
        <f>Valores!F25</f>
        <v>1276.585</v>
      </c>
      <c r="D16" s="205">
        <f>_xlfn.IFNA(VLOOKUP(E$4,'Escala Docente'!$C$8:$AW$326,25,FALSE),0)</f>
        <v>102.24</v>
      </c>
      <c r="E16" s="199">
        <f>ROUND(D16*E$1/30,2)</f>
        <v>102.24</v>
      </c>
      <c r="F16" s="205">
        <f>_xlfn.IFNA(VLOOKUP(G$4,'Escala Docente'!$C$8:$AW$326,25,FALSE),0)</f>
        <v>850.59</v>
      </c>
      <c r="G16" s="199">
        <f>IF(E16&gt;=C16,0,IF((F16*G$1/30)&gt;(E16-C16),F16*G$1/30,E16-C16))</f>
        <v>850.59</v>
      </c>
      <c r="H16" s="205">
        <f>_xlfn.IFNA(VLOOKUP(I$4,'Escala Docente'!$C$8:$AW$326,25,FALSE),0)</f>
        <v>0</v>
      </c>
      <c r="I16" s="199">
        <f>IF(E16+G16&gt;=C16,0,IF((H16*G$1/30)&gt;(E16+G16-C16),H16*G$1/30,E16+G6-C16))</f>
        <v>0</v>
      </c>
      <c r="J16" s="205">
        <f>_xlfn.IFNA(VLOOKUP(K$4,'Escala Docente'!$C$8:$AW$326,25,FALSE),0)</f>
        <v>0</v>
      </c>
      <c r="K16" s="199">
        <f>IF(E16+G16+H16&gt;=C16,0,IF((J16*G$1/30)&gt;(E16+G16+H16-C16),J16*G$1/30,E16+G6+H16-C16))</f>
        <v>0</v>
      </c>
    </row>
    <row r="17" spans="1:11" ht="12.75" customHeight="1">
      <c r="A17" t="s">
        <v>685</v>
      </c>
      <c r="C17" s="8">
        <v>0</v>
      </c>
      <c r="D17" s="205">
        <f>_xlfn.IFNA(VLOOKUP(E$4,'Escala Docente'!$C$8:$AW$326,22,FALSE),0)</f>
        <v>0</v>
      </c>
      <c r="E17" s="199">
        <f>ROUND(D17*E$1/30,2)</f>
        <v>0</v>
      </c>
      <c r="F17" s="205">
        <f>_xlfn.IFNA(VLOOKUP(G$4,'Escala Docente'!$C$8:$AW$326,22,FALSE),0)</f>
        <v>0</v>
      </c>
      <c r="G17" s="199">
        <f>ROUND(F17*G$1/30,2)</f>
        <v>0</v>
      </c>
      <c r="H17" s="205">
        <f>_xlfn.IFNA(VLOOKUP(I$4,'Escala Docente'!$C$8:$AW$326,22,FALSE),0)</f>
        <v>0</v>
      </c>
      <c r="I17" s="199">
        <f>ROUND(H17*I$1/30,2)</f>
        <v>0</v>
      </c>
      <c r="J17" s="205">
        <f>_xlfn.IFNA(VLOOKUP(K$4,'Escala Docente'!$C$8:$AW$326,22,FALSE),0)</f>
        <v>0</v>
      </c>
      <c r="K17" s="199">
        <f>ROUND(J17*K$1/30,2)</f>
        <v>0</v>
      </c>
    </row>
    <row r="18" spans="1:11" ht="12.75" customHeight="1">
      <c r="A18" t="s">
        <v>684</v>
      </c>
      <c r="C18" s="8">
        <v>0</v>
      </c>
      <c r="D18" s="205">
        <f>_xlfn.IFNA(VLOOKUP(E$4,'Escala Docente'!$C$8:$AW$326,10,FALSE),0)</f>
        <v>0</v>
      </c>
      <c r="E18" s="199">
        <f>ROUND(D18*E$1/30,2)</f>
        <v>0</v>
      </c>
      <c r="F18" s="205">
        <f>_xlfn.IFNA(VLOOKUP(G$4,'Escala Docente'!$C$8:$AW$326,10,FALSE),0)</f>
        <v>0</v>
      </c>
      <c r="G18" s="199">
        <f>ROUND(F18*G$1/30,2)</f>
        <v>0</v>
      </c>
      <c r="H18" s="205">
        <f>_xlfn.IFNA(VLOOKUP(I$4,'Escala Docente'!$C$8:$AW$326,10,FALSE),0)</f>
        <v>0</v>
      </c>
      <c r="I18" s="199">
        <f>ROUND(H18*I$1/30,2)</f>
        <v>0</v>
      </c>
      <c r="J18" s="205">
        <f>_xlfn.IFNA(VLOOKUP(K$4,'Escala Docente'!$C$8:$AW$326,10,FALSE),0)</f>
        <v>0</v>
      </c>
      <c r="K18" s="199">
        <f>ROUND(J18*K$1/30,2)</f>
        <v>0</v>
      </c>
    </row>
    <row r="19" spans="1:11" ht="12.75" customHeight="1">
      <c r="A19" s="102" t="s">
        <v>673</v>
      </c>
      <c r="B19" s="102"/>
      <c r="C19" s="8">
        <v>0</v>
      </c>
      <c r="D19" s="205">
        <f>_xlfn.IFNA(VLOOKUP(E$4,'Escala Docente'!$C$8:$AW$326,12,FALSE),0)</f>
        <v>0</v>
      </c>
      <c r="E19" s="199">
        <f>ROUND(E6+E12+E18+E10+E17,2)*'Escala Docente'!$H$2</f>
        <v>0</v>
      </c>
      <c r="F19" s="205">
        <f>_xlfn.IFNA(VLOOKUP(G$4,'Escala Docente'!$C$8:$AW$326,12,FALSE),0)</f>
        <v>0</v>
      </c>
      <c r="G19" s="199">
        <f>ROUND(G6+G12+G18+G10+G17,2)*'Escala Docente'!$H$2</f>
        <v>0</v>
      </c>
      <c r="H19" s="205">
        <f>_xlfn.IFNA(VLOOKUP(I$4,'Escala Docente'!$C$8:$AW$326,12,FALSE),0)</f>
        <v>0</v>
      </c>
      <c r="I19" s="199">
        <f>ROUND(I6+I12+I18+I10+I17,2)*'Escala Docente'!$H$2</f>
        <v>0</v>
      </c>
      <c r="J19" s="205">
        <f>_xlfn.IFNA(VLOOKUP(K$4,'Escala Docente'!$C$8:$AW$326,12,FALSE),0)</f>
        <v>0</v>
      </c>
      <c r="K19" s="199">
        <f>ROUND(K6+K12+K18+K10+K17,2)*'Escala Docente'!$H$2</f>
        <v>0</v>
      </c>
    </row>
    <row r="20" spans="1:11" ht="12.75" customHeight="1">
      <c r="A20" t="s">
        <v>680</v>
      </c>
      <c r="C20" s="8">
        <v>0</v>
      </c>
      <c r="D20" s="205">
        <f>_xlfn.IFNA(VLOOKUP(E$4,'Escala Docente'!$C$8:$AW$326,29,FALSE),0)</f>
        <v>0</v>
      </c>
      <c r="E20" s="199">
        <f>ROUND(D20*E$1/30,2)</f>
        <v>0</v>
      </c>
      <c r="F20" s="205">
        <f>_xlfn.IFNA(VLOOKUP(G$4,'Escala Docente'!$C$8:$AW$326,29,FALSE),0)</f>
        <v>0</v>
      </c>
      <c r="G20" s="199">
        <f>ROUND(F20*G$1/30,2)</f>
        <v>0</v>
      </c>
      <c r="H20" s="205">
        <f>_xlfn.IFNA(VLOOKUP(I$4,'Escala Docente'!$C$8:$AW$326,29,FALSE),0)</f>
        <v>0</v>
      </c>
      <c r="I20" s="199">
        <f>ROUND(H20*I$1/30,2)</f>
        <v>0</v>
      </c>
      <c r="J20" s="205">
        <f>_xlfn.IFNA(VLOOKUP(K$4,'Escala Docente'!$C$8:$AW$326,29,FALSE),0)</f>
        <v>0</v>
      </c>
      <c r="K20" s="199">
        <f>ROUND(J20*K$1/30,2)</f>
        <v>0</v>
      </c>
    </row>
    <row r="21" spans="1:11" ht="12.75" customHeight="1">
      <c r="A21" t="s">
        <v>674</v>
      </c>
      <c r="C21" s="8">
        <v>0</v>
      </c>
      <c r="D21" s="205">
        <f>_xlfn.IFNA(VLOOKUP(E$4,'Escala Docente'!$C$8:$AW$326,18,FALSE),0)</f>
        <v>1301.76</v>
      </c>
      <c r="E21" s="199">
        <f>ROUND(D21*E$1/30,2)</f>
        <v>1301.76</v>
      </c>
      <c r="F21" s="205">
        <f>_xlfn.IFNA(VLOOKUP(G$4,'Escala Docente'!$C$8:$AW$326,18,FALSE),0)</f>
        <v>19351.52</v>
      </c>
      <c r="G21" s="199">
        <f>ROUND(F21*G$1/30,2)</f>
        <v>19351.52</v>
      </c>
      <c r="H21" s="205">
        <f>_xlfn.IFNA(VLOOKUP(I$4,'Escala Docente'!$C$8:$AW$326,18,FALSE),0)</f>
        <v>0</v>
      </c>
      <c r="I21" s="199">
        <f>ROUND(H21*I$1/30,2)</f>
        <v>0</v>
      </c>
      <c r="J21" s="205">
        <f>_xlfn.IFNA(VLOOKUP(K$4,'Escala Docente'!$C$8:$AW$326,18,FALSE),0)</f>
        <v>0</v>
      </c>
      <c r="K21" s="199">
        <f>ROUND(J21*K$1/30,2)</f>
        <v>0</v>
      </c>
    </row>
    <row r="22" spans="1:11" ht="12.75" customHeight="1">
      <c r="A22" s="102" t="s">
        <v>678</v>
      </c>
      <c r="B22" s="102"/>
      <c r="C22" s="8">
        <v>0</v>
      </c>
      <c r="D22" s="205">
        <f>_xlfn.IFNA(VLOOKUP(E$4,'Escala Docente'!$C$8:$AW$326,26,FALSE),0)</f>
        <v>0</v>
      </c>
      <c r="E22" s="199">
        <f>ROUND(D22*E$1/30,2)</f>
        <v>0</v>
      </c>
      <c r="F22" s="205">
        <f>_xlfn.IFNA(VLOOKUP(G$4,'Escala Docente'!$C$8:$AW$326,26,FALSE),0)</f>
        <v>0</v>
      </c>
      <c r="G22" s="199">
        <f>ROUND(F22*G$1/30,2)</f>
        <v>0</v>
      </c>
      <c r="H22" s="205">
        <f>_xlfn.IFNA(VLOOKUP(I$4,'Escala Docente'!$C$8:$AW$326,26,FALSE),0)</f>
        <v>0</v>
      </c>
      <c r="I22" s="199">
        <f>ROUND(H22*I$1/30,2)</f>
        <v>0</v>
      </c>
      <c r="J22" s="205">
        <f>_xlfn.IFNA(VLOOKUP(K$4,'Escala Docente'!$C$8:$AW$326,26,FALSE),0)</f>
        <v>0</v>
      </c>
      <c r="K22" s="199">
        <f>ROUND(J22*K$1/30,2)</f>
        <v>0</v>
      </c>
    </row>
    <row r="23" spans="1:11" ht="12.75" customHeight="1">
      <c r="A23" t="s">
        <v>683</v>
      </c>
      <c r="C23" s="8">
        <v>0</v>
      </c>
      <c r="D23" s="205">
        <f>_xlfn.IFNA(VLOOKUP(E$4,'Escala Docente'!$C$8:$AW$326,23,FALSE),0)</f>
        <v>0</v>
      </c>
      <c r="E23" s="199">
        <f>ROUND(D23*E$1/30,2)</f>
        <v>0</v>
      </c>
      <c r="F23" s="205">
        <f>_xlfn.IFNA(VLOOKUP(G$4,'Escala Docente'!$C$8:$AW$326,23,FALSE),0)</f>
        <v>0</v>
      </c>
      <c r="G23" s="199">
        <f>ROUND(F23*G$1/30,2)</f>
        <v>0</v>
      </c>
      <c r="H23" s="205">
        <f>_xlfn.IFNA(VLOOKUP(I$4,'Escala Docente'!$C$8:$AW$326,23,FALSE),0)</f>
        <v>0</v>
      </c>
      <c r="I23" s="199">
        <f>ROUND(H23*I$1/30,2)</f>
        <v>0</v>
      </c>
      <c r="J23" s="205">
        <f>_xlfn.IFNA(VLOOKUP(K$4,'Escala Docente'!$C$8:$AW$326,23,FALSE),0)</f>
        <v>0</v>
      </c>
      <c r="K23" s="199">
        <f>ROUND(J23*K$1/30,2)</f>
        <v>0</v>
      </c>
    </row>
    <row r="24" spans="1:11" ht="12.75" customHeight="1">
      <c r="A24" s="74" t="s">
        <v>694</v>
      </c>
      <c r="C24" s="8">
        <f>Valores!F38</f>
        <v>0</v>
      </c>
      <c r="D24" s="205">
        <f>_xlfn.IFNA(VLOOKUP(E$4,'Escala Docente'!$C$8:$AW$326,35,FALSE),0)</f>
        <v>0</v>
      </c>
      <c r="E24" s="199">
        <f>ROUND(D24*E$1/30,2)</f>
        <v>0</v>
      </c>
      <c r="F24" s="205">
        <f>_xlfn.IFNA(VLOOKUP(G$4,'Escala Docente'!$C$8:$AW$326,35,FALSE),0)</f>
        <v>0</v>
      </c>
      <c r="G24" s="199">
        <f>ROUND(F24*G$1/30,2)</f>
        <v>0</v>
      </c>
      <c r="H24" s="205">
        <f>_xlfn.IFNA(VLOOKUP(I$4,'Escala Docente'!$C$8:$AW$326,35,FALSE),0)</f>
        <v>0</v>
      </c>
      <c r="I24" s="199">
        <f>ROUND(H24*I$1/30,2)</f>
        <v>0</v>
      </c>
      <c r="J24" s="205">
        <f>_xlfn.IFNA(VLOOKUP(K$4,'Escala Docente'!$C$8:$AW$326,35,FALSE),0)</f>
        <v>0</v>
      </c>
      <c r="K24" s="199">
        <f>ROUND(J24*K$1/30,2)</f>
        <v>0</v>
      </c>
    </row>
    <row r="25" spans="1:11" ht="12.75" customHeight="1">
      <c r="A25" t="s">
        <v>675</v>
      </c>
      <c r="C25" s="8">
        <f>IF('Escala Docente'!$F$4="NO",Valores!F63,Valores!F63/2)</f>
        <v>19448.94</v>
      </c>
      <c r="D25" s="205">
        <f>_xlfn.IFNA(VLOOKUP(E$4,'Escala Docente'!$C$8:$AW$326,30,FALSE),0)</f>
        <v>0</v>
      </c>
      <c r="E25" s="199">
        <f>IF((ROUND(D25*E$1/30,2)+(ROUND(F25*$G$1/30,2))+ROUND(H25*$I$1/30,2)+ROUND(J25*$K$1/30,2))&gt;C25,C25,(ROUND(D25*E$1/30,2)+ROUND(F25*$G$1/30,2)+ROUND(H25*$I$1/30,2)+ROUND(J25*$K$1/30,2)))</f>
        <v>0</v>
      </c>
      <c r="F25" s="205">
        <f>_xlfn.IFNA(VLOOKUP(G$4,'Escala Docente'!$C$8:$AW$326,30,FALSE),0)</f>
        <v>0</v>
      </c>
      <c r="G25" s="199">
        <f>IF($E25&gt;0,0,ROUND($F25*G$1/30,2))</f>
        <v>0</v>
      </c>
      <c r="H25" s="205">
        <f>_xlfn.IFNA(VLOOKUP(I$4,'Escala Docente'!$C$8:$AW$326,30,FALSE),0)</f>
        <v>0</v>
      </c>
      <c r="I25" s="199">
        <f>IF($E25&gt;0,0,ROUND($H25*I$1/30,2))</f>
        <v>0</v>
      </c>
      <c r="J25" s="205">
        <f>_xlfn.IFNA(VLOOKUP(K$4,'Escala Docente'!$C$8:$AW$326,30,FALSE),0)</f>
        <v>0</v>
      </c>
      <c r="K25" s="199">
        <f>IF($E25&gt;0,0,ROUND($J25*K$1/30,2))</f>
        <v>0</v>
      </c>
    </row>
    <row r="26" spans="1:11" ht="12.75" customHeight="1">
      <c r="A26" t="s">
        <v>676</v>
      </c>
      <c r="C26" s="8">
        <f>Valores!F32</f>
        <v>0</v>
      </c>
      <c r="D26" s="205">
        <f>_xlfn.IFNA(VLOOKUP(E$4,'Escala Docente'!$C$8:$AW$326,33,FALSE),0)</f>
        <v>0</v>
      </c>
      <c r="E26" s="199">
        <f>IF((ROUND(D26*E$1/30,2)+(ROUND(F26*$G$1/30,2))+ROUND(H26*$I$1/30,2)+ROUND(J26*$K$1/30,2))&gt;C26,C26,(ROUND(D26*E$1/30,2)+ROUND(F26*$G$1/30,2)+ROUND(H26*$I$1/30,2)+ROUND(J26*$K$1/30,2)))</f>
        <v>0</v>
      </c>
      <c r="F26" s="205">
        <f>_xlfn.IFNA(VLOOKUP(G$4,'Escala Docente'!$C$8:$AW$326,33,FALSE),0)</f>
        <v>0</v>
      </c>
      <c r="G26" s="199">
        <f>IF($E26&gt;0,0,ROUND($F26*G$1/30,2))</f>
        <v>0</v>
      </c>
      <c r="H26" s="205">
        <f>_xlfn.IFNA(VLOOKUP(I$4,'Escala Docente'!$C$8:$AW$326,33,FALSE),0)</f>
        <v>0</v>
      </c>
      <c r="I26" s="199">
        <f>IF($E26&gt;0,0,ROUND($H26*I$1/30,2))</f>
        <v>0</v>
      </c>
      <c r="J26" s="205">
        <f>_xlfn.IFNA(VLOOKUP(K$4,'Escala Docente'!$C$8:$AW$326,33,FALSE),0)</f>
        <v>0</v>
      </c>
      <c r="K26" s="199">
        <f>IF($E26&gt;0,0,ROUND($J26*K$1/30,2))</f>
        <v>0</v>
      </c>
    </row>
    <row r="27" spans="1:11" ht="12.75" customHeight="1">
      <c r="A27" t="s">
        <v>677</v>
      </c>
      <c r="C27" s="8" t="e">
        <f>IF('Escala Docente'!$F$4="NO",Valores!#REF!,Valores!#REF!/2)</f>
        <v>#REF!</v>
      </c>
      <c r="D27" s="205">
        <f>_xlfn.IFNA(VLOOKUP(E$4,'Escala Docente'!$C$8:$AW$326,31,FALSE),0)</f>
        <v>1944.8999999999999</v>
      </c>
      <c r="E27" s="199" t="e">
        <f>IF((ROUND(D27*E$1/30,2)+(ROUND(F27*$G$1/30,2))+ROUND(H27*$I$1/30,2)+ROUND(J27*$K$1/30,2))&gt;C27,C27,(ROUND(D27*E$1/30,2)+ROUND(F27*$G$1/30,2)+ROUND(H27*$I$1/30,2)+ROUND(J27*$K$1/30,2)))</f>
        <v>#REF!</v>
      </c>
      <c r="F27" s="205">
        <f>_xlfn.IFNA(VLOOKUP(G$4,'Escala Docente'!$C$8:$AW$326,31,FALSE),0)</f>
        <v>9724.47</v>
      </c>
      <c r="G27" s="199" t="e">
        <f>IF($E27&gt;0,0,ROUND($F27*G$1/30,2))</f>
        <v>#REF!</v>
      </c>
      <c r="H27" s="205">
        <f>_xlfn.IFNA(VLOOKUP(I$4,'Escala Docente'!$C$8:$AW$326,31,FALSE),0)</f>
        <v>0</v>
      </c>
      <c r="I27" s="199" t="e">
        <f>IF($E27&gt;0,0,ROUND($H27*I$1/30,2))</f>
        <v>#REF!</v>
      </c>
      <c r="J27" s="205">
        <f>_xlfn.IFNA(VLOOKUP(K$4,'Escala Docente'!$C$8:$AW$326,31,FALSE),0)</f>
        <v>0</v>
      </c>
      <c r="K27" s="199" t="e">
        <f>IF($E27&gt;0,0,ROUND($J27*K$1/30,2))</f>
        <v>#REF!</v>
      </c>
    </row>
    <row r="28" spans="1:11" ht="12.75">
      <c r="A28" t="s">
        <v>679</v>
      </c>
      <c r="C28" s="8">
        <f>Valores!F62</f>
        <v>327.6</v>
      </c>
      <c r="D28" s="205">
        <f>_xlfn.IFNA(VLOOKUP(E$4,'Escala Docente'!$C$8:$AW$326,36,FALSE),0)</f>
        <v>0</v>
      </c>
      <c r="E28" s="199">
        <f>ROUND(D28*E$1/30,2)</f>
        <v>0</v>
      </c>
      <c r="F28" s="205">
        <f>_xlfn.IFNA(VLOOKUP(G$4,'Escala Docente'!$C$8:$AW$326,36,FALSE),0)</f>
        <v>0</v>
      </c>
      <c r="G28" s="199">
        <f>IF(E28&gt;=C28,0,IF((F28*G$1/30)&gt;(E28-C28),F28*G$1/30,E28-C28))</f>
        <v>0</v>
      </c>
      <c r="H28" s="205">
        <f>_xlfn.IFNA(VLOOKUP(I$4,'Escala Docente'!$C$8:$AW$326,36,FALSE),0)</f>
        <v>0</v>
      </c>
      <c r="I28" s="199">
        <f>IF(E28+G28&gt;=C28,0,IF((H28*G$1/30)&gt;(E28+G28-C28),H28*G$1/30,E28+G18-C28))</f>
        <v>0</v>
      </c>
      <c r="J28" s="205">
        <f>_xlfn.IFNA(VLOOKUP(K$4,'Escala Docente'!$C$8:$AW$326,36,FALSE),0)</f>
        <v>0</v>
      </c>
      <c r="K28" s="199">
        <f>IF(E28+G28+H28&gt;=C28,0,IF((J28*G$1/30)&gt;(E28+G28+H28-C28),J28*G$1/30,E28+G18+H28-C28))</f>
        <v>0</v>
      </c>
    </row>
    <row r="29" spans="1:11" ht="12.75" customHeight="1">
      <c r="A29" t="s">
        <v>682</v>
      </c>
      <c r="C29" s="8">
        <v>0</v>
      </c>
      <c r="D29" s="205">
        <f>_xlfn.IFNA(VLOOKUP(E$4,'Escala Docente'!$C$8:$AW$326,11,FALSE),0)</f>
        <v>1968.53</v>
      </c>
      <c r="E29" s="206">
        <f>ROUND(IF('Escala Docente'!$H$2=0,IF(AND(MID(E$3,1,5)&lt;&gt;"13930",MID(E$3,1,5)&lt;&gt;"13940"),(SUM(E6+E12+E14+E18+E10+E17+E21)*Valores!$C$4),0),0),2)</f>
        <v>5429.86</v>
      </c>
      <c r="F29" s="205">
        <f>_xlfn.IFNA(VLOOKUP(G$4,'Escala Docente'!$C$8:$AW$326,11,FALSE),0)</f>
        <v>10873.01</v>
      </c>
      <c r="G29" s="206">
        <f>ROUND(IF('Escala Docente'!$H$2=0,IF(AND(MID(G$3,1,5)&lt;&gt;"13930",MID(G$3,1,5)&lt;&gt;"13940"),(SUM(G6+G12+G14+G18+G10+G17+G21)*Valores!$C$4),0),0),2)</f>
        <v>8828.03</v>
      </c>
      <c r="H29" s="205">
        <f>_xlfn.IFNA(VLOOKUP(I$4,'Escala Docente'!$C$8:$AW$326,11,FALSE),0)</f>
        <v>16877.76</v>
      </c>
      <c r="I29" s="206">
        <f>ROUND(IF('Escala Docente'!$H$2=0,IF(AND(MID(I$3,1,5)&lt;&gt;"13930",MID(I$3,1,5)&lt;&gt;"13940"),(SUM(I6+I12+I14+I18+I10+I17+I21)*Valores!$C$4),0),0),2)</f>
        <v>15133.63</v>
      </c>
      <c r="K29" s="206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27" t="str">
        <f ca="1">MID(CELL("FILENAME",L41),FIND("[",CELL("FILENAME",L41))+1,FIND("]",CELL("FILENAME",L41))-FIND("[",CELL("FILENAME",L41))-1)</f>
        <v>Esc Doc 2023 07 Cba V 1 0 JULIO.xlsx</v>
      </c>
      <c r="B1" s="227"/>
      <c r="C1" s="227"/>
      <c r="D1" s="227"/>
      <c r="E1" s="227"/>
      <c r="F1" s="227"/>
      <c r="G1" s="227"/>
      <c r="H1" s="227"/>
      <c r="I1" s="227"/>
      <c r="J1" s="227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28" t="s">
        <v>49</v>
      </c>
      <c r="B2" s="228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29" t="s">
        <v>501</v>
      </c>
      <c r="R3" s="229"/>
      <c r="S3" s="229"/>
      <c r="T3" s="230" t="s">
        <v>502</v>
      </c>
      <c r="U3" s="230"/>
      <c r="V3" s="230"/>
      <c r="W3" s="230"/>
      <c r="Y3" s="17"/>
    </row>
    <row r="4" spans="1:25" ht="19.5">
      <c r="A4" s="13"/>
      <c r="B4" s="13"/>
      <c r="C4" s="29" t="s">
        <v>503</v>
      </c>
      <c r="D4" s="30" t="s">
        <v>56</v>
      </c>
      <c r="E4" s="30" t="s">
        <v>504</v>
      </c>
      <c r="F4" s="30" t="s">
        <v>505</v>
      </c>
      <c r="G4" s="31" t="s">
        <v>57</v>
      </c>
      <c r="H4" s="32" t="s">
        <v>58</v>
      </c>
      <c r="I4" s="33" t="s">
        <v>506</v>
      </c>
      <c r="J4" s="34" t="s">
        <v>507</v>
      </c>
      <c r="K4" s="35" t="s">
        <v>506</v>
      </c>
      <c r="Q4" s="36" t="s">
        <v>508</v>
      </c>
      <c r="R4" s="37" t="s">
        <v>509</v>
      </c>
      <c r="S4" s="37" t="s">
        <v>510</v>
      </c>
      <c r="T4" s="38" t="s">
        <v>511</v>
      </c>
      <c r="U4" s="39" t="s">
        <v>512</v>
      </c>
      <c r="V4" s="39" t="s">
        <v>513</v>
      </c>
      <c r="W4" s="39" t="s">
        <v>510</v>
      </c>
      <c r="X4" s="40" t="s">
        <v>514</v>
      </c>
      <c r="Y4" s="40" t="s">
        <v>515</v>
      </c>
    </row>
    <row r="5" spans="1:25" ht="12.75">
      <c r="A5" s="14" t="s">
        <v>76</v>
      </c>
      <c r="B5" s="15" t="s">
        <v>77</v>
      </c>
      <c r="C5" s="41" t="s">
        <v>79</v>
      </c>
      <c r="D5" s="42" t="s">
        <v>86</v>
      </c>
      <c r="E5" s="42" t="s">
        <v>516</v>
      </c>
      <c r="F5" s="43"/>
      <c r="G5" s="43" t="s">
        <v>87</v>
      </c>
      <c r="H5" s="43" t="s">
        <v>88</v>
      </c>
      <c r="I5" s="44" t="s">
        <v>517</v>
      </c>
      <c r="J5" s="45" t="s">
        <v>518</v>
      </c>
      <c r="K5" s="44" t="s">
        <v>519</v>
      </c>
      <c r="L5" s="46" t="s">
        <v>520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521</v>
      </c>
      <c r="B6" s="16" t="s">
        <v>522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523</v>
      </c>
      <c r="B7" s="16" t="s">
        <v>524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503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525</v>
      </c>
      <c r="B8" s="16" t="s">
        <v>526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527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528</v>
      </c>
      <c r="B9" s="56" t="s">
        <v>529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530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531</v>
      </c>
      <c r="B10" s="56" t="s">
        <v>532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533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534</v>
      </c>
      <c r="B11" s="16" t="s">
        <v>535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536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537</v>
      </c>
      <c r="B12" s="16" t="s">
        <v>538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539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540</v>
      </c>
      <c r="B13" s="16" t="s">
        <v>541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542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543</v>
      </c>
      <c r="B14" s="16" t="s">
        <v>544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545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546</v>
      </c>
      <c r="B15" s="16" t="s">
        <v>547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548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549</v>
      </c>
      <c r="B16" s="16" t="s">
        <v>550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551</v>
      </c>
      <c r="B17" s="16" t="s">
        <v>552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553</v>
      </c>
      <c r="B18" s="16" t="s">
        <v>554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555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556</v>
      </c>
      <c r="B19" s="16" t="s">
        <v>557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558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559</v>
      </c>
      <c r="B20" s="16" t="s">
        <v>560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561</v>
      </c>
      <c r="B21" s="16" t="s">
        <v>562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561</v>
      </c>
      <c r="B22" s="16" t="s">
        <v>563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561</v>
      </c>
      <c r="B23" s="16" t="s">
        <v>564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561</v>
      </c>
      <c r="B24" s="16" t="s">
        <v>565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561</v>
      </c>
      <c r="B25" s="16" t="s">
        <v>566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561</v>
      </c>
      <c r="B26" s="16" t="s">
        <v>567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561</v>
      </c>
      <c r="B27" s="16" t="s">
        <v>568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561</v>
      </c>
      <c r="B28" s="16" t="s">
        <v>569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561</v>
      </c>
      <c r="B29" s="16" t="s">
        <v>570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561</v>
      </c>
      <c r="B30" s="16" t="s">
        <v>571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561</v>
      </c>
      <c r="B31" s="16" t="s">
        <v>572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561</v>
      </c>
      <c r="B32" s="16" t="s">
        <v>573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574</v>
      </c>
      <c r="Y34" s="17"/>
    </row>
    <row r="35" spans="1:25" ht="12.75" customHeight="1">
      <c r="A35" s="53" t="s">
        <v>575</v>
      </c>
      <c r="B35" s="16" t="s">
        <v>576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577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578</v>
      </c>
      <c r="B36" s="16" t="s">
        <v>579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580</v>
      </c>
      <c r="M36" s="16" t="s">
        <v>581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582</v>
      </c>
      <c r="B37" s="16" t="s">
        <v>583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584</v>
      </c>
      <c r="M37" s="16" t="s">
        <v>585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586</v>
      </c>
      <c r="B38" s="16" t="s">
        <v>587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588</v>
      </c>
      <c r="B39" s="16" t="s">
        <v>589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577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590</v>
      </c>
      <c r="B40" s="16" t="s">
        <v>591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577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592</v>
      </c>
      <c r="B41" s="16" t="s">
        <v>593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577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594</v>
      </c>
      <c r="B42" s="16" t="s">
        <v>595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577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596</v>
      </c>
      <c r="B43" s="16" t="s">
        <v>597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598</v>
      </c>
      <c r="B44" s="16" t="s">
        <v>599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580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600</v>
      </c>
      <c r="B45" s="16" t="s">
        <v>601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580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602</v>
      </c>
      <c r="B46" s="16" t="s">
        <v>603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580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604</v>
      </c>
      <c r="B47" s="16" t="s">
        <v>605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580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Luis Cappa</cp:lastModifiedBy>
  <cp:lastPrinted>2023-04-02T21:02:07Z</cp:lastPrinted>
  <dcterms:created xsi:type="dcterms:W3CDTF">2005-08-10T23:49:01Z</dcterms:created>
  <dcterms:modified xsi:type="dcterms:W3CDTF">2023-08-03T14:11:26Z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