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"/>
    </mc:Choice>
  </mc:AlternateContent>
  <bookViews>
    <workbookView xWindow="0" yWindow="144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Valores!$A$1:$J$102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D5" i="1" l="1"/>
  <c r="H2" i="2" l="1"/>
  <c r="F63" i="1" l="1"/>
  <c r="F25" i="1"/>
  <c r="X3" i="2" l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Z301" i="2"/>
  <c r="C92" i="1"/>
  <c r="AJ301" i="2" s="1"/>
  <c r="F89" i="1"/>
  <c r="C7" i="4" s="1"/>
  <c r="AG301" i="2"/>
  <c r="D63" i="1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AM323" i="2" l="1"/>
  <c r="I23" i="3"/>
  <c r="V23" i="3" s="1"/>
  <c r="I28" i="3"/>
  <c r="R46" i="2"/>
  <c r="I9" i="3"/>
  <c r="R9" i="3" s="1"/>
  <c r="I29" i="3"/>
  <c r="AM172" i="2"/>
  <c r="AM321" i="2"/>
  <c r="I22" i="3"/>
  <c r="W22" i="3" s="1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Q10" i="3" s="1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V15" i="3" s="1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M46" i="2" l="1"/>
  <c r="S9" i="3"/>
  <c r="Q15" i="3"/>
  <c r="R15" i="3"/>
  <c r="T9" i="3"/>
  <c r="U9" i="3"/>
  <c r="S10" i="3"/>
  <c r="R10" i="3"/>
  <c r="Y10" i="3" s="1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AZ2" i="2"/>
  <c r="AM300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5" i="3" l="1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AH46" i="2"/>
  <c r="AO46" i="2" s="1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Y6" i="3" l="1"/>
  <c r="X6" i="3"/>
  <c r="U17" i="3"/>
  <c r="AV46" i="2"/>
  <c r="AU46" i="2"/>
  <c r="X19" i="3"/>
  <c r="X14" i="3"/>
  <c r="Y19" i="3"/>
  <c r="AW156" i="2"/>
  <c r="T17" i="3"/>
  <c r="Y14" i="3"/>
  <c r="W17" i="3"/>
  <c r="V17" i="3"/>
  <c r="Q17" i="3"/>
  <c r="R17" i="3"/>
  <c r="T20" i="3"/>
  <c r="AN46" i="2"/>
  <c r="AT46" i="2" s="1"/>
  <c r="AP46" i="2"/>
  <c r="AW179" i="2"/>
  <c r="AW170" i="2"/>
  <c r="Y18" i="3"/>
  <c r="S20" i="3"/>
  <c r="X18" i="3"/>
  <c r="V20" i="3"/>
  <c r="U20" i="3"/>
  <c r="W20" i="3"/>
  <c r="Q20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W46" i="2" l="1"/>
  <c r="X17" i="3"/>
  <c r="Y17" i="3"/>
  <c r="Y20" i="3"/>
  <c r="X20" i="3"/>
  <c r="AS46" i="2"/>
  <c r="AS47" i="2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<sst xmlns="http://schemas.openxmlformats.org/spreadsheetml/2006/main" count="1605" uniqueCount="819">
  <si>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</si>
  <si>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</si>
  <si>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</si>
  <si>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</si>
  <si>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</si>
  <si>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</si>
  <si>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</si>
  <si>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</si>
  <si>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</si>
  <si>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</si>
  <si>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</si>
  <si>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</si>
  <si>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</si>
  <si>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</si>
  <si>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</si>
  <si>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</si>
  <si>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</si>
  <si>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</si>
  <si>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</si>
  <si>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</si>
  <si>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</si>
  <si>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</si>
  <si>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</si>
  <si>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</si>
  <si>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</si>
  <si>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</si>
  <si>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</si>
  <si>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</si>
  <si>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</si>
  <si>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</si>
  <si>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</si>
  <si>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</si>
  <si>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</si>
  <si>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</si>
  <si>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</si>
  <si>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</si>
  <si>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</si>
  <si>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</si>
  <si>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</si>
  <si>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</si>
  <si>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</si>
  <si>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</si>
  <si>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</si>
  <si>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</si>
  <si>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</si>
  <si>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</si>
  <si>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</si>
  <si>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</si>
  <si>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</si>
  <si>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</si>
  <si>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</si>
  <si>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</si>
  <si>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</si>
  <si>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</si>
  <si>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</si>
  <si>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</si>
  <si>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</si>
  <si>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</si>
  <si>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</si>
  <si>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</si>
  <si>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</si>
  <si>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</si>
  <si>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</si>
  <si>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</si>
  <si>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</si>
  <si>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</si>
  <si>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</si>
  <si>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</si>
  <si>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</si>
  <si>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</si>
  <si>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</si>
  <si>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</si>
  <si>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</si>
  <si>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</si>
  <si>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</si>
  <si>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</si>
  <si>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</si>
  <si>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</si>
  <si>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</si>
  <si>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</si>
  <si>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</si>
  <si>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</si>
  <si>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</si>
  <si>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</si>
  <si>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</si>
  <si>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</si>
  <si>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</si>
  <si>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</si>
  <si>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</si>
  <si>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</si>
  <si>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</si>
  <si>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</si>
  <si>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</si>
  <si>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</si>
  <si>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</si>
  <si>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</si>
  <si>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</si>
  <si>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</si>
  <si>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</si>
  <si>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</si>
  <si>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</si>
  <si>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</si>
  <si>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</si>
  <si>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</si>
  <si>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</si>
  <si>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</si>
  <si>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</si>
  <si>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</si>
  <si>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</si>
  <si>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</si>
  <si>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</si>
  <si>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</si>
  <si>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</si>
  <si>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</si>
  <si>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</si>
  <si>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</si>
  <si>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</si>
  <si>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</si>
  <si>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</si>
  <si>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</si>
  <si>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</si>
  <si>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</si>
  <si>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</si>
  <si>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</si>
  <si>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</si>
  <si>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</si>
  <si>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</si>
  <si>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</si>
  <si>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</si>
  <si>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</si>
  <si>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</si>
  <si>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</si>
  <si>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</si>
  <si>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</si>
  <si>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</si>
  <si>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</si>
  <si>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</si>
  <si>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</si>
  <si>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</si>
  <si>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</si>
  <si>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</si>
  <si>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</si>
  <si>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</si>
  <si>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</si>
  <si>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</si>
  <si>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</si>
  <si>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</si>
  <si>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</si>
  <si>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</si>
  <si>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</si>
  <si>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</si>
  <si>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</si>
  <si>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</si>
  <si>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</si>
  <si>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</si>
  <si>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</si>
  <si>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</si>
  <si>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</si>
  <si>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</si>
  <si>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</si>
  <si>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</si>
  <si>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</si>
  <si>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</si>
  <si>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</si>
  <si>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</si>
  <si>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</si>
  <si>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</si>
  <si>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</si>
  <si>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</si>
  <si>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</si>
  <si>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</si>
  <si>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</si>
  <si>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</si>
  <si>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</si>
  <si>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</si>
  <si>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</si>
  <si>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</si>
  <si>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</si>
  <si>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</si>
  <si>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</si>
  <si>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</si>
  <si>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</si>
  <si>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</si>
  <si>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</si>
  <si>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</si>
  <si>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</si>
  <si>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</si>
  <si>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</si>
  <si>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</si>
  <si>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</si>
  <si>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</si>
  <si>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</si>
  <si>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</si>
  <si>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</si>
  <si>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</si>
  <si>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</si>
  <si>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</si>
  <si>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</si>
  <si>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</si>
  <si>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</si>
  <si>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</si>
  <si>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</si>
  <si>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</si>
  <si>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</si>
  <si>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</si>
  <si>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</si>
  <si>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</si>
  <si>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</si>
  <si>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</si>
  <si>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</si>
  <si>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</si>
  <si>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</si>
  <si>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</si>
  <si>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</si>
  <si>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</si>
  <si>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</si>
  <si>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</si>
  <si>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</si>
  <si>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</si>
  <si>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</si>
  <si>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</si>
  <si>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</si>
  <si>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</si>
  <si>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</si>
  <si>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</si>
  <si>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</si>
  <si>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</si>
  <si>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</si>
  <si>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</si>
  <si>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</si>
  <si>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</si>
  <si>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</si>
  <si>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</si>
  <si>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</si>
  <si>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</si>
  <si>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</si>
  <si>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</si>
  <si>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</si>
  <si>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</si>
  <si>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</si>
  <si>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</si>
  <si>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</si>
  <si>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</si>
  <si>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</si>
  <si>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</si>
  <si>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</si>
  <si>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</si>
  <si>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</si>
  <si>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</si>
  <si>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</si>
  <si>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</si>
  <si>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</si>
  <si>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</si>
  <si>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</si>
  <si>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</si>
  <si>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</si>
  <si>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</si>
  <si>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</si>
  <si>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</si>
  <si>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</si>
  <si>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</si>
  <si>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</si>
  <si>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</si>
  <si>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</si>
  <si>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</si>
  <si>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</si>
  <si>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</si>
  <si>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</si>
  <si>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</si>
  <si>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</si>
  <si>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</si>
  <si>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</si>
  <si>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</si>
  <si>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</si>
  <si>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</si>
  <si>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</si>
  <si>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</si>
  <si>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</si>
  <si>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</si>
  <si>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</si>
  <si>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</si>
  <si>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</si>
  <si>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</si>
  <si>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</si>
  <si>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</si>
  <si>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</si>
  <si>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</si>
  <si>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</si>
  <si>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</si>
  <si>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</si>
  <si>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</si>
  <si>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</si>
  <si>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</si>
  <si>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</si>
  <si>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</si>
  <si>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</si>
  <si>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</si>
  <si>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</si>
  <si>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</si>
  <si>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</si>
  <si>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</si>
  <si>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</si>
  <si>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</si>
  <si>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</si>
  <si>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</si>
  <si>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</si>
  <si>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</si>
  <si>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</si>
  <si>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</si>
  <si>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</si>
  <si>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</si>
  <si>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</si>
  <si>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</si>
  <si>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</si>
  <si>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</si>
  <si>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</si>
  <si>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</si>
  <si>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</si>
  <si>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</si>
  <si>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</si>
  <si>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</si>
  <si>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</si>
  <si>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</si>
  <si>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</si>
  <si>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</si>
  <si>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</si>
  <si>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</si>
  <si>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</si>
  <si>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</si>
  <si>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</si>
  <si>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</si>
  <si>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</si>
  <si>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</si>
  <si>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</si>
  <si>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</si>
  <si>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</si>
  <si>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</si>
  <si>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</si>
  <si>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</si>
  <si>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</si>
  <si>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</si>
  <si>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</si>
  <si>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</si>
  <si>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</si>
  <si>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</si>
  <si>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</si>
  <si>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</si>
  <si>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</si>
  <si>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</si>
  <si>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</si>
  <si>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</si>
  <si>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</si>
  <si>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</si>
  <si>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</si>
  <si>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</si>
  <si>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</si>
  <si>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</si>
  <si>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</si>
  <si>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</si>
  <si>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</si>
  <si>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</si>
  <si>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</si>
  <si>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</si>
  <si>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</si>
  <si>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</si>
  <si>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</si>
  <si>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</si>
  <si>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</si>
  <si>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</si>
  <si>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</si>
  <si>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</si>
  <si>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</si>
  <si>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</si>
  <si>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</si>
  <si>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</si>
  <si>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</si>
  <si>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</si>
  <si>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</si>
  <si>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</si>
  <si>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</si>
  <si>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</si>
  <si>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</si>
  <si>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</si>
  <si>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</si>
  <si>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</si>
  <si>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</si>
  <si>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</si>
  <si>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</si>
  <si>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</si>
  <si>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</si>
  <si>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</si>
  <si>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</si>
  <si>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</si>
  <si>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</si>
  <si>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</si>
  <si>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</si>
  <si>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</si>
  <si>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</si>
  <si>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</si>
  <si>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</si>
  <si>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</si>
  <si>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</si>
  <si>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</si>
  <si>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</si>
  <si>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</si>
  <si>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</si>
  <si>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</si>
  <si>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</si>
  <si>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</si>
  <si>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</si>
  <si>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</si>
  <si>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</si>
  <si>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</si>
  <si>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</si>
  <si>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</si>
  <si>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</si>
  <si>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</si>
  <si>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</si>
  <si>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</si>
  <si>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</si>
  <si>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</si>
  <si>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</si>
  <si>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</si>
  <si>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</si>
  <si>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</si>
  <si>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</si>
  <si>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</si>
  <si>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</si>
  <si>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</si>
  <si>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</si>
  <si>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</si>
  <si>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</si>
  <si>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</si>
  <si>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</si>
  <si>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</si>
  <si>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</si>
  <si>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</si>
  <si>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</si>
  <si>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</si>
  <si>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</si>
  <si>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</si>
  <si>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</si>
  <si>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</si>
  <si>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</si>
  <si>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</si>
  <si>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</si>
  <si>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</si>
  <si>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</si>
  <si>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</si>
  <si>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</si>
  <si>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</si>
  <si>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</si>
  <si>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</si>
  <si>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</si>
  <si>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</si>
  <si>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</si>
  <si>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</si>
  <si>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</si>
  <si>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</si>
  <si>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</si>
  <si>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</si>
  <si>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</si>
  <si>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</si>
  <si>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</si>
  <si>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</si>
  <si>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</si>
  <si>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</si>
  <si>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</si>
  <si>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</si>
  <si>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</si>
  <si>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</si>
  <si>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</si>
  <si>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</si>
  <si>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</si>
  <si>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</si>
  <si>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</si>
  <si>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</si>
  <si>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</si>
  <si>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</si>
  <si>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</si>
  <si>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</si>
  <si>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</si>
  <si>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</si>
  <si>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</si>
  <si>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</si>
  <si>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</si>
  <si>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</si>
  <si>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</si>
  <si>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</si>
  <si>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</si>
  <si>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</si>
  <si>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</si>
  <si>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</si>
  <si>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</si>
  <si>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</si>
  <si>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</si>
  <si>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</si>
  <si>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</si>
  <si>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</si>
  <si>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</si>
  <si>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</si>
  <si>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</si>
  <si>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</si>
  <si>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</si>
  <si>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</si>
  <si>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</si>
  <si>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</si>
  <si>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</si>
  <si>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</si>
  <si>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</si>
  <si>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</si>
  <si>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</si>
  <si>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</si>
  <si>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</si>
  <si>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</si>
  <si>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</si>
  <si>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</si>
  <si>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</si>
  <si>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</si>
  <si>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</si>
  <si>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</si>
  <si>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</si>
  <si>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</si>
  <si>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</si>
  <si>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</si>
  <si>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</si>
  <si>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</si>
  <si>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</si>
  <si>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</si>
  <si>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</si>
  <si>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</si>
  <si>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</si>
  <si>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</si>
  <si>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</si>
  <si>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</si>
  <si>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</si>
  <si>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</si>
  <si>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</si>
  <si>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</si>
  <si>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</si>
  <si>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</si>
  <si>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</si>
  <si>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</si>
  <si>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</si>
  <si>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</si>
  <si>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</si>
  <si>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</si>
  <si>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</si>
  <si>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</si>
  <si>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</si>
  <si>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</si>
  <si>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</si>
  <si>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</si>
  <si>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</si>
  <si>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</si>
  <si>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</si>
  <si>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</si>
  <si>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</si>
  <si>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</si>
  <si>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</si>
  <si>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</si>
  <si>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</si>
  <si>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</si>
  <si>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</si>
  <si>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</si>
  <si>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</si>
  <si>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</si>
  <si>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</si>
  <si>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</si>
  <si>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</si>
  <si>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</si>
  <si>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</si>
  <si>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</si>
  <si>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</si>
  <si>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</si>
  <si>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</si>
  <si>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</si>
  <si>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</si>
  <si>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</si>
  <si>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</si>
  <si>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</si>
  <si>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</si>
  <si>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</si>
  <si>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</si>
  <si>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</si>
  <si>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</si>
  <si>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</si>
  <si>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</si>
  <si>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</si>
  <si>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</si>
  <si>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</si>
  <si>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</si>
  <si>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</si>
  <si>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</si>
  <si>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</si>
  <si>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</si>
  <si>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</si>
  <si>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</si>
  <si>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</si>
  <si>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</si>
  <si>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</si>
  <si>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</si>
  <si>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</si>
  <si>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</si>
  <si>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</si>
  <si>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</si>
  <si>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</si>
  <si>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</si>
  <si>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</si>
  <si>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</si>
  <si>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</si>
  <si>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</si>
  <si>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</si>
  <si>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</si>
  <si>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</si>
  <si>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</si>
  <si>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</si>
  <si>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</si>
  <si>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</si>
  <si>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</si>
  <si>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</si>
  <si>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</si>
  <si>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</si>
  <si>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</si>
  <si>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</si>
  <si>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</si>
  <si>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</si>
  <si>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</si>
  <si>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</si>
  <si>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</si>
  <si>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</si>
  <si>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</si>
  <si>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</si>
  <si>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</si>
  <si>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</si>
  <si>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</si>
  <si>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</si>
  <si>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</si>
  <si>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</si>
  <si>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</si>
  <si>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</si>
  <si>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</si>
  <si>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</si>
  <si>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</si>
  <si>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</si>
  <si>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</si>
  <si>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</si>
  <si>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</si>
  <si>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</si>
  <si>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</si>
  <si>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</si>
  <si>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</si>
  <si>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</si>
  <si>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</si>
  <si>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</si>
  <si>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</si>
  <si>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</si>
  <si>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</si>
  <si>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</si>
  <si>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</si>
  <si>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</si>
  <si>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</si>
  <si>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</si>
  <si>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</si>
  <si>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</si>
  <si>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</si>
  <si>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</si>
  <si>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</si>
  <si>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</si>
  <si>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</si>
  <si>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</si>
  <si>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</si>
  <si>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</si>
  <si>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</si>
  <si>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</si>
  <si>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</si>
  <si>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</si>
  <si>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</si>
  <si>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</si>
  <si>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</si>
  <si>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</si>
  <si>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</si>
  <si>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</si>
  <si>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</si>
  <si>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</si>
  <si>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</si>
  <si>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</si>
  <si>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</si>
  <si>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</si>
  <si>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</si>
  <si>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</si>
  <si>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</si>
  <si>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</si>
  <si>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</si>
  <si>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</si>
  <si>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</si>
  <si>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</si>
  <si>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</si>
  <si>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</si>
  <si>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</si>
  <si>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</si>
  <si>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</si>
  <si>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</si>
  <si>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</si>
  <si>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</si>
  <si>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</si>
  <si>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</si>
  <si>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</si>
  <si>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</si>
  <si>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</si>
  <si>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</si>
  <si>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</si>
  <si>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</si>
  <si>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</si>
  <si>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</si>
  <si>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</si>
  <si>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</si>
  <si>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</si>
  <si>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</si>
  <si>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</si>
  <si>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</si>
  <si>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</si>
  <si>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</si>
  <si>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</si>
  <si>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</si>
  <si>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</si>
  <si>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</si>
  <si>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</si>
  <si>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</si>
  <si>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</si>
  <si>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</si>
  <si>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</si>
  <si>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</si>
  <si>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</si>
  <si>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</si>
  <si>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</si>
  <si>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</si>
  <si>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</si>
  <si>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</si>
  <si>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</si>
  <si>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</si>
  <si>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</si>
  <si>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</si>
  <si>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</si>
  <si>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</si>
  <si>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</si>
  <si>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</si>
  <si>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</si>
  <si>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</si>
  <si>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</si>
  <si>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</si>
  <si>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</si>
  <si>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</si>
  <si>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</si>
  <si>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</si>
  <si>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</si>
  <si>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</si>
  <si>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</si>
  <si>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</si>
  <si>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</si>
  <si>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</si>
  <si>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</si>
  <si>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</si>
  <si>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</si>
  <si>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</si>
  <si>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</si>
  <si>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</si>
  <si>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</si>
  <si>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</si>
  <si>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</si>
  <si>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</si>
  <si>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</si>
  <si>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</si>
  <si>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</si>
  <si>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</si>
  <si>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</si>
  <si>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</si>
  <si>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</si>
  <si>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</si>
  <si>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</si>
  <si>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</si>
  <si>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</si>
  <si>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</si>
  <si>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</si>
  <si>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</si>
  <si>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</si>
  <si>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</si>
  <si>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</si>
  <si>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</si>
  <si>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</si>
  <si>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</si>
  <si>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</si>
  <si>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</si>
  <si>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</si>
  <si>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</si>
  <si>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</si>
  <si>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</si>
  <si>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</si>
  <si>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</si>
  <si>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</si>
  <si>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</si>
  <si>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</si>
  <si>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</si>
  <si>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</si>
  <si>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</si>
  <si>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</si>
  <si>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</si>
  <si>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</si>
  <si>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</si>
  <si>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</si>
  <si>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</si>
  <si>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</si>
  <si>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</si>
  <si>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</si>
  <si>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</si>
  <si>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</si>
  <si>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</si>
  <si>
    <t>Bon Compe Rem Cargos Dir Sup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</si>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</sst>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</numFmts>
  <fonts count="40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39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8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1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3" fillId="0" borderId="0" xfId="4" applyNumberFormat="1" applyFont="1" applyBorder="1" applyAlignment="1">
      <alignment horizontal="right"/>
    </xf>
    <xf numFmtId="166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166" fontId="39" fillId="6" borderId="0" xfId="4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166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83" activePane="bottomLeft" state="frozen"/>
      <selection pane="bottomLeft" activeCell="C100" sqref="C100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53.7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661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27451.439999999999</v>
      </c>
      <c r="E5" s="95">
        <f>ROUND(D5/15,2)</f>
        <v>1830.1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1821.12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67306.67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67480.59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621</v>
      </c>
      <c r="C10" s="101">
        <v>54953.37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807</v>
      </c>
      <c r="C11" s="101">
        <v>47882.78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121829.98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49187.83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8" t="str">
        <f ca="1">MID(CELL("FILENAME",N30),FIND("[",CELL("FILENAME",N30))+1,FIND("]",CELL("FILENAME",N30))-FIND("[",CELL("FILENAME",N30))-6)</f>
        <v>Esc Doc 2023 09 Cba V 1 1</v>
      </c>
      <c r="N13" s="218"/>
    </row>
    <row r="14" spans="1:14" s="81" customFormat="1" ht="12.75" customHeight="1" x14ac:dyDescent="0.2">
      <c r="A14" s="162"/>
      <c r="B14" s="164" t="s">
        <v>14</v>
      </c>
      <c r="C14" s="175">
        <v>53474.37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09</v>
      </c>
    </row>
    <row r="15" spans="1:14" s="81" customFormat="1" ht="12.75" customHeight="1" x14ac:dyDescent="0.2">
      <c r="A15" s="162" t="s">
        <v>4</v>
      </c>
      <c r="B15" s="164" t="s">
        <v>609</v>
      </c>
      <c r="C15" s="101">
        <v>77592.539999999994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ht="12.75" customHeight="1" x14ac:dyDescent="0.2">
      <c r="A16" s="162" t="s">
        <v>4</v>
      </c>
      <c r="B16" s="164" t="s">
        <v>813</v>
      </c>
      <c r="C16" s="101">
        <v>46403.78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SEPTIEMBRE</v>
      </c>
    </row>
    <row r="17" spans="1:13" s="81" customFormat="1" ht="12.75" customHeigh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636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572.77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637</v>
      </c>
    </row>
    <row r="19" spans="1:13" s="81" customFormat="1" ht="12.75" customHeight="1" x14ac:dyDescent="0.2">
      <c r="A19" s="162" t="s">
        <v>4</v>
      </c>
      <c r="B19" s="163" t="s">
        <v>630</v>
      </c>
      <c r="C19" s="101">
        <v>25544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638</v>
      </c>
    </row>
    <row r="20" spans="1:13" s="81" customFormat="1" ht="12.75" customHeight="1" x14ac:dyDescent="0.2">
      <c r="A20" s="162" t="s">
        <v>4</v>
      </c>
      <c r="B20" s="163" t="s">
        <v>631</v>
      </c>
      <c r="C20" s="101">
        <v>25282.84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639</v>
      </c>
    </row>
    <row r="21" spans="1:13" s="81" customFormat="1" ht="12.75" customHeigh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640</v>
      </c>
    </row>
    <row r="22" spans="1:13" s="81" customFormat="1" ht="12.75" customHeight="1" x14ac:dyDescent="0.2">
      <c r="A22" s="80" t="s">
        <v>4</v>
      </c>
      <c r="B22" s="86" t="s">
        <v>632</v>
      </c>
      <c r="C22" s="175">
        <v>24491.06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641</v>
      </c>
    </row>
    <row r="23" spans="1:13" s="81" customFormat="1" ht="12.75" customHeight="1" x14ac:dyDescent="0.2">
      <c r="A23" s="80" t="s">
        <v>4</v>
      </c>
      <c r="B23" s="86" t="s">
        <v>629</v>
      </c>
      <c r="C23" s="175">
        <v>22794.65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642</v>
      </c>
    </row>
    <row r="24" spans="1:13" s="81" customFormat="1" ht="12.75" customHeigh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643</v>
      </c>
    </row>
    <row r="25" spans="1:13" s="81" customFormat="1" ht="12.75" customHeight="1" x14ac:dyDescent="0.2">
      <c r="A25" s="80" t="s">
        <v>4</v>
      </c>
      <c r="B25" s="86" t="s">
        <v>16</v>
      </c>
      <c r="C25" s="101">
        <v>1122.78</v>
      </c>
      <c r="D25" s="95"/>
      <c r="F25" s="87">
        <f>+(C25*1.5)+0.93</f>
        <v>1685.1000000000001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644</v>
      </c>
    </row>
    <row r="26" spans="1:13" s="81" customFormat="1" ht="12.75" customHeight="1" x14ac:dyDescent="0.2">
      <c r="A26" s="80" t="s">
        <v>4</v>
      </c>
      <c r="B26" s="86" t="s">
        <v>17</v>
      </c>
      <c r="C26" s="101">
        <v>1122.78</v>
      </c>
      <c r="D26" s="95"/>
      <c r="F26" s="87">
        <f>C26</f>
        <v>1122.78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645</v>
      </c>
    </row>
    <row r="27" spans="1:13" s="81" customFormat="1" ht="12.75" customHeigh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646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44.99</v>
      </c>
      <c r="F28" s="87">
        <f>F25</f>
        <v>1685.1000000000001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647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37.46</v>
      </c>
      <c r="D29" s="92"/>
      <c r="E29" s="92"/>
      <c r="F29" s="93">
        <f>F26</f>
        <v>1122.78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808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809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648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649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s="74" t="s">
        <v>658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815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">
      <c r="A42" s="74" t="s">
        <v>4</v>
      </c>
      <c r="B42" s="2" t="s">
        <v>635</v>
      </c>
      <c r="C42" s="100">
        <v>16921.52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634</v>
      </c>
      <c r="C43" s="101">
        <v>17995.759999999998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633</v>
      </c>
      <c r="C44" s="101">
        <v>19070.25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811</v>
      </c>
      <c r="C45" s="101">
        <v>20136.400000000001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810</v>
      </c>
      <c r="C46" s="101">
        <v>23367.07</v>
      </c>
      <c r="D46" s="6"/>
      <c r="E46" s="165"/>
      <c r="F46" s="8">
        <v>33337.56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812</v>
      </c>
      <c r="C47" s="101">
        <v>28697.84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814</v>
      </c>
      <c r="C48" s="101">
        <v>24433.22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959.27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1426.19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652</v>
      </c>
      <c r="C51" s="101">
        <v>713.1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">
      <c r="A56" s="74" t="s">
        <v>8</v>
      </c>
      <c r="B56" s="2" t="s">
        <v>28</v>
      </c>
      <c r="C56" s="100">
        <v>170.34</v>
      </c>
    </row>
    <row r="57" spans="1:12" ht="12.75" customHeight="1" x14ac:dyDescent="0.2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">
      <c r="A58" s="74" t="s">
        <v>8</v>
      </c>
      <c r="B58" s="2" t="s">
        <v>30</v>
      </c>
      <c r="C58" s="101">
        <v>155.18</v>
      </c>
      <c r="I58" s="174">
        <f>+C63/15</f>
        <v>855.75333333333333</v>
      </c>
    </row>
    <row r="59" spans="1:12" ht="12.75" customHeight="1" x14ac:dyDescent="0.2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622</v>
      </c>
      <c r="C63" s="100">
        <v>12836.3</v>
      </c>
      <c r="D63" s="3">
        <f>ROUND(C63/15,2)</f>
        <v>855.75</v>
      </c>
      <c r="E63" s="79">
        <v>38.47</v>
      </c>
      <c r="F63" s="3">
        <f>(+C63*2)</f>
        <v>25672.6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1292.4100000000001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653</v>
      </c>
      <c r="C65" s="100">
        <v>646.21</v>
      </c>
      <c r="D65" s="172"/>
      <c r="F65" s="3"/>
      <c r="G65" s="175">
        <v>15165.02</v>
      </c>
    </row>
    <row r="66" spans="1:7" ht="12.75" customHeight="1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ht="12.75" customHeight="1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ht="12.75" customHeight="1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ht="12.75" customHeight="1" x14ac:dyDescent="0.2">
      <c r="A69" s="74" t="s">
        <v>8</v>
      </c>
      <c r="B69" s="2" t="s">
        <v>36</v>
      </c>
      <c r="C69" s="9">
        <v>0</v>
      </c>
      <c r="D69" s="10"/>
      <c r="G69" s="212"/>
    </row>
    <row r="70" spans="1:7" ht="12.75" customHeight="1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ht="12.75" customHeight="1" x14ac:dyDescent="0.2">
      <c r="A71" s="74" t="s">
        <v>8</v>
      </c>
      <c r="B71" t="s">
        <v>37</v>
      </c>
      <c r="C71" s="11">
        <v>-0.11</v>
      </c>
    </row>
    <row r="72" spans="1:7" ht="12.75" customHeight="1" x14ac:dyDescent="0.2">
      <c r="A72" s="74" t="s">
        <v>8</v>
      </c>
      <c r="B72" t="s">
        <v>38</v>
      </c>
      <c r="C72" s="11">
        <v>0</v>
      </c>
    </row>
    <row r="73" spans="1:7" ht="12.75" customHeight="1" x14ac:dyDescent="0.2">
      <c r="A73" s="74" t="s">
        <v>8</v>
      </c>
      <c r="B73" t="s">
        <v>39</v>
      </c>
      <c r="C73" s="11">
        <v>-4.4999999999999998E-2</v>
      </c>
    </row>
    <row r="74" spans="1:7" ht="12.75" customHeight="1" x14ac:dyDescent="0.2">
      <c r="A74" s="74" t="s">
        <v>8</v>
      </c>
      <c r="B74" t="s">
        <v>40</v>
      </c>
      <c r="C74" s="11">
        <v>-2.7E-2</v>
      </c>
    </row>
    <row r="75" spans="1:7" ht="12.75" customHeight="1" x14ac:dyDescent="0.2">
      <c r="A75" s="74" t="s">
        <v>8</v>
      </c>
      <c r="B75" t="s">
        <v>41</v>
      </c>
      <c r="C75" s="11">
        <v>-3.0000000000000001E-3</v>
      </c>
      <c r="G75" s="212"/>
    </row>
    <row r="76" spans="1:7" ht="12.75" customHeight="1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ht="12.75" customHeight="1" x14ac:dyDescent="0.2">
      <c r="A77" s="74" t="s">
        <v>8</v>
      </c>
      <c r="B77" t="s">
        <v>42</v>
      </c>
      <c r="C77" s="11">
        <v>0.16</v>
      </c>
    </row>
    <row r="78" spans="1:7" ht="12.75" customHeight="1" x14ac:dyDescent="0.2">
      <c r="A78" s="74" t="s">
        <v>8</v>
      </c>
      <c r="B78" t="s">
        <v>43</v>
      </c>
      <c r="C78" s="11">
        <v>7.0000000000000007E-2</v>
      </c>
    </row>
    <row r="79" spans="1:7" ht="12.75" customHeight="1" x14ac:dyDescent="0.2">
      <c r="A79" s="74" t="s">
        <v>8</v>
      </c>
      <c r="B79" t="s">
        <v>44</v>
      </c>
      <c r="C79" s="11">
        <v>0.01</v>
      </c>
      <c r="G79" s="212"/>
    </row>
    <row r="80" spans="1:7" ht="12.75" customHeight="1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ht="12.75" customHeight="1" x14ac:dyDescent="0.2">
      <c r="A81" s="74" t="s">
        <v>8</v>
      </c>
      <c r="B81" t="s">
        <v>45</v>
      </c>
      <c r="C81" s="11">
        <v>3.5000000000000003E-2</v>
      </c>
    </row>
    <row r="82" spans="1:9" ht="12.75" customHeight="1" x14ac:dyDescent="0.2">
      <c r="A82" s="74" t="s">
        <v>8</v>
      </c>
      <c r="B82" t="s">
        <v>46</v>
      </c>
      <c r="C82" s="11">
        <v>6.0000000000000001E-3</v>
      </c>
    </row>
    <row r="83" spans="1:9" ht="12.75" customHeight="1" x14ac:dyDescent="0.2">
      <c r="A83" s="74" t="s">
        <v>8</v>
      </c>
      <c r="B83" t="s">
        <v>47</v>
      </c>
      <c r="C83" s="11">
        <v>5.3999999999999999E-2</v>
      </c>
      <c r="G83" s="212"/>
    </row>
    <row r="84" spans="1:9" ht="12.75" customHeight="1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ht="12.75" customHeight="1" x14ac:dyDescent="0.2">
      <c r="A85" s="74" t="s">
        <v>8</v>
      </c>
      <c r="B85" t="s">
        <v>48</v>
      </c>
      <c r="C85" s="4">
        <v>0.5</v>
      </c>
      <c r="G85" s="212"/>
    </row>
    <row r="86" spans="1:9" ht="12.75" customHeight="1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ht="12.75" customHeight="1" x14ac:dyDescent="0.2">
      <c r="A87" s="74" t="s">
        <v>8</v>
      </c>
      <c r="B87" s="74" t="s">
        <v>623</v>
      </c>
      <c r="C87" s="8">
        <v>0</v>
      </c>
      <c r="E87" s="8"/>
    </row>
    <row r="88" spans="1:9" ht="12.75" customHeight="1" x14ac:dyDescent="0.2">
      <c r="A88" s="74" t="s">
        <v>8</v>
      </c>
      <c r="B88" s="74" t="s">
        <v>624</v>
      </c>
      <c r="C88" s="8">
        <v>0</v>
      </c>
      <c r="E88" s="8"/>
    </row>
    <row r="89" spans="1:9" ht="12.75" customHeight="1" x14ac:dyDescent="0.2">
      <c r="A89" s="74" t="s">
        <v>8</v>
      </c>
      <c r="B89" s="74" t="s">
        <v>625</v>
      </c>
      <c r="C89" s="100">
        <v>0</v>
      </c>
      <c r="E89" s="8"/>
      <c r="F89" s="8">
        <f>+C89</f>
        <v>0</v>
      </c>
    </row>
    <row r="90" spans="1:9" ht="12.75" customHeight="1" x14ac:dyDescent="0.2">
      <c r="A90" s="74" t="s">
        <v>8</v>
      </c>
      <c r="B90" s="74" t="s">
        <v>626</v>
      </c>
      <c r="C90" s="8">
        <v>0</v>
      </c>
      <c r="E90" s="8"/>
    </row>
    <row r="91" spans="1:9" ht="12.75" customHeight="1" x14ac:dyDescent="0.2">
      <c r="A91" s="74" t="s">
        <v>8</v>
      </c>
      <c r="B91" s="74" t="s">
        <v>654</v>
      </c>
      <c r="C91" s="8">
        <v>0</v>
      </c>
      <c r="E91" s="8"/>
    </row>
    <row r="92" spans="1:9" ht="12.75" customHeight="1" x14ac:dyDescent="0.2">
      <c r="A92" s="74" t="s">
        <v>8</v>
      </c>
      <c r="B92" s="74" t="s">
        <v>656</v>
      </c>
      <c r="C92" s="8">
        <f>C91/2</f>
        <v>0</v>
      </c>
      <c r="E92" s="8"/>
    </row>
    <row r="93" spans="1:9" x14ac:dyDescent="0.2">
      <c r="A93" s="74" t="s">
        <v>607</v>
      </c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37591.14</v>
      </c>
      <c r="F94" s="8">
        <f t="shared" ref="F94:F95" si="0">C94</f>
        <v>37591.14</v>
      </c>
      <c r="G94" s="175">
        <v>7582.51</v>
      </c>
      <c r="I94" s="175"/>
    </row>
    <row r="95" spans="1:9" x14ac:dyDescent="0.2">
      <c r="A95" s="74" t="s">
        <v>4</v>
      </c>
      <c r="B95" s="74" t="s">
        <v>817</v>
      </c>
      <c r="C95" s="8">
        <v>45109.37</v>
      </c>
      <c r="F95" s="8">
        <f t="shared" si="0"/>
        <v>45109.37</v>
      </c>
      <c r="G95" s="175">
        <v>9099.01</v>
      </c>
      <c r="I95" s="175"/>
    </row>
    <row r="96" spans="1:9" x14ac:dyDescent="0.2">
      <c r="A96" s="74" t="s">
        <v>4</v>
      </c>
      <c r="B96" s="74" t="s">
        <v>612</v>
      </c>
      <c r="C96" s="8">
        <v>75182.289999999994</v>
      </c>
      <c r="F96" s="8">
        <f>C96</f>
        <v>75182.289999999994</v>
      </c>
      <c r="G96" s="175">
        <v>15165.02</v>
      </c>
      <c r="I96" s="175"/>
    </row>
    <row r="97" spans="1:9" x14ac:dyDescent="0.2">
      <c r="A97" s="74" t="s">
        <v>4</v>
      </c>
      <c r="B97" s="74" t="s">
        <v>613</v>
      </c>
      <c r="C97" s="8">
        <v>1748.57</v>
      </c>
      <c r="F97" s="8">
        <f t="shared" ref="F97:F99" si="1">C97</f>
        <v>1748.57</v>
      </c>
      <c r="G97" s="175">
        <v>335.93</v>
      </c>
      <c r="I97" s="175"/>
    </row>
    <row r="98" spans="1:9" x14ac:dyDescent="0.2">
      <c r="A98" s="74" t="s">
        <v>4</v>
      </c>
      <c r="B98" s="74" t="s">
        <v>655</v>
      </c>
      <c r="C98" s="8">
        <v>3759.11</v>
      </c>
      <c r="F98" s="8">
        <f t="shared" si="1"/>
        <v>3759.11</v>
      </c>
      <c r="G98" s="175">
        <v>758.26</v>
      </c>
      <c r="I98" s="175"/>
    </row>
    <row r="99" spans="1:9" x14ac:dyDescent="0.2">
      <c r="A99" s="74" t="s">
        <v>4</v>
      </c>
      <c r="B99" s="74" t="s">
        <v>657</v>
      </c>
      <c r="C99" s="8">
        <v>1879.55</v>
      </c>
      <c r="F99" s="8">
        <f t="shared" si="1"/>
        <v>1879.55</v>
      </c>
      <c r="G99" s="175">
        <v>379.13</v>
      </c>
      <c r="I99" s="175"/>
    </row>
    <row r="100" spans="1:9" x14ac:dyDescent="0.2">
      <c r="A100" s="74"/>
      <c r="B100" s="74" t="s">
        <v>627</v>
      </c>
      <c r="C100" s="8">
        <v>-554.86</v>
      </c>
    </row>
    <row r="101" spans="1:9" x14ac:dyDescent="0.2">
      <c r="A101" s="74" t="s">
        <v>4</v>
      </c>
      <c r="B101" t="s">
        <v>617</v>
      </c>
      <c r="C101" s="8">
        <v>-852</v>
      </c>
    </row>
  </sheetData>
  <autoFilter ref="A1:J102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E11" activePane="bottomRight" state="frozen"/>
      <selection pane="topRight" activeCell="U1" sqref="U1"/>
      <selection pane="bottomLeft" activeCell="A69" sqref="A69"/>
      <selection pane="bottomRight" activeCell="F3" sqref="F3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9" t="str">
        <f ca="1">CONCATENATE(Valores!M16,"  ",Valores!M15)</f>
        <v>SEPTIEMBRE  2023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1</v>
      </c>
      <c r="G2" s="196"/>
      <c r="H2" s="138">
        <f>LOOKUP(F2,Valores!I:I,Valores!J:J)</f>
        <v>0.25</v>
      </c>
      <c r="I2" s="139"/>
      <c r="J2" s="130"/>
      <c r="K2" s="200"/>
      <c r="L2" s="178"/>
      <c r="M2" s="179">
        <v>0.15</v>
      </c>
      <c r="N2" s="178"/>
      <c r="AJ2" s="107"/>
      <c r="AK2" s="107"/>
      <c r="AL2" s="221"/>
      <c r="AZ2" s="116">
        <f>(((F139+S139)*1.15)+O139+P139+Q139+AA139+AD139)*0.05</f>
        <v>9204.9467999999997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2" t="s">
        <v>50</v>
      </c>
      <c r="H3" s="222"/>
      <c r="I3" s="223">
        <f>Valores!C2</f>
        <v>53.7</v>
      </c>
      <c r="J3" s="223"/>
      <c r="K3" s="199"/>
      <c r="L3" s="177" t="e">
        <f>VLOOKUP(K3,Valores!L17:M28,2,)</f>
        <v>#N/A</v>
      </c>
      <c r="M3" s="176"/>
      <c r="N3" s="177"/>
      <c r="O3" s="228" t="s">
        <v>816</v>
      </c>
      <c r="P3" s="228"/>
      <c r="Q3" s="228"/>
      <c r="R3" s="228"/>
      <c r="S3" s="228"/>
      <c r="T3" s="228"/>
      <c r="U3" s="228"/>
      <c r="V3" s="228"/>
      <c r="X3" s="234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4"/>
      <c r="Z3" s="234"/>
      <c r="AA3" s="234"/>
      <c r="AB3" s="234"/>
      <c r="AC3" s="234"/>
      <c r="AD3" s="234"/>
      <c r="AE3" s="234"/>
      <c r="AF3" s="234"/>
      <c r="AG3" s="234"/>
      <c r="AJ3" s="117" t="s">
        <v>4</v>
      </c>
      <c r="AK3" s="118"/>
      <c r="AL3" s="221"/>
      <c r="AM3" s="117" t="s">
        <v>4</v>
      </c>
      <c r="AN3" s="118"/>
      <c r="AO3" s="119">
        <f>Valores!C2</f>
        <v>53.7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5" t="s">
        <v>620</v>
      </c>
      <c r="B4" s="226"/>
      <c r="C4" s="226"/>
      <c r="D4" s="227"/>
      <c r="E4" s="191"/>
      <c r="F4" s="133" t="s">
        <v>8</v>
      </c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5" t="s">
        <v>615</v>
      </c>
      <c r="B5" s="226"/>
      <c r="C5" s="226"/>
      <c r="D5" s="227"/>
      <c r="E5" s="191"/>
      <c r="F5" s="161">
        <v>0</v>
      </c>
      <c r="H5" s="217" t="s">
        <v>818</v>
      </c>
      <c r="P5" s="217" t="s">
        <v>818</v>
      </c>
      <c r="R5" s="217" t="s">
        <v>818</v>
      </c>
      <c r="T5" s="217" t="s">
        <v>818</v>
      </c>
      <c r="AC5" s="217" t="s">
        <v>818</v>
      </c>
      <c r="AG5" s="217" t="s">
        <v>818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9" t="s">
        <v>52</v>
      </c>
      <c r="F6" s="230"/>
      <c r="G6" s="231" t="s">
        <v>53</v>
      </c>
      <c r="H6" s="231"/>
      <c r="I6" s="232" t="s">
        <v>54</v>
      </c>
      <c r="J6" s="232"/>
      <c r="K6" s="224" t="s">
        <v>55</v>
      </c>
      <c r="L6" s="224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$27.451,44)</v>
      </c>
      <c r="Q6" s="150" t="s">
        <v>59</v>
      </c>
      <c r="R6" s="169" t="str">
        <f>CONCATENATE("Gtos. Inh. Lab. Doc. (tope ",TEXT(Valores!F46,"$0.000,00"),")")</f>
        <v>Gtos. Inh. Lab. Doc. (tope $33.337,56)</v>
      </c>
      <c r="S6" s="151" t="s">
        <v>60</v>
      </c>
      <c r="T6" s="150" t="s">
        <v>60</v>
      </c>
      <c r="U6" s="150" t="s">
        <v>61</v>
      </c>
      <c r="V6" s="150" t="s">
        <v>62</v>
      </c>
      <c r="W6" s="233" t="s">
        <v>63</v>
      </c>
      <c r="X6" s="233"/>
      <c r="Y6" s="150" t="s">
        <v>64</v>
      </c>
      <c r="Z6" s="159" t="str">
        <f>CONCATENATE("Bonif. Compensatoria Rem. (tope ",TEXT(Valores!F96,"$0.000,00"),")")</f>
        <v>Bonif. Compensatoria Rem. (tope $75.182,29)</v>
      </c>
      <c r="AA6" s="159" t="str">
        <f>CONCATENATE("Ad R Doc (tope ",TEXT(Valores!F25,"$0,00"),")")</f>
        <v>Ad R Doc (tope $1685,10)</v>
      </c>
      <c r="AB6" s="159" t="s">
        <v>695</v>
      </c>
      <c r="AC6" s="150" t="s">
        <v>65</v>
      </c>
      <c r="AD6" s="158" t="str">
        <f>CONCATENATE("Nuevo  A.R.D. (tope ",TEXT(Valores!F26,"$0,00"),")")</f>
        <v>Nuevo  A.R.D. (tope $1122,78)</v>
      </c>
      <c r="AE6" s="224" t="s">
        <v>66</v>
      </c>
      <c r="AF6" s="224"/>
      <c r="AG6" s="158" t="str">
        <f>CONCATENATE("Ap Mat Did Rem. (tope ",TEXT(Valores!F63,"$0.000,00"),")")</f>
        <v>Ap Mat Did Rem. (tope $25.672,60)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616</v>
      </c>
      <c r="AR6" s="152" t="s">
        <v>617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628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660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614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687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618</v>
      </c>
      <c r="AR7" s="160" t="s">
        <v>619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5745.9</v>
      </c>
      <c r="G8" s="192">
        <v>3779</v>
      </c>
      <c r="H8" s="125">
        <f>ROUND(G8*Valores!$C$2,2)</f>
        <v>202932.3</v>
      </c>
      <c r="I8" s="192">
        <v>219</v>
      </c>
      <c r="J8" s="125">
        <f>ROUND(I8*Valores!$C$2,2)</f>
        <v>11760.3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0</v>
      </c>
      <c r="N8" s="125">
        <f t="shared" ref="N8:N71" si="1">ROUND(SUM(F8,H8,J8,L8,X8,R8)*$H$2,2)</f>
        <v>60951.39</v>
      </c>
      <c r="O8" s="125">
        <f>Valores!$C$11</f>
        <v>47882.78</v>
      </c>
      <c r="P8" s="125">
        <f>Valores!$D$5</f>
        <v>27451.439999999999</v>
      </c>
      <c r="Q8" s="125">
        <v>0</v>
      </c>
      <c r="R8" s="125">
        <f>IF($F$4="NO",Valores!$C$46,Valores!$C$46/2)</f>
        <v>23367.07</v>
      </c>
      <c r="S8" s="125">
        <v>0</v>
      </c>
      <c r="T8" s="125">
        <f>ROUND(S8*(1+$H$2),2)</f>
        <v>0</v>
      </c>
      <c r="U8" s="125">
        <f>SUM(F8,H8,J8)</f>
        <v>220438.49999999997</v>
      </c>
      <c r="V8" s="125">
        <f>INT((SUM(F8,H8,J8)*0.4*100)+0.49)/100</f>
        <v>88175.4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37591.14</v>
      </c>
      <c r="AA8" s="125">
        <f>Valores!$C$25</f>
        <v>1122.78</v>
      </c>
      <c r="AB8" s="214">
        <v>0</v>
      </c>
      <c r="AC8" s="125">
        <f t="shared" ref="AC8:AC71" si="2">ROUND(SUM(F8,H8,J8,X8,R8)*AB8,2)</f>
        <v>0</v>
      </c>
      <c r="AD8" s="125">
        <f>Valores!$C$26</f>
        <v>1122.78</v>
      </c>
      <c r="AE8" s="192">
        <v>0</v>
      </c>
      <c r="AF8" s="125">
        <f>ROUND(AE8*Valores!$C$2,2)</f>
        <v>0</v>
      </c>
      <c r="AG8" s="125">
        <f>ROUND(IF($F$4="NO",Valores!$C$63,Valores!$C$63/2),2)</f>
        <v>12836.3</v>
      </c>
      <c r="AH8" s="125">
        <f>SUM(F8,H8,J8,L8,M8,N8,O8,P8,Q8,R8,T8,U8,V8,X8,Y8,Z8,AA8,AC8,AD8,AF8,AG8)</f>
        <v>741378.08000000007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-81551.588800000012</v>
      </c>
      <c r="AO8" s="125">
        <f>AH8*-Valores!$C$72</f>
        <v>0</v>
      </c>
      <c r="AP8" s="125">
        <f>AH8*Valores!$C$73</f>
        <v>-33362.013600000006</v>
      </c>
      <c r="AQ8" s="125">
        <f>Valores!$C$100</f>
        <v>-554.86</v>
      </c>
      <c r="AR8" s="125">
        <f>IF($F$5=0,Valores!$C$101,(Valores!$C$101+$F$5*(Valores!$C$101)))</f>
        <v>-852</v>
      </c>
      <c r="AS8" s="125">
        <f>AH8+AM8+SUM(AN8:AR8)</f>
        <v>625057.6176</v>
      </c>
      <c r="AT8" s="125">
        <f t="shared" si="0"/>
        <v>-81551.588800000012</v>
      </c>
      <c r="AU8" s="125">
        <f>AH8*Valores!$C$74</f>
        <v>-20017.208160000002</v>
      </c>
      <c r="AV8" s="125">
        <f>AH8*Valores!$C$75</f>
        <v>-2224.1342400000003</v>
      </c>
      <c r="AW8" s="125">
        <f t="shared" ref="AW8:AW71" si="4">AH8+AM8+SUM(AT8:AV8)</f>
        <v>637585.14880000008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5745.9</v>
      </c>
      <c r="G9" s="192">
        <v>3779</v>
      </c>
      <c r="H9" s="125">
        <f>ROUND(G9*Valores!$C$2,2)</f>
        <v>202932.3</v>
      </c>
      <c r="I9" s="192">
        <v>219</v>
      </c>
      <c r="J9" s="125">
        <f>ROUND(I9*Valores!$C$2,2)</f>
        <v>11760.3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0</v>
      </c>
      <c r="N9" s="125">
        <f t="shared" si="1"/>
        <v>60951.39</v>
      </c>
      <c r="O9" s="125">
        <f>Valores!$C$11</f>
        <v>47882.78</v>
      </c>
      <c r="P9" s="125">
        <f>Valores!$D$5</f>
        <v>27451.439999999999</v>
      </c>
      <c r="Q9" s="125">
        <v>0</v>
      </c>
      <c r="R9" s="125">
        <f>IF($F$4="NO",Valores!$C$46,Valores!$C$46/2)</f>
        <v>23367.07</v>
      </c>
      <c r="S9" s="125">
        <v>0</v>
      </c>
      <c r="T9" s="125">
        <f>ROUND(S9*(1+$H$2),2)</f>
        <v>0</v>
      </c>
      <c r="U9" s="125">
        <f>SUM(F9,H9,J9)</f>
        <v>220438.49999999997</v>
      </c>
      <c r="V9" s="125">
        <f>INT((SUM(F9,H9,J9)*0.4*100)+0.49)/100</f>
        <v>88175.4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37591.14</v>
      </c>
      <c r="AA9" s="125">
        <f>Valores!$C$25</f>
        <v>1122.78</v>
      </c>
      <c r="AB9" s="214">
        <v>0</v>
      </c>
      <c r="AC9" s="125">
        <f t="shared" si="2"/>
        <v>0</v>
      </c>
      <c r="AD9" s="125">
        <f>Valores!$C$26</f>
        <v>1122.78</v>
      </c>
      <c r="AE9" s="192">
        <v>0</v>
      </c>
      <c r="AF9" s="125">
        <f>ROUND(AE9*Valores!$C$2,2)</f>
        <v>0</v>
      </c>
      <c r="AG9" s="125">
        <f>ROUND(IF($F$4="NO",Valores!$C$63,Valores!$C$63/2),2)</f>
        <v>12836.3</v>
      </c>
      <c r="AH9" s="125">
        <f t="shared" ref="AH9:AH72" si="5">SUM(F9,H9,J9,L9,M9,N9,O9,P9,Q9,R9,T9,U9,V9,X9,Y9,Z9,AA9,AC9,AD9,AF9,AG9)</f>
        <v>741378.08000000007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-81551.588800000012</v>
      </c>
      <c r="AO9" s="125">
        <f>AH9*-Valores!$C$72</f>
        <v>0</v>
      </c>
      <c r="AP9" s="125">
        <f>AH9*Valores!$C$73</f>
        <v>-33362.013600000006</v>
      </c>
      <c r="AQ9" s="125">
        <f>Valores!$C$100</f>
        <v>-554.86</v>
      </c>
      <c r="AR9" s="125">
        <f>IF($F$5=0,Valores!$C$101,(Valores!$C$101+$F$5*(Valores!$C$101)))</f>
        <v>-852</v>
      </c>
      <c r="AS9" s="125">
        <f t="shared" ref="AS9:AS72" si="6">AH9+SUM(AM9:AR9)</f>
        <v>625057.6176</v>
      </c>
      <c r="AT9" s="125">
        <f t="shared" si="0"/>
        <v>-81551.588800000012</v>
      </c>
      <c r="AU9" s="125">
        <f>AH9*Valores!$C$74</f>
        <v>-20017.208160000002</v>
      </c>
      <c r="AV9" s="125">
        <f>AH9*Valores!$C$75</f>
        <v>-2224.1342400000003</v>
      </c>
      <c r="AW9" s="125">
        <f t="shared" si="4"/>
        <v>637585.14880000008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5745.9</v>
      </c>
      <c r="G10" s="192">
        <v>3720</v>
      </c>
      <c r="H10" s="125">
        <f>ROUND(G10*Valores!$C$2,2)</f>
        <v>199764</v>
      </c>
      <c r="I10" s="192">
        <v>1226</v>
      </c>
      <c r="J10" s="125">
        <f>ROUND(I10*Valores!$C$2,2)</f>
        <v>65836.2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0</v>
      </c>
      <c r="N10" s="125">
        <f t="shared" si="1"/>
        <v>73678.289999999994</v>
      </c>
      <c r="O10" s="125">
        <f>Valores!$C$13</f>
        <v>49187.83</v>
      </c>
      <c r="P10" s="125">
        <f>Valores!$D$5</f>
        <v>27451.439999999999</v>
      </c>
      <c r="Q10" s="125">
        <v>0</v>
      </c>
      <c r="R10" s="125">
        <f>IF($F$4="NO",Valores!$C$46,Valores!$C$46/2)</f>
        <v>23367.07</v>
      </c>
      <c r="S10" s="125">
        <f>Valores!$C$19</f>
        <v>25544</v>
      </c>
      <c r="T10" s="125">
        <f>ROUND(S10*(1+$H$2),2)</f>
        <v>31930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37591.14</v>
      </c>
      <c r="AA10" s="125">
        <f>Valores!$C$25</f>
        <v>1122.78</v>
      </c>
      <c r="AB10" s="214">
        <v>0</v>
      </c>
      <c r="AC10" s="125">
        <f t="shared" si="2"/>
        <v>0</v>
      </c>
      <c r="AD10" s="125">
        <f>Valores!$C$26</f>
        <v>1122.78</v>
      </c>
      <c r="AE10" s="192">
        <v>0</v>
      </c>
      <c r="AF10" s="125">
        <f>ROUND(AE10*Valores!$C$2,2)</f>
        <v>0</v>
      </c>
      <c r="AG10" s="125">
        <f>ROUND(IF($F$4="NO",Valores!$C$63,Valores!$C$63/2),2)</f>
        <v>12836.3</v>
      </c>
      <c r="AH10" s="125">
        <f t="shared" si="5"/>
        <v>529633.7300000001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-58259.710300000013</v>
      </c>
      <c r="AO10" s="125">
        <f>AH10*-Valores!$C$72</f>
        <v>0</v>
      </c>
      <c r="AP10" s="125">
        <f>AH10*Valores!$C$73</f>
        <v>-23833.517850000004</v>
      </c>
      <c r="AQ10" s="125">
        <f>Valores!$C$100</f>
        <v>-554.86</v>
      </c>
      <c r="AR10" s="125">
        <f>IF($F$5=0,Valores!$C$101,(Valores!$C$101+$F$5*(Valores!$C$101)))</f>
        <v>-852</v>
      </c>
      <c r="AS10" s="125">
        <f t="shared" si="6"/>
        <v>446133.64185000007</v>
      </c>
      <c r="AT10" s="125">
        <f t="shared" si="0"/>
        <v>-58259.710300000013</v>
      </c>
      <c r="AU10" s="125">
        <f>AH10*Valores!$C$74</f>
        <v>-14300.110710000003</v>
      </c>
      <c r="AV10" s="125">
        <f>AH10*Valores!$C$75</f>
        <v>-1588.9011900000003</v>
      </c>
      <c r="AW10" s="125">
        <f t="shared" si="4"/>
        <v>455485.00780000008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5745.9</v>
      </c>
      <c r="G11" s="192">
        <v>3779</v>
      </c>
      <c r="H11" s="125">
        <f>ROUND(G11*Valores!$C$2,2)</f>
        <v>202932.3</v>
      </c>
      <c r="I11" s="192">
        <v>219</v>
      </c>
      <c r="J11" s="125">
        <f>ROUND(I11*Valores!$C$2,2)</f>
        <v>11760.3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0</v>
      </c>
      <c r="N11" s="125">
        <f t="shared" si="1"/>
        <v>60951.39</v>
      </c>
      <c r="O11" s="125">
        <f>Valores!$C$11</f>
        <v>47882.78</v>
      </c>
      <c r="P11" s="125">
        <f>Valores!$D$5</f>
        <v>27451.439999999999</v>
      </c>
      <c r="Q11" s="125">
        <v>0</v>
      </c>
      <c r="R11" s="125">
        <f>IF($F$4="NO",Valores!$C$46,Valores!$C$46/2)</f>
        <v>23367.07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220438.49999999997</v>
      </c>
      <c r="V11" s="125">
        <f t="shared" ref="V11:V20" si="9">INT((SUM(F11,H11,J11)*0.4*100)+0.49)/100</f>
        <v>88175.4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37591.14</v>
      </c>
      <c r="AA11" s="125">
        <f>Valores!$C$25</f>
        <v>1122.78</v>
      </c>
      <c r="AB11" s="214">
        <v>0</v>
      </c>
      <c r="AC11" s="125">
        <f t="shared" si="2"/>
        <v>0</v>
      </c>
      <c r="AD11" s="125">
        <f>Valores!$C$26</f>
        <v>1122.78</v>
      </c>
      <c r="AE11" s="192">
        <v>0</v>
      </c>
      <c r="AF11" s="125">
        <f>ROUND(AE11*Valores!$C$2,2)</f>
        <v>0</v>
      </c>
      <c r="AG11" s="125">
        <f>ROUND(IF($F$4="NO",Valores!$C$63,Valores!$C$63/2),2)</f>
        <v>12836.3</v>
      </c>
      <c r="AH11" s="125">
        <f t="shared" si="5"/>
        <v>741378.08000000007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-81551.588800000012</v>
      </c>
      <c r="AO11" s="125">
        <f>AH11*-Valores!$C$72</f>
        <v>0</v>
      </c>
      <c r="AP11" s="125">
        <f>AH11*Valores!$C$73</f>
        <v>-33362.013600000006</v>
      </c>
      <c r="AQ11" s="125">
        <f>Valores!$C$100</f>
        <v>-554.86</v>
      </c>
      <c r="AR11" s="125">
        <f>IF($F$5=0,Valores!$C$101,(Valores!$C$101+$F$5*(Valores!$C$101)))</f>
        <v>-852</v>
      </c>
      <c r="AS11" s="125">
        <f t="shared" si="6"/>
        <v>625057.6176</v>
      </c>
      <c r="AT11" s="125">
        <f t="shared" si="0"/>
        <v>-81551.588800000012</v>
      </c>
      <c r="AU11" s="125">
        <f>AH11*Valores!$C$74</f>
        <v>-20017.208160000002</v>
      </c>
      <c r="AV11" s="125">
        <f>AH11*Valores!$C$75</f>
        <v>-2224.1342400000003</v>
      </c>
      <c r="AW11" s="125">
        <f t="shared" si="4"/>
        <v>637585.14880000008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5745.9</v>
      </c>
      <c r="G12" s="192">
        <v>3779</v>
      </c>
      <c r="H12" s="125">
        <f>ROUND(G12*Valores!$C$2,2)</f>
        <v>202932.3</v>
      </c>
      <c r="I12" s="192">
        <v>219</v>
      </c>
      <c r="J12" s="125">
        <f>ROUND(I12*Valores!$C$2,2)</f>
        <v>11760.3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0</v>
      </c>
      <c r="N12" s="125">
        <f t="shared" si="1"/>
        <v>60951.39</v>
      </c>
      <c r="O12" s="125">
        <f>Valores!$C$11</f>
        <v>47882.78</v>
      </c>
      <c r="P12" s="125">
        <f>Valores!$D$5</f>
        <v>27451.439999999999</v>
      </c>
      <c r="Q12" s="125">
        <v>0</v>
      </c>
      <c r="R12" s="125">
        <f>IF($F$4="NO",Valores!$C$46,Valores!$C$46/2)</f>
        <v>23367.07</v>
      </c>
      <c r="S12" s="125">
        <v>0</v>
      </c>
      <c r="T12" s="125">
        <f t="shared" si="7"/>
        <v>0</v>
      </c>
      <c r="U12" s="125">
        <f t="shared" si="8"/>
        <v>220438.49999999997</v>
      </c>
      <c r="V12" s="125">
        <f t="shared" si="9"/>
        <v>88175.4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37591.14</v>
      </c>
      <c r="AA12" s="125">
        <f>Valores!$C$25</f>
        <v>1122.78</v>
      </c>
      <c r="AB12" s="214">
        <v>0</v>
      </c>
      <c r="AC12" s="125">
        <f t="shared" si="2"/>
        <v>0</v>
      </c>
      <c r="AD12" s="125">
        <f>Valores!$C$26</f>
        <v>1122.78</v>
      </c>
      <c r="AE12" s="192">
        <v>0</v>
      </c>
      <c r="AF12" s="125">
        <f>ROUND(AE12*Valores!$C$2,2)</f>
        <v>0</v>
      </c>
      <c r="AG12" s="125">
        <f>ROUND(IF($F$4="NO",Valores!$C$63,Valores!$C$63/2),2)</f>
        <v>12836.3</v>
      </c>
      <c r="AH12" s="125">
        <f t="shared" si="5"/>
        <v>741378.08000000007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-81551.588800000012</v>
      </c>
      <c r="AO12" s="125">
        <f>AH12*-Valores!$C$72</f>
        <v>0</v>
      </c>
      <c r="AP12" s="125">
        <f>AH12*Valores!$C$73</f>
        <v>-33362.013600000006</v>
      </c>
      <c r="AQ12" s="125">
        <f>Valores!$C$100</f>
        <v>-554.86</v>
      </c>
      <c r="AR12" s="125">
        <f>IF($F$5=0,Valores!$C$101,(Valores!$C$101+$F$5*(Valores!$C$101)))</f>
        <v>-852</v>
      </c>
      <c r="AS12" s="125">
        <f t="shared" si="6"/>
        <v>625057.6176</v>
      </c>
      <c r="AT12" s="125">
        <f t="shared" si="0"/>
        <v>-81551.588800000012</v>
      </c>
      <c r="AU12" s="125">
        <f>AH12*Valores!$C$74</f>
        <v>-20017.208160000002</v>
      </c>
      <c r="AV12" s="125">
        <f>AH12*Valores!$C$75</f>
        <v>-2224.1342400000003</v>
      </c>
      <c r="AW12" s="125">
        <f t="shared" si="4"/>
        <v>637585.14880000008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5745.9</v>
      </c>
      <c r="G13" s="192">
        <v>3779</v>
      </c>
      <c r="H13" s="125">
        <f>ROUND(G13*Valores!$C$2,2)</f>
        <v>202932.3</v>
      </c>
      <c r="I13" s="192">
        <v>219</v>
      </c>
      <c r="J13" s="125">
        <f>ROUND(I13*Valores!$C$2,2)</f>
        <v>11760.3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0</v>
      </c>
      <c r="N13" s="125">
        <f t="shared" si="1"/>
        <v>60951.39</v>
      </c>
      <c r="O13" s="125">
        <f>Valores!$C$11</f>
        <v>47882.78</v>
      </c>
      <c r="P13" s="125">
        <f>Valores!$D$5</f>
        <v>27451.439999999999</v>
      </c>
      <c r="Q13" s="125">
        <v>0</v>
      </c>
      <c r="R13" s="125">
        <f>IF($F$4="NO",Valores!$C$46,Valores!$C$46/2)</f>
        <v>23367.07</v>
      </c>
      <c r="S13" s="125">
        <v>0</v>
      </c>
      <c r="T13" s="125">
        <f t="shared" si="7"/>
        <v>0</v>
      </c>
      <c r="U13" s="125">
        <f t="shared" si="8"/>
        <v>220438.49999999997</v>
      </c>
      <c r="V13" s="125">
        <f t="shared" si="9"/>
        <v>88175.4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37591.14</v>
      </c>
      <c r="AA13" s="125">
        <f>Valores!$C$25</f>
        <v>1122.78</v>
      </c>
      <c r="AB13" s="214">
        <v>0</v>
      </c>
      <c r="AC13" s="125">
        <f t="shared" si="2"/>
        <v>0</v>
      </c>
      <c r="AD13" s="125">
        <f>Valores!$C$26</f>
        <v>1122.78</v>
      </c>
      <c r="AE13" s="192">
        <v>0</v>
      </c>
      <c r="AF13" s="125">
        <f>ROUND(AE13*Valores!$C$2,2)</f>
        <v>0</v>
      </c>
      <c r="AG13" s="125">
        <f>ROUND(IF($F$4="NO",Valores!$C$63,Valores!$C$63/2),2)</f>
        <v>12836.3</v>
      </c>
      <c r="AH13" s="125">
        <f t="shared" si="5"/>
        <v>741378.08000000007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-81551.588800000012</v>
      </c>
      <c r="AO13" s="125">
        <f>AH13*-Valores!$C$72</f>
        <v>0</v>
      </c>
      <c r="AP13" s="125">
        <f>AH13*Valores!$C$73</f>
        <v>-33362.013600000006</v>
      </c>
      <c r="AQ13" s="125">
        <f>Valores!$C$100</f>
        <v>-554.86</v>
      </c>
      <c r="AR13" s="125">
        <f>IF($F$5=0,Valores!$C$101,(Valores!$C$101+$F$5*(Valores!$C$101)))</f>
        <v>-852</v>
      </c>
      <c r="AS13" s="125">
        <f t="shared" si="6"/>
        <v>625057.6176</v>
      </c>
      <c r="AT13" s="125">
        <f t="shared" si="0"/>
        <v>-81551.588800000012</v>
      </c>
      <c r="AU13" s="125">
        <f>AH13*Valores!$C$74</f>
        <v>-20017.208160000002</v>
      </c>
      <c r="AV13" s="125">
        <f>AH13*Valores!$C$75</f>
        <v>-2224.1342400000003</v>
      </c>
      <c r="AW13" s="125">
        <f t="shared" si="4"/>
        <v>637585.14880000008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5745.9</v>
      </c>
      <c r="G14" s="192">
        <v>3779</v>
      </c>
      <c r="H14" s="125">
        <f>ROUND(G14*Valores!$C$2,2)</f>
        <v>202932.3</v>
      </c>
      <c r="I14" s="192">
        <v>219</v>
      </c>
      <c r="J14" s="125">
        <f>ROUND(I14*Valores!$C$2,2)</f>
        <v>11760.3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0</v>
      </c>
      <c r="N14" s="125">
        <f t="shared" si="1"/>
        <v>60951.39</v>
      </c>
      <c r="O14" s="125">
        <f>Valores!$C$11</f>
        <v>47882.78</v>
      </c>
      <c r="P14" s="125">
        <f>Valores!$D$5</f>
        <v>27451.439999999999</v>
      </c>
      <c r="Q14" s="125">
        <v>0</v>
      </c>
      <c r="R14" s="125">
        <f>IF($F$4="NO",Valores!$C$46,Valores!$C$46/2)</f>
        <v>23367.07</v>
      </c>
      <c r="S14" s="125">
        <v>0</v>
      </c>
      <c r="T14" s="125">
        <f t="shared" si="7"/>
        <v>0</v>
      </c>
      <c r="U14" s="125">
        <f t="shared" si="8"/>
        <v>220438.49999999997</v>
      </c>
      <c r="V14" s="125">
        <f t="shared" si="9"/>
        <v>88175.4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37591.14</v>
      </c>
      <c r="AA14" s="125">
        <f>Valores!$C$25</f>
        <v>1122.78</v>
      </c>
      <c r="AB14" s="214">
        <v>0</v>
      </c>
      <c r="AC14" s="125">
        <f t="shared" si="2"/>
        <v>0</v>
      </c>
      <c r="AD14" s="125">
        <f>Valores!$C$26</f>
        <v>1122.78</v>
      </c>
      <c r="AE14" s="192">
        <v>0</v>
      </c>
      <c r="AF14" s="125">
        <f>ROUND(AE14*Valores!$C$2,2)</f>
        <v>0</v>
      </c>
      <c r="AG14" s="125">
        <f>ROUND(IF($F$4="NO",Valores!$C$63,Valores!$C$63/2),2)</f>
        <v>12836.3</v>
      </c>
      <c r="AH14" s="125">
        <f t="shared" si="5"/>
        <v>741378.08000000007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-81551.588800000012</v>
      </c>
      <c r="AO14" s="125">
        <f>AH14*-Valores!$C$72</f>
        <v>0</v>
      </c>
      <c r="AP14" s="125">
        <f>AH14*Valores!$C$73</f>
        <v>-33362.013600000006</v>
      </c>
      <c r="AQ14" s="125">
        <f>Valores!$C$100</f>
        <v>-554.86</v>
      </c>
      <c r="AR14" s="125">
        <f>IF($F$5=0,Valores!$C$101,(Valores!$C$101+$F$5*(Valores!$C$101)))</f>
        <v>-852</v>
      </c>
      <c r="AS14" s="125">
        <f t="shared" si="6"/>
        <v>625057.6176</v>
      </c>
      <c r="AT14" s="125">
        <f t="shared" si="0"/>
        <v>-81551.588800000012</v>
      </c>
      <c r="AU14" s="125">
        <f>AH14*Valores!$C$74</f>
        <v>-20017.208160000002</v>
      </c>
      <c r="AV14" s="125">
        <f>AH14*Valores!$C$75</f>
        <v>-2224.1342400000003</v>
      </c>
      <c r="AW14" s="125">
        <f t="shared" si="4"/>
        <v>637585.14880000008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5745.9</v>
      </c>
      <c r="G15" s="192">
        <v>3779</v>
      </c>
      <c r="H15" s="125">
        <f>ROUND(G15*Valores!$C$2,2)</f>
        <v>202932.3</v>
      </c>
      <c r="I15" s="192">
        <v>219</v>
      </c>
      <c r="J15" s="125">
        <f>ROUND(I15*Valores!$C$2,2)</f>
        <v>11760.3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0</v>
      </c>
      <c r="N15" s="125">
        <f t="shared" si="1"/>
        <v>60951.39</v>
      </c>
      <c r="O15" s="125">
        <f>Valores!$C$11</f>
        <v>47882.78</v>
      </c>
      <c r="P15" s="125">
        <f>Valores!$D$5</f>
        <v>27451.439999999999</v>
      </c>
      <c r="Q15" s="125">
        <v>0</v>
      </c>
      <c r="R15" s="125">
        <f>IF($F$4="NO",Valores!$C$46,Valores!$C$46/2)</f>
        <v>23367.07</v>
      </c>
      <c r="S15" s="125">
        <v>0</v>
      </c>
      <c r="T15" s="125">
        <f t="shared" si="7"/>
        <v>0</v>
      </c>
      <c r="U15" s="125">
        <f t="shared" si="8"/>
        <v>220438.49999999997</v>
      </c>
      <c r="V15" s="125">
        <f t="shared" si="9"/>
        <v>88175.4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37591.14</v>
      </c>
      <c r="AA15" s="125">
        <f>Valores!$C$25</f>
        <v>1122.78</v>
      </c>
      <c r="AB15" s="214">
        <v>0</v>
      </c>
      <c r="AC15" s="125">
        <f t="shared" si="2"/>
        <v>0</v>
      </c>
      <c r="AD15" s="125">
        <f>Valores!$C$26</f>
        <v>1122.78</v>
      </c>
      <c r="AE15" s="192">
        <v>0</v>
      </c>
      <c r="AF15" s="125">
        <f>ROUND(AE15*Valores!$C$2,2)</f>
        <v>0</v>
      </c>
      <c r="AG15" s="125">
        <f>ROUND(IF($F$4="NO",Valores!$C$63,Valores!$C$63/2),2)</f>
        <v>12836.3</v>
      </c>
      <c r="AH15" s="125">
        <f t="shared" si="5"/>
        <v>741378.08000000007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-81551.588800000012</v>
      </c>
      <c r="AO15" s="125">
        <f>AH15*-Valores!$C$72</f>
        <v>0</v>
      </c>
      <c r="AP15" s="125">
        <f>AH15*Valores!$C$73</f>
        <v>-33362.013600000006</v>
      </c>
      <c r="AQ15" s="125">
        <f>Valores!$C$100</f>
        <v>-554.86</v>
      </c>
      <c r="AR15" s="125">
        <f>IF($F$5=0,Valores!$C$101,(Valores!$C$101+$F$5*(Valores!$C$101)))</f>
        <v>-852</v>
      </c>
      <c r="AS15" s="125">
        <f t="shared" si="6"/>
        <v>625057.6176</v>
      </c>
      <c r="AT15" s="125">
        <f t="shared" si="0"/>
        <v>-81551.588800000012</v>
      </c>
      <c r="AU15" s="125">
        <f>AH15*Valores!$C$74</f>
        <v>-20017.208160000002</v>
      </c>
      <c r="AV15" s="125">
        <f>AH15*Valores!$C$75</f>
        <v>-2224.1342400000003</v>
      </c>
      <c r="AW15" s="125">
        <f t="shared" si="4"/>
        <v>637585.14880000008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5370</v>
      </c>
      <c r="G16" s="192">
        <v>3727</v>
      </c>
      <c r="H16" s="125">
        <f>ROUND(G16*Valores!$C$2,2)</f>
        <v>200139.9</v>
      </c>
      <c r="I16" s="192">
        <v>219</v>
      </c>
      <c r="J16" s="125">
        <f>ROUND(I16*Valores!$C$2,2)</f>
        <v>11760.3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0</v>
      </c>
      <c r="N16" s="125">
        <f t="shared" si="1"/>
        <v>60159.32</v>
      </c>
      <c r="O16" s="125">
        <f>Valores!$C$11</f>
        <v>47882.78</v>
      </c>
      <c r="P16" s="125">
        <f>Valores!$D$5</f>
        <v>27451.439999999999</v>
      </c>
      <c r="Q16" s="125">
        <v>0</v>
      </c>
      <c r="R16" s="125">
        <f>IF($F$4="NO",Valores!$C$46,Valores!$C$46/2)</f>
        <v>23367.07</v>
      </c>
      <c r="S16" s="125">
        <v>0</v>
      </c>
      <c r="T16" s="125">
        <f t="shared" si="7"/>
        <v>0</v>
      </c>
      <c r="U16" s="125">
        <f t="shared" si="8"/>
        <v>217270.19999999998</v>
      </c>
      <c r="V16" s="125">
        <f t="shared" si="9"/>
        <v>86908.08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37591.14</v>
      </c>
      <c r="AA16" s="125">
        <f>Valores!$C$25</f>
        <v>1122.78</v>
      </c>
      <c r="AB16" s="214">
        <v>0</v>
      </c>
      <c r="AC16" s="125">
        <f t="shared" si="2"/>
        <v>0</v>
      </c>
      <c r="AD16" s="125">
        <f>Valores!$C$26</f>
        <v>1122.78</v>
      </c>
      <c r="AE16" s="192">
        <v>0</v>
      </c>
      <c r="AF16" s="125">
        <f>ROUND(AE16*Valores!$C$2,2)</f>
        <v>0</v>
      </c>
      <c r="AG16" s="125">
        <f>ROUND(IF($F$4="NO",Valores!$C$63,Valores!$C$63/2),2)</f>
        <v>12836.3</v>
      </c>
      <c r="AH16" s="125">
        <f t="shared" si="5"/>
        <v>732982.09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-80628.029899999994</v>
      </c>
      <c r="AO16" s="125">
        <f>AH16*-Valores!$C$72</f>
        <v>0</v>
      </c>
      <c r="AP16" s="125">
        <f>AH16*Valores!$C$73</f>
        <v>-32984.194049999998</v>
      </c>
      <c r="AQ16" s="125">
        <f>Valores!$C$100</f>
        <v>-554.86</v>
      </c>
      <c r="AR16" s="125">
        <f>IF($F$5=0,Valores!$C$101,(Valores!$C$101+$F$5*(Valores!$C$101)))</f>
        <v>-852</v>
      </c>
      <c r="AS16" s="125">
        <f t="shared" si="6"/>
        <v>617963.00604999997</v>
      </c>
      <c r="AT16" s="125">
        <f t="shared" si="0"/>
        <v>-80628.029899999994</v>
      </c>
      <c r="AU16" s="125">
        <f>AH16*Valores!$C$74</f>
        <v>-19790.51643</v>
      </c>
      <c r="AV16" s="125">
        <f>AH16*Valores!$C$75</f>
        <v>-2198.9462699999999</v>
      </c>
      <c r="AW16" s="125">
        <f t="shared" si="4"/>
        <v>630364.59739999997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5370</v>
      </c>
      <c r="G17" s="192">
        <v>3727</v>
      </c>
      <c r="H17" s="125">
        <f>ROUND(G17*Valores!$C$2,2)</f>
        <v>200139.9</v>
      </c>
      <c r="I17" s="192">
        <v>219</v>
      </c>
      <c r="J17" s="125">
        <f>ROUND(I17*Valores!$C$2,2)</f>
        <v>11760.3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0</v>
      </c>
      <c r="N17" s="125">
        <f t="shared" si="1"/>
        <v>60159.32</v>
      </c>
      <c r="O17" s="125">
        <f>Valores!$C$11</f>
        <v>47882.78</v>
      </c>
      <c r="P17" s="125">
        <f>Valores!$D$5</f>
        <v>27451.439999999999</v>
      </c>
      <c r="Q17" s="125">
        <v>0</v>
      </c>
      <c r="R17" s="125">
        <f>IF($F$4="NO",Valores!$C$46,Valores!$C$46/2)</f>
        <v>23367.07</v>
      </c>
      <c r="S17" s="125">
        <v>0</v>
      </c>
      <c r="T17" s="125">
        <f t="shared" si="7"/>
        <v>0</v>
      </c>
      <c r="U17" s="125">
        <f t="shared" si="8"/>
        <v>217270.19999999998</v>
      </c>
      <c r="V17" s="125">
        <f t="shared" si="9"/>
        <v>86908.08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37591.14</v>
      </c>
      <c r="AA17" s="125">
        <f>Valores!$C$25</f>
        <v>1122.78</v>
      </c>
      <c r="AB17" s="214">
        <v>0</v>
      </c>
      <c r="AC17" s="125">
        <f t="shared" si="2"/>
        <v>0</v>
      </c>
      <c r="AD17" s="125">
        <f>Valores!$C$26</f>
        <v>1122.78</v>
      </c>
      <c r="AE17" s="192">
        <v>0</v>
      </c>
      <c r="AF17" s="125">
        <f>ROUND(AE17*Valores!$C$2,2)</f>
        <v>0</v>
      </c>
      <c r="AG17" s="125">
        <f>ROUND(IF($F$4="NO",Valores!$C$63,Valores!$C$63/2),2)</f>
        <v>12836.3</v>
      </c>
      <c r="AH17" s="125">
        <f t="shared" si="5"/>
        <v>732982.09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-80628.029899999994</v>
      </c>
      <c r="AO17" s="125">
        <f>AH17*-Valores!$C$72</f>
        <v>0</v>
      </c>
      <c r="AP17" s="125">
        <f>AH17*Valores!$C$73</f>
        <v>-32984.194049999998</v>
      </c>
      <c r="AQ17" s="125">
        <f>Valores!$C$100</f>
        <v>-554.86</v>
      </c>
      <c r="AR17" s="125">
        <f>IF($F$5=0,Valores!$C$101,(Valores!$C$101+$F$5*(Valores!$C$101)))</f>
        <v>-852</v>
      </c>
      <c r="AS17" s="125">
        <f t="shared" si="6"/>
        <v>617963.00604999997</v>
      </c>
      <c r="AT17" s="125">
        <f t="shared" si="0"/>
        <v>-80628.029899999994</v>
      </c>
      <c r="AU17" s="125">
        <f>AH17*Valores!$C$74</f>
        <v>-19790.51643</v>
      </c>
      <c r="AV17" s="125">
        <f>AH17*Valores!$C$75</f>
        <v>-2198.9462699999999</v>
      </c>
      <c r="AW17" s="125">
        <f t="shared" si="4"/>
        <v>630364.59739999997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5370</v>
      </c>
      <c r="G18" s="192">
        <v>3727</v>
      </c>
      <c r="H18" s="125">
        <f>ROUND(G18*Valores!$C$2,2)</f>
        <v>200139.9</v>
      </c>
      <c r="I18" s="192">
        <v>219</v>
      </c>
      <c r="J18" s="125">
        <f>ROUND(I18*Valores!$C$2,2)</f>
        <v>11760.3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0</v>
      </c>
      <c r="N18" s="125">
        <f t="shared" si="1"/>
        <v>60159.32</v>
      </c>
      <c r="O18" s="125">
        <f>Valores!$C$11</f>
        <v>47882.78</v>
      </c>
      <c r="P18" s="125">
        <f>Valores!$D$5</f>
        <v>27451.439999999999</v>
      </c>
      <c r="Q18" s="125">
        <v>0</v>
      </c>
      <c r="R18" s="125">
        <f>IF($F$4="NO",Valores!$C$46,Valores!$C$46/2)</f>
        <v>23367.07</v>
      </c>
      <c r="S18" s="125">
        <v>0</v>
      </c>
      <c r="T18" s="125">
        <f t="shared" si="7"/>
        <v>0</v>
      </c>
      <c r="U18" s="125">
        <f t="shared" si="8"/>
        <v>217270.19999999998</v>
      </c>
      <c r="V18" s="125">
        <f t="shared" si="9"/>
        <v>86908.08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37591.14</v>
      </c>
      <c r="AA18" s="125">
        <f>Valores!$C$25</f>
        <v>1122.78</v>
      </c>
      <c r="AB18" s="214">
        <v>0</v>
      </c>
      <c r="AC18" s="125">
        <f t="shared" si="2"/>
        <v>0</v>
      </c>
      <c r="AD18" s="125">
        <f>Valores!$C$26</f>
        <v>1122.78</v>
      </c>
      <c r="AE18" s="192">
        <v>0</v>
      </c>
      <c r="AF18" s="125">
        <f>ROUND(AE18*Valores!$C$2,2)</f>
        <v>0</v>
      </c>
      <c r="AG18" s="125">
        <f>ROUND(IF($F$4="NO",Valores!$C$63,Valores!$C$63/2),2)</f>
        <v>12836.3</v>
      </c>
      <c r="AH18" s="125">
        <f t="shared" si="5"/>
        <v>732982.09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-80628.029899999994</v>
      </c>
      <c r="AO18" s="125">
        <f>AH18*-Valores!$C$72</f>
        <v>0</v>
      </c>
      <c r="AP18" s="125">
        <f>AH18*Valores!$C$73</f>
        <v>-32984.194049999998</v>
      </c>
      <c r="AQ18" s="125">
        <f>Valores!$C$100</f>
        <v>-554.86</v>
      </c>
      <c r="AR18" s="125">
        <f>IF($F$5=0,Valores!$C$101,(Valores!$C$101+$F$5*(Valores!$C$101)))</f>
        <v>-852</v>
      </c>
      <c r="AS18" s="125">
        <f t="shared" si="6"/>
        <v>617963.00604999997</v>
      </c>
      <c r="AT18" s="125">
        <f t="shared" si="0"/>
        <v>-80628.029899999994</v>
      </c>
      <c r="AU18" s="125">
        <f>AH18*Valores!$C$74</f>
        <v>-19790.51643</v>
      </c>
      <c r="AV18" s="125">
        <f>AH18*Valores!$C$75</f>
        <v>-2198.9462699999999</v>
      </c>
      <c r="AW18" s="125">
        <f t="shared" si="4"/>
        <v>630364.59739999997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5370</v>
      </c>
      <c r="G19" s="192">
        <v>3727</v>
      </c>
      <c r="H19" s="125">
        <f>ROUND(G19*Valores!$C$2,2)</f>
        <v>200139.9</v>
      </c>
      <c r="I19" s="192">
        <v>219</v>
      </c>
      <c r="J19" s="125">
        <f>ROUND(I19*Valores!$C$2,2)</f>
        <v>11760.3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0</v>
      </c>
      <c r="N19" s="125">
        <f t="shared" si="1"/>
        <v>60159.32</v>
      </c>
      <c r="O19" s="125">
        <f>Valores!$C$11</f>
        <v>47882.78</v>
      </c>
      <c r="P19" s="125">
        <f>Valores!$D$5</f>
        <v>27451.439999999999</v>
      </c>
      <c r="Q19" s="125">
        <v>0</v>
      </c>
      <c r="R19" s="125">
        <f>IF($F$4="NO",Valores!$C$46,Valores!$C$46/2)</f>
        <v>23367.07</v>
      </c>
      <c r="S19" s="125">
        <v>0</v>
      </c>
      <c r="T19" s="125">
        <f t="shared" si="7"/>
        <v>0</v>
      </c>
      <c r="U19" s="125">
        <f t="shared" si="8"/>
        <v>217270.19999999998</v>
      </c>
      <c r="V19" s="125">
        <f t="shared" si="9"/>
        <v>86908.08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37591.14</v>
      </c>
      <c r="AA19" s="125">
        <f>Valores!$C$25</f>
        <v>1122.78</v>
      </c>
      <c r="AB19" s="214">
        <v>0</v>
      </c>
      <c r="AC19" s="125">
        <f t="shared" si="2"/>
        <v>0</v>
      </c>
      <c r="AD19" s="125">
        <f>Valores!$C$26</f>
        <v>1122.78</v>
      </c>
      <c r="AE19" s="192">
        <v>0</v>
      </c>
      <c r="AF19" s="125">
        <f>ROUND(AE19*Valores!$C$2,2)</f>
        <v>0</v>
      </c>
      <c r="AG19" s="125">
        <f>ROUND(IF($F$4="NO",Valores!$C$63,Valores!$C$63/2),2)</f>
        <v>12836.3</v>
      </c>
      <c r="AH19" s="125">
        <f t="shared" si="5"/>
        <v>732982.09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-80628.029899999994</v>
      </c>
      <c r="AO19" s="125">
        <f>AH19*-Valores!$C$72</f>
        <v>0</v>
      </c>
      <c r="AP19" s="125">
        <f>AH19*Valores!$C$73</f>
        <v>-32984.194049999998</v>
      </c>
      <c r="AQ19" s="125">
        <f>Valores!$C$100</f>
        <v>-554.86</v>
      </c>
      <c r="AR19" s="125">
        <f>IF($F$5=0,Valores!$C$101,(Valores!$C$101+$F$5*(Valores!$C$101)))</f>
        <v>-852</v>
      </c>
      <c r="AS19" s="125">
        <f t="shared" si="6"/>
        <v>617963.00604999997</v>
      </c>
      <c r="AT19" s="125">
        <f t="shared" si="0"/>
        <v>-80628.029899999994</v>
      </c>
      <c r="AU19" s="125">
        <f>AH19*Valores!$C$74</f>
        <v>-19790.51643</v>
      </c>
      <c r="AV19" s="125">
        <f>AH19*Valores!$C$75</f>
        <v>-2198.9462699999999</v>
      </c>
      <c r="AW19" s="125">
        <f t="shared" si="4"/>
        <v>630364.59739999997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5370</v>
      </c>
      <c r="G20" s="192">
        <v>3727</v>
      </c>
      <c r="H20" s="125">
        <f>ROUND(G20*Valores!$C$2,2)</f>
        <v>200139.9</v>
      </c>
      <c r="I20" s="192">
        <v>219</v>
      </c>
      <c r="J20" s="125">
        <f>ROUND(I20*Valores!$C$2,2)</f>
        <v>11760.3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0</v>
      </c>
      <c r="N20" s="125">
        <f t="shared" si="1"/>
        <v>60159.32</v>
      </c>
      <c r="O20" s="125">
        <f>Valores!$C$11</f>
        <v>47882.78</v>
      </c>
      <c r="P20" s="125">
        <f>Valores!$D$5</f>
        <v>27451.439999999999</v>
      </c>
      <c r="Q20" s="125">
        <v>0</v>
      </c>
      <c r="R20" s="125">
        <f>IF($F$4="NO",Valores!$C$46,Valores!$C$46/2)</f>
        <v>23367.07</v>
      </c>
      <c r="S20" s="125">
        <v>0</v>
      </c>
      <c r="T20" s="125">
        <f t="shared" si="7"/>
        <v>0</v>
      </c>
      <c r="U20" s="125">
        <f t="shared" si="8"/>
        <v>217270.19999999998</v>
      </c>
      <c r="V20" s="125">
        <f t="shared" si="9"/>
        <v>86908.08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37591.14</v>
      </c>
      <c r="AA20" s="125">
        <f>Valores!$C$25</f>
        <v>1122.78</v>
      </c>
      <c r="AB20" s="214">
        <v>0</v>
      </c>
      <c r="AC20" s="125">
        <f t="shared" si="2"/>
        <v>0</v>
      </c>
      <c r="AD20" s="125">
        <f>Valores!$C$26</f>
        <v>1122.78</v>
      </c>
      <c r="AE20" s="192">
        <v>0</v>
      </c>
      <c r="AF20" s="125">
        <f>ROUND(AE20*Valores!$C$2,2)</f>
        <v>0</v>
      </c>
      <c r="AG20" s="125">
        <f>ROUND(IF($F$4="NO",Valores!$C$63,Valores!$C$63/2),2)</f>
        <v>12836.3</v>
      </c>
      <c r="AH20" s="125">
        <f t="shared" si="5"/>
        <v>732982.09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-80628.029899999994</v>
      </c>
      <c r="AO20" s="125">
        <f>AH20*-Valores!$C$72</f>
        <v>0</v>
      </c>
      <c r="AP20" s="125">
        <f>AH20*Valores!$C$73</f>
        <v>-32984.194049999998</v>
      </c>
      <c r="AQ20" s="125">
        <f>Valores!$C$100</f>
        <v>-554.86</v>
      </c>
      <c r="AR20" s="125">
        <f>IF($F$5=0,Valores!$C$101,(Valores!$C$101+$F$5*(Valores!$C$101)))</f>
        <v>-852</v>
      </c>
      <c r="AS20" s="125">
        <f t="shared" si="6"/>
        <v>617963.00604999997</v>
      </c>
      <c r="AT20" s="125">
        <f t="shared" si="0"/>
        <v>-80628.029899999994</v>
      </c>
      <c r="AU20" s="125">
        <f>AH20*Valores!$C$74</f>
        <v>-19790.51643</v>
      </c>
      <c r="AV20" s="125">
        <f>AH20*Valores!$C$75</f>
        <v>-2198.9462699999999</v>
      </c>
      <c r="AW20" s="125">
        <f t="shared" si="4"/>
        <v>630364.59739999997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5745.9</v>
      </c>
      <c r="G21" s="192">
        <v>3720</v>
      </c>
      <c r="H21" s="125">
        <f>ROUND(G21*Valores!$C$2,2)</f>
        <v>199764</v>
      </c>
      <c r="I21" s="192">
        <v>1226</v>
      </c>
      <c r="J21" s="125">
        <f>ROUND(I21*Valores!$C$2,2)</f>
        <v>65836.2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0</v>
      </c>
      <c r="N21" s="125">
        <f t="shared" si="1"/>
        <v>75010.990000000005</v>
      </c>
      <c r="O21" s="125">
        <f>Valores!$C$12</f>
        <v>121829.98</v>
      </c>
      <c r="P21" s="125">
        <f>Valores!$D$5</f>
        <v>27451.439999999999</v>
      </c>
      <c r="Q21" s="125">
        <v>0</v>
      </c>
      <c r="R21" s="125">
        <f>IF($F$4="NO",Valores!$C$47,Valores!$C$47/2)</f>
        <v>28697.84</v>
      </c>
      <c r="S21" s="125">
        <f>Valores!$C$19</f>
        <v>25544</v>
      </c>
      <c r="T21" s="125">
        <f t="shared" si="7"/>
        <v>31930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75182.289999999994</v>
      </c>
      <c r="AA21" s="125">
        <f>Valores!$C$25</f>
        <v>1122.78</v>
      </c>
      <c r="AB21" s="214">
        <v>0</v>
      </c>
      <c r="AC21" s="125">
        <f t="shared" si="2"/>
        <v>0</v>
      </c>
      <c r="AD21" s="125">
        <f>Valores!$C$26</f>
        <v>1122.78</v>
      </c>
      <c r="AE21" s="192">
        <v>0</v>
      </c>
      <c r="AF21" s="125">
        <f>ROUND(AE21*Valores!$C$2,2)</f>
        <v>0</v>
      </c>
      <c r="AG21" s="125">
        <f>ROUND(IF($F$4="NO",Valores!$C$63,Valores!$C$63/2),2)</f>
        <v>12836.3</v>
      </c>
      <c r="AH21" s="125">
        <f t="shared" si="5"/>
        <v>646530.50000000012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-71118.35500000001</v>
      </c>
      <c r="AO21" s="125">
        <f>AH21*-Valores!$C$72</f>
        <v>0</v>
      </c>
      <c r="AP21" s="125">
        <f>AH21*Valores!$C$73</f>
        <v>-29093.872500000005</v>
      </c>
      <c r="AQ21" s="125">
        <f>Valores!$C$100</f>
        <v>-554.86</v>
      </c>
      <c r="AR21" s="125">
        <f>IF($F$5=0,Valores!$C$101,(Valores!$C$101+$F$5*(Valores!$C$101)))</f>
        <v>-852</v>
      </c>
      <c r="AS21" s="125">
        <f t="shared" si="6"/>
        <v>544911.41250000009</v>
      </c>
      <c r="AT21" s="125">
        <f t="shared" si="0"/>
        <v>-71118.35500000001</v>
      </c>
      <c r="AU21" s="125">
        <f>AH21*Valores!$C$74</f>
        <v>-17456.323500000002</v>
      </c>
      <c r="AV21" s="125">
        <f>AH21*Valores!$C$75</f>
        <v>-1939.5915000000005</v>
      </c>
      <c r="AW21" s="125">
        <f t="shared" si="4"/>
        <v>556016.2300000001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5370</v>
      </c>
      <c r="G22" s="192">
        <v>3727</v>
      </c>
      <c r="H22" s="125">
        <f>ROUND(G22*Valores!$C$2,2)</f>
        <v>200139.9</v>
      </c>
      <c r="I22" s="192">
        <v>219</v>
      </c>
      <c r="J22" s="125">
        <f>ROUND(I22*Valores!$C$2,2)</f>
        <v>11760.3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0</v>
      </c>
      <c r="N22" s="125">
        <f t="shared" si="1"/>
        <v>60159.32</v>
      </c>
      <c r="O22" s="125">
        <f>Valores!$C$11</f>
        <v>47882.78</v>
      </c>
      <c r="P22" s="125">
        <f>Valores!$D$5</f>
        <v>27451.439999999999</v>
      </c>
      <c r="Q22" s="125">
        <v>0</v>
      </c>
      <c r="R22" s="125">
        <f>IF($F$4="NO",Valores!$C$46,Valores!$C$46/2)</f>
        <v>23367.07</v>
      </c>
      <c r="S22" s="125">
        <v>0</v>
      </c>
      <c r="T22" s="125">
        <f t="shared" si="7"/>
        <v>0</v>
      </c>
      <c r="U22" s="125">
        <f>SUM(F22,H22,J22)</f>
        <v>217270.19999999998</v>
      </c>
      <c r="V22" s="125">
        <f>INT((SUM(F22,H22,J22)*0.4*100)+0.49)/100</f>
        <v>86908.08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37591.14</v>
      </c>
      <c r="AA22" s="125">
        <f>Valores!$C$25</f>
        <v>1122.78</v>
      </c>
      <c r="AB22" s="214">
        <v>0</v>
      </c>
      <c r="AC22" s="125">
        <f t="shared" si="2"/>
        <v>0</v>
      </c>
      <c r="AD22" s="125">
        <f>Valores!$C$26</f>
        <v>1122.78</v>
      </c>
      <c r="AE22" s="192">
        <v>0</v>
      </c>
      <c r="AF22" s="125">
        <f>ROUND(AE22*Valores!$C$2,2)</f>
        <v>0</v>
      </c>
      <c r="AG22" s="125">
        <f>ROUND(IF($F$4="NO",Valores!$C$63,Valores!$C$63/2),2)</f>
        <v>12836.3</v>
      </c>
      <c r="AH22" s="125">
        <f t="shared" si="5"/>
        <v>732982.09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-80628.029899999994</v>
      </c>
      <c r="AO22" s="125">
        <f>AH22*-Valores!$C$72</f>
        <v>0</v>
      </c>
      <c r="AP22" s="125">
        <f>AH22*Valores!$C$73</f>
        <v>-32984.194049999998</v>
      </c>
      <c r="AQ22" s="125">
        <f>Valores!$C$100</f>
        <v>-554.86</v>
      </c>
      <c r="AR22" s="125">
        <f>IF($F$5=0,Valores!$C$101,(Valores!$C$101+$F$5*(Valores!$C$101)))</f>
        <v>-852</v>
      </c>
      <c r="AS22" s="125">
        <f t="shared" si="6"/>
        <v>617963.00604999997</v>
      </c>
      <c r="AT22" s="125">
        <f t="shared" si="0"/>
        <v>-80628.029899999994</v>
      </c>
      <c r="AU22" s="125">
        <f>AH22*Valores!$C$74</f>
        <v>-19790.51643</v>
      </c>
      <c r="AV22" s="125">
        <f>AH22*Valores!$C$75</f>
        <v>-2198.9462699999999</v>
      </c>
      <c r="AW22" s="125">
        <f t="shared" si="4"/>
        <v>630364.59739999997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5370</v>
      </c>
      <c r="G23" s="192">
        <v>3727</v>
      </c>
      <c r="H23" s="125">
        <f>ROUND(G23*Valores!$C$2,2)</f>
        <v>200139.9</v>
      </c>
      <c r="I23" s="192">
        <v>219</v>
      </c>
      <c r="J23" s="125">
        <f>ROUND(I23*Valores!$C$2,2)</f>
        <v>11760.3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0</v>
      </c>
      <c r="N23" s="125">
        <f t="shared" si="1"/>
        <v>60159.32</v>
      </c>
      <c r="O23" s="125">
        <f>Valores!$C$11</f>
        <v>47882.78</v>
      </c>
      <c r="P23" s="125">
        <f>Valores!$D$5</f>
        <v>27451.439999999999</v>
      </c>
      <c r="Q23" s="125">
        <v>0</v>
      </c>
      <c r="R23" s="125">
        <f>IF($F$4="NO",Valores!$C$46,Valores!$C$46/2)</f>
        <v>23367.07</v>
      </c>
      <c r="S23" s="125">
        <v>0</v>
      </c>
      <c r="T23" s="125">
        <f t="shared" si="7"/>
        <v>0</v>
      </c>
      <c r="U23" s="125">
        <f>SUM(F23,H23,J23)</f>
        <v>217270.19999999998</v>
      </c>
      <c r="V23" s="125">
        <f>INT((SUM(F23,H23,J23)*0.4*100)+0.49)/100</f>
        <v>86908.08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37591.14</v>
      </c>
      <c r="AA23" s="125">
        <f>Valores!$C$25</f>
        <v>1122.78</v>
      </c>
      <c r="AB23" s="214">
        <v>0</v>
      </c>
      <c r="AC23" s="125">
        <f t="shared" si="2"/>
        <v>0</v>
      </c>
      <c r="AD23" s="125">
        <f>Valores!$C$26</f>
        <v>1122.78</v>
      </c>
      <c r="AE23" s="192">
        <v>0</v>
      </c>
      <c r="AF23" s="125">
        <f>ROUND(AE23*Valores!$C$2,2)</f>
        <v>0</v>
      </c>
      <c r="AG23" s="125">
        <f>ROUND(IF($F$4="NO",Valores!$C$63,Valores!$C$63/2),2)</f>
        <v>12836.3</v>
      </c>
      <c r="AH23" s="125">
        <f t="shared" si="5"/>
        <v>732982.09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-80628.029899999994</v>
      </c>
      <c r="AO23" s="125">
        <f>AH23*-Valores!$C$72</f>
        <v>0</v>
      </c>
      <c r="AP23" s="125">
        <f>AH23*Valores!$C$73</f>
        <v>-32984.194049999998</v>
      </c>
      <c r="AQ23" s="125">
        <f>Valores!$C$100</f>
        <v>-554.86</v>
      </c>
      <c r="AR23" s="125">
        <f>IF($F$5=0,Valores!$C$101,(Valores!$C$101+$F$5*(Valores!$C$101)))</f>
        <v>-852</v>
      </c>
      <c r="AS23" s="125">
        <f t="shared" si="6"/>
        <v>617963.00604999997</v>
      </c>
      <c r="AT23" s="125">
        <f t="shared" si="0"/>
        <v>-80628.029899999994</v>
      </c>
      <c r="AU23" s="125">
        <f>AH23*Valores!$C$74</f>
        <v>-19790.51643</v>
      </c>
      <c r="AV23" s="125">
        <f>AH23*Valores!$C$75</f>
        <v>-2198.9462699999999</v>
      </c>
      <c r="AW23" s="125">
        <f t="shared" si="4"/>
        <v>630364.59739999997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5370</v>
      </c>
      <c r="G24" s="192">
        <v>3727</v>
      </c>
      <c r="H24" s="125">
        <f>ROUND(G24*Valores!$C$2,2)</f>
        <v>200139.9</v>
      </c>
      <c r="I24" s="192">
        <v>219</v>
      </c>
      <c r="J24" s="125">
        <f>ROUND(I24*Valores!$C$2,2)</f>
        <v>11760.3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0</v>
      </c>
      <c r="N24" s="125">
        <f t="shared" si="1"/>
        <v>60159.32</v>
      </c>
      <c r="O24" s="125">
        <f>Valores!$C$11</f>
        <v>47882.78</v>
      </c>
      <c r="P24" s="125">
        <f>Valores!$D$5</f>
        <v>27451.439999999999</v>
      </c>
      <c r="Q24" s="125">
        <v>0</v>
      </c>
      <c r="R24" s="125">
        <f>IF($F$4="NO",Valores!$C$46,Valores!$C$46/2)</f>
        <v>23367.07</v>
      </c>
      <c r="S24" s="125">
        <v>0</v>
      </c>
      <c r="T24" s="125">
        <f t="shared" si="7"/>
        <v>0</v>
      </c>
      <c r="U24" s="125">
        <f>SUM(F24,H24,J24)</f>
        <v>217270.19999999998</v>
      </c>
      <c r="V24" s="125">
        <f>INT((SUM(F24,H24,J24)*0.4*100)+0.49)/100</f>
        <v>86908.08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37591.14</v>
      </c>
      <c r="AA24" s="125">
        <f>Valores!$C$25</f>
        <v>1122.78</v>
      </c>
      <c r="AB24" s="214">
        <v>0</v>
      </c>
      <c r="AC24" s="125">
        <f t="shared" si="2"/>
        <v>0</v>
      </c>
      <c r="AD24" s="125">
        <f>Valores!$C$26</f>
        <v>1122.78</v>
      </c>
      <c r="AE24" s="192">
        <v>0</v>
      </c>
      <c r="AF24" s="125">
        <f>ROUND(AE24*Valores!$C$2,2)</f>
        <v>0</v>
      </c>
      <c r="AG24" s="125">
        <f>ROUND(IF($F$4="NO",Valores!$C$63,Valores!$C$63/2),2)</f>
        <v>12836.3</v>
      </c>
      <c r="AH24" s="125">
        <f t="shared" si="5"/>
        <v>732982.09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-80628.029899999994</v>
      </c>
      <c r="AO24" s="125">
        <f>AH24*-Valores!$C$72</f>
        <v>0</v>
      </c>
      <c r="AP24" s="125">
        <f>AH24*Valores!$C$73</f>
        <v>-32984.194049999998</v>
      </c>
      <c r="AQ24" s="125">
        <f>Valores!$C$100</f>
        <v>-554.86</v>
      </c>
      <c r="AR24" s="125">
        <f>IF($F$5=0,Valores!$C$101,(Valores!$C$101+$F$5*(Valores!$C$101)))</f>
        <v>-852</v>
      </c>
      <c r="AS24" s="125">
        <f t="shared" si="6"/>
        <v>617963.00604999997</v>
      </c>
      <c r="AT24" s="125">
        <f t="shared" si="0"/>
        <v>-80628.029899999994</v>
      </c>
      <c r="AU24" s="125">
        <f>AH24*Valores!$C$74</f>
        <v>-19790.51643</v>
      </c>
      <c r="AV24" s="125">
        <f>AH24*Valores!$C$75</f>
        <v>-2198.9462699999999</v>
      </c>
      <c r="AW24" s="125">
        <f t="shared" si="4"/>
        <v>630364.59739999997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5155.2</v>
      </c>
      <c r="G25" s="192">
        <v>3737</v>
      </c>
      <c r="H25" s="125">
        <f>ROUND(G25*Valores!$C$2,2)</f>
        <v>200676.9</v>
      </c>
      <c r="I25" s="192">
        <v>1220</v>
      </c>
      <c r="J25" s="125">
        <f>ROUND(I25*Valores!$C$2,2)</f>
        <v>65514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0</v>
      </c>
      <c r="N25" s="125">
        <f t="shared" si="1"/>
        <v>75010.990000000005</v>
      </c>
      <c r="O25" s="125">
        <f>Valores!$C$12</f>
        <v>121829.98</v>
      </c>
      <c r="P25" s="125">
        <f>Valores!$D$5</f>
        <v>27451.439999999999</v>
      </c>
      <c r="Q25" s="125">
        <v>0</v>
      </c>
      <c r="R25" s="125">
        <f>IF($F$4="NO",Valores!$C$47,Valores!$C$47/2)</f>
        <v>28697.84</v>
      </c>
      <c r="S25" s="125">
        <f>Valores!$C$19</f>
        <v>25544</v>
      </c>
      <c r="T25" s="125">
        <f t="shared" si="7"/>
        <v>31930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75182.289999999994</v>
      </c>
      <c r="AA25" s="125">
        <f>Valores!$C$25</f>
        <v>1122.78</v>
      </c>
      <c r="AB25" s="214">
        <v>0</v>
      </c>
      <c r="AC25" s="125">
        <f t="shared" si="2"/>
        <v>0</v>
      </c>
      <c r="AD25" s="125">
        <f>Valores!$C$26</f>
        <v>1122.78</v>
      </c>
      <c r="AE25" s="192">
        <v>0</v>
      </c>
      <c r="AF25" s="125">
        <f>ROUND(AE25*Valores!$C$2,2)</f>
        <v>0</v>
      </c>
      <c r="AG25" s="125">
        <f>ROUND(IF($F$4="NO",Valores!$C$63,Valores!$C$63/2),2)</f>
        <v>12836.3</v>
      </c>
      <c r="AH25" s="125">
        <f t="shared" si="5"/>
        <v>646530.50000000012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-71118.35500000001</v>
      </c>
      <c r="AO25" s="125">
        <f>AH25*-Valores!$C$72</f>
        <v>0</v>
      </c>
      <c r="AP25" s="125">
        <f>AH25*Valores!$C$73</f>
        <v>-29093.872500000005</v>
      </c>
      <c r="AQ25" s="125">
        <f>Valores!$C$100</f>
        <v>-554.86</v>
      </c>
      <c r="AR25" s="125">
        <f>IF($F$5=0,Valores!$C$101,(Valores!$C$101+$F$5*(Valores!$C$101)))</f>
        <v>-852</v>
      </c>
      <c r="AS25" s="125">
        <f t="shared" si="6"/>
        <v>544911.41250000009</v>
      </c>
      <c r="AT25" s="125">
        <f t="shared" si="0"/>
        <v>-71118.35500000001</v>
      </c>
      <c r="AU25" s="125">
        <f>AH25*Valores!$C$74</f>
        <v>-17456.323500000002</v>
      </c>
      <c r="AV25" s="125">
        <f>AH25*Valores!$C$75</f>
        <v>-1939.5915000000005</v>
      </c>
      <c r="AW25" s="125">
        <f t="shared" si="4"/>
        <v>556016.2300000001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5155.2</v>
      </c>
      <c r="G26" s="192">
        <v>3737</v>
      </c>
      <c r="H26" s="125">
        <f>ROUND(G26*Valores!$C$2,2)</f>
        <v>200676.9</v>
      </c>
      <c r="I26" s="192">
        <v>1220</v>
      </c>
      <c r="J26" s="125">
        <f>ROUND(I26*Valores!$C$2,2)</f>
        <v>65514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0</v>
      </c>
      <c r="N26" s="125">
        <f t="shared" si="1"/>
        <v>75010.990000000005</v>
      </c>
      <c r="O26" s="125">
        <f>Valores!$C$12</f>
        <v>121829.98</v>
      </c>
      <c r="P26" s="125">
        <f>Valores!$D$5</f>
        <v>27451.439999999999</v>
      </c>
      <c r="Q26" s="125">
        <v>0</v>
      </c>
      <c r="R26" s="125">
        <f>IF($F$4="NO",Valores!$C$47,Valores!$C$47/2)</f>
        <v>28697.84</v>
      </c>
      <c r="S26" s="125">
        <f>Valores!$C$19</f>
        <v>25544</v>
      </c>
      <c r="T26" s="125">
        <f t="shared" si="7"/>
        <v>31930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75182.289999999994</v>
      </c>
      <c r="AA26" s="125">
        <f>Valores!$C$25</f>
        <v>1122.78</v>
      </c>
      <c r="AB26" s="214">
        <v>0</v>
      </c>
      <c r="AC26" s="125">
        <f t="shared" si="2"/>
        <v>0</v>
      </c>
      <c r="AD26" s="125">
        <f>Valores!$C$26</f>
        <v>1122.78</v>
      </c>
      <c r="AE26" s="192">
        <v>0</v>
      </c>
      <c r="AF26" s="125">
        <f>ROUND(AE26*Valores!$C$2,2)</f>
        <v>0</v>
      </c>
      <c r="AG26" s="125">
        <f>ROUND(IF($F$4="NO",Valores!$C$63,Valores!$C$63/2),2)</f>
        <v>12836.3</v>
      </c>
      <c r="AH26" s="125">
        <f t="shared" si="5"/>
        <v>646530.50000000012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-71118.35500000001</v>
      </c>
      <c r="AO26" s="125">
        <f>AH26*-Valores!$C$72</f>
        <v>0</v>
      </c>
      <c r="AP26" s="125">
        <f>AH26*Valores!$C$73</f>
        <v>-29093.872500000005</v>
      </c>
      <c r="AQ26" s="125">
        <f>Valores!$C$100</f>
        <v>-554.86</v>
      </c>
      <c r="AR26" s="125">
        <f>IF($F$5=0,Valores!$C$101,(Valores!$C$101+$F$5*(Valores!$C$101)))</f>
        <v>-852</v>
      </c>
      <c r="AS26" s="125">
        <f t="shared" si="6"/>
        <v>544911.41250000009</v>
      </c>
      <c r="AT26" s="125">
        <f t="shared" si="0"/>
        <v>-71118.35500000001</v>
      </c>
      <c r="AU26" s="125">
        <f>AH26*Valores!$C$74</f>
        <v>-17456.323500000002</v>
      </c>
      <c r="AV26" s="125">
        <f>AH26*Valores!$C$75</f>
        <v>-1939.5915000000005</v>
      </c>
      <c r="AW26" s="125">
        <f t="shared" si="4"/>
        <v>556016.2300000001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5155.2</v>
      </c>
      <c r="G27" s="192">
        <v>3737</v>
      </c>
      <c r="H27" s="125">
        <f>ROUND(G27*Valores!$C$2,2)</f>
        <v>200676.9</v>
      </c>
      <c r="I27" s="192">
        <v>1220</v>
      </c>
      <c r="J27" s="125">
        <f>ROUND(I27*Valores!$C$2,2)</f>
        <v>65514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0</v>
      </c>
      <c r="N27" s="125">
        <f t="shared" si="1"/>
        <v>75010.990000000005</v>
      </c>
      <c r="O27" s="125">
        <f>Valores!$C$12</f>
        <v>121829.98</v>
      </c>
      <c r="P27" s="125">
        <f>Valores!$D$5</f>
        <v>27451.439999999999</v>
      </c>
      <c r="Q27" s="125">
        <v>0</v>
      </c>
      <c r="R27" s="125">
        <f>IF($F$4="NO",Valores!$C$47,Valores!$C$47/2)</f>
        <v>28697.84</v>
      </c>
      <c r="S27" s="125">
        <f>Valores!$C$19</f>
        <v>25544</v>
      </c>
      <c r="T27" s="125">
        <f t="shared" si="7"/>
        <v>31930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75182.289999999994</v>
      </c>
      <c r="AA27" s="125">
        <f>Valores!$C$25</f>
        <v>1122.78</v>
      </c>
      <c r="AB27" s="214">
        <v>0</v>
      </c>
      <c r="AC27" s="125">
        <f t="shared" si="2"/>
        <v>0</v>
      </c>
      <c r="AD27" s="125">
        <f>Valores!$C$26</f>
        <v>1122.78</v>
      </c>
      <c r="AE27" s="192">
        <v>0</v>
      </c>
      <c r="AF27" s="125">
        <f>ROUND(AE27*Valores!$C$2,2)</f>
        <v>0</v>
      </c>
      <c r="AG27" s="125">
        <f>ROUND(IF($F$4="NO",Valores!$C$63,Valores!$C$63/2),2)</f>
        <v>12836.3</v>
      </c>
      <c r="AH27" s="125">
        <f t="shared" si="5"/>
        <v>646530.50000000012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-71118.35500000001</v>
      </c>
      <c r="AO27" s="125">
        <f>AH27*-Valores!$C$72</f>
        <v>0</v>
      </c>
      <c r="AP27" s="125">
        <f>AH27*Valores!$C$73</f>
        <v>-29093.872500000005</v>
      </c>
      <c r="AQ27" s="125">
        <f>Valores!$C$100</f>
        <v>-554.86</v>
      </c>
      <c r="AR27" s="125">
        <f>IF($F$5=0,Valores!$C$101,(Valores!$C$101+$F$5*(Valores!$C$101)))</f>
        <v>-852</v>
      </c>
      <c r="AS27" s="125">
        <f t="shared" si="6"/>
        <v>544911.41250000009</v>
      </c>
      <c r="AT27" s="125">
        <f t="shared" si="0"/>
        <v>-71118.35500000001</v>
      </c>
      <c r="AU27" s="125">
        <f>AH27*Valores!$C$74</f>
        <v>-17456.323500000002</v>
      </c>
      <c r="AV27" s="125">
        <f>AH27*Valores!$C$75</f>
        <v>-1939.5915000000005</v>
      </c>
      <c r="AW27" s="125">
        <f t="shared" si="4"/>
        <v>556016.2300000001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5745.9</v>
      </c>
      <c r="G28" s="192">
        <v>3728</v>
      </c>
      <c r="H28" s="125">
        <f>ROUND(G28*Valores!$C$2,2)</f>
        <v>200193.6</v>
      </c>
      <c r="I28" s="192">
        <v>1218</v>
      </c>
      <c r="J28" s="125">
        <f>ROUND(I28*Valores!$C$2,2)</f>
        <v>65406.6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0</v>
      </c>
      <c r="N28" s="125">
        <f t="shared" si="1"/>
        <v>75010.990000000005</v>
      </c>
      <c r="O28" s="125">
        <f>Valores!$C$12</f>
        <v>121829.98</v>
      </c>
      <c r="P28" s="125">
        <f>Valores!$D$5</f>
        <v>27451.439999999999</v>
      </c>
      <c r="Q28" s="125">
        <v>0</v>
      </c>
      <c r="R28" s="125">
        <f>IF($F$4="NO",Valores!$C$47,Valores!$C$47/2)</f>
        <v>28697.84</v>
      </c>
      <c r="S28" s="125">
        <f>Valores!$C$19</f>
        <v>25544</v>
      </c>
      <c r="T28" s="125">
        <f t="shared" si="7"/>
        <v>31930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75182.289999999994</v>
      </c>
      <c r="AA28" s="125">
        <f>Valores!$C$25</f>
        <v>1122.78</v>
      </c>
      <c r="AB28" s="214">
        <v>0</v>
      </c>
      <c r="AC28" s="125">
        <f t="shared" si="2"/>
        <v>0</v>
      </c>
      <c r="AD28" s="125">
        <f>Valores!$C$26</f>
        <v>1122.78</v>
      </c>
      <c r="AE28" s="192">
        <v>0</v>
      </c>
      <c r="AF28" s="125">
        <f>ROUND(AE28*Valores!$C$2,2)</f>
        <v>0</v>
      </c>
      <c r="AG28" s="125">
        <f>ROUND(IF($F$4="NO",Valores!$C$63,Valores!$C$63/2),2)</f>
        <v>12836.3</v>
      </c>
      <c r="AH28" s="125">
        <f t="shared" si="5"/>
        <v>646530.50000000012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-71118.35500000001</v>
      </c>
      <c r="AO28" s="125">
        <f>AH28*-Valores!$C$72</f>
        <v>0</v>
      </c>
      <c r="AP28" s="125">
        <f>AH28*Valores!$C$73</f>
        <v>-29093.872500000005</v>
      </c>
      <c r="AQ28" s="125">
        <f>Valores!$C$100</f>
        <v>-554.86</v>
      </c>
      <c r="AR28" s="125">
        <f>IF($F$5=0,Valores!$C$101,(Valores!$C$101+$F$5*(Valores!$C$101)))</f>
        <v>-852</v>
      </c>
      <c r="AS28" s="125">
        <f t="shared" si="6"/>
        <v>544911.41250000009</v>
      </c>
      <c r="AT28" s="125">
        <f t="shared" si="0"/>
        <v>-71118.35500000001</v>
      </c>
      <c r="AU28" s="125">
        <f>AH28*Valores!$C$74</f>
        <v>-17456.323500000002</v>
      </c>
      <c r="AV28" s="125">
        <f>AH28*Valores!$C$75</f>
        <v>-1939.5915000000005</v>
      </c>
      <c r="AW28" s="125">
        <f t="shared" si="4"/>
        <v>556016.2300000001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5047.8</v>
      </c>
      <c r="G29" s="192">
        <v>3624</v>
      </c>
      <c r="H29" s="125">
        <f>ROUND(G29*Valores!$C$2,2)</f>
        <v>194608.8</v>
      </c>
      <c r="I29" s="192">
        <v>1219</v>
      </c>
      <c r="J29" s="125">
        <f>ROUND(I29*Valores!$C$2,2)</f>
        <v>65460.3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0</v>
      </c>
      <c r="N29" s="125">
        <f t="shared" si="1"/>
        <v>73453.69</v>
      </c>
      <c r="O29" s="125">
        <f>Valores!$C$12</f>
        <v>121829.98</v>
      </c>
      <c r="P29" s="125">
        <f>Valores!$D$5</f>
        <v>27451.439999999999</v>
      </c>
      <c r="Q29" s="125">
        <v>0</v>
      </c>
      <c r="R29" s="125">
        <f>IF($F$4="NO",Valores!$C$47,Valores!$C$47/2)</f>
        <v>28697.84</v>
      </c>
      <c r="S29" s="125">
        <f>Valores!$C$19</f>
        <v>25544</v>
      </c>
      <c r="T29" s="125">
        <f t="shared" si="7"/>
        <v>31930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75182.289999999994</v>
      </c>
      <c r="AA29" s="125">
        <f>Valores!$C$25</f>
        <v>1122.78</v>
      </c>
      <c r="AB29" s="214">
        <v>0</v>
      </c>
      <c r="AC29" s="125">
        <f t="shared" si="2"/>
        <v>0</v>
      </c>
      <c r="AD29" s="125">
        <f>Valores!$C$26</f>
        <v>1122.78</v>
      </c>
      <c r="AE29" s="192">
        <v>0</v>
      </c>
      <c r="AF29" s="125">
        <f>ROUND(AE29*Valores!$C$2,2)</f>
        <v>0</v>
      </c>
      <c r="AG29" s="125">
        <f>ROUND(IF($F$4="NO",Valores!$C$63,Valores!$C$63/2),2)</f>
        <v>12836.3</v>
      </c>
      <c r="AH29" s="125">
        <f t="shared" si="5"/>
        <v>638744.00000000012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-70261.840000000011</v>
      </c>
      <c r="AO29" s="125">
        <f>AH29*-Valores!$C$72</f>
        <v>0</v>
      </c>
      <c r="AP29" s="125">
        <f>AH29*Valores!$C$73</f>
        <v>-28743.480000000003</v>
      </c>
      <c r="AQ29" s="125">
        <f>Valores!$C$100</f>
        <v>-554.86</v>
      </c>
      <c r="AR29" s="125">
        <f>IF($F$5=0,Valores!$C$101,(Valores!$C$101+$F$5*(Valores!$C$101)))</f>
        <v>-852</v>
      </c>
      <c r="AS29" s="125">
        <f t="shared" si="6"/>
        <v>538331.82000000007</v>
      </c>
      <c r="AT29" s="125">
        <f t="shared" si="0"/>
        <v>-70261.840000000011</v>
      </c>
      <c r="AU29" s="125">
        <f>AH29*Valores!$C$74</f>
        <v>-17246.088000000003</v>
      </c>
      <c r="AV29" s="125">
        <f>AH29*Valores!$C$75</f>
        <v>-1916.2320000000004</v>
      </c>
      <c r="AW29" s="125">
        <f t="shared" si="4"/>
        <v>549319.84000000008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4994.1000000000004</v>
      </c>
      <c r="G30" s="192">
        <v>3627</v>
      </c>
      <c r="H30" s="125">
        <f>ROUND(G30*Valores!$C$2,2)</f>
        <v>194769.9</v>
      </c>
      <c r="I30" s="192">
        <v>210</v>
      </c>
      <c r="J30" s="125">
        <f>ROUND(I30*Valores!$C$2,2)</f>
        <v>11277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0</v>
      </c>
      <c r="N30" s="125">
        <f t="shared" si="1"/>
        <v>59934.71</v>
      </c>
      <c r="O30" s="125">
        <f>Valores!$C$12</f>
        <v>121829.98</v>
      </c>
      <c r="P30" s="125">
        <f>Valores!$D$5</f>
        <v>27451.439999999999</v>
      </c>
      <c r="Q30" s="125">
        <v>0</v>
      </c>
      <c r="R30" s="125">
        <f>IF($F$4="NO",Valores!$C$47,Valores!$C$47/2)</f>
        <v>28697.84</v>
      </c>
      <c r="S30" s="125">
        <f>Valores!$C$19</f>
        <v>25544</v>
      </c>
      <c r="T30" s="125">
        <f t="shared" si="7"/>
        <v>31930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75182.289999999994</v>
      </c>
      <c r="AA30" s="125">
        <f>Valores!$C$25</f>
        <v>1122.78</v>
      </c>
      <c r="AB30" s="214">
        <v>0</v>
      </c>
      <c r="AC30" s="125">
        <f t="shared" si="2"/>
        <v>0</v>
      </c>
      <c r="AD30" s="125">
        <f>Valores!$C$26</f>
        <v>1122.78</v>
      </c>
      <c r="AE30" s="192">
        <v>0</v>
      </c>
      <c r="AF30" s="125">
        <f>ROUND(AE30*Valores!$C$2,2)</f>
        <v>0</v>
      </c>
      <c r="AG30" s="125">
        <f>ROUND(IF($F$4="NO",Valores!$C$63,Valores!$C$63/2),2)</f>
        <v>12836.3</v>
      </c>
      <c r="AH30" s="125">
        <f t="shared" si="5"/>
        <v>571149.12000000011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-62826.403200000015</v>
      </c>
      <c r="AO30" s="125">
        <f>AH30*-Valores!$C$72</f>
        <v>0</v>
      </c>
      <c r="AP30" s="125">
        <f>AH30*Valores!$C$73</f>
        <v>-25701.710400000004</v>
      </c>
      <c r="AQ30" s="125">
        <f>Valores!$C$100</f>
        <v>-554.86</v>
      </c>
      <c r="AR30" s="125">
        <f>IF($F$5=0,Valores!$C$101,(Valores!$C$101+$F$5*(Valores!$C$101)))</f>
        <v>-852</v>
      </c>
      <c r="AS30" s="125">
        <f t="shared" si="6"/>
        <v>481214.14640000009</v>
      </c>
      <c r="AT30" s="125">
        <f t="shared" si="0"/>
        <v>-62826.403200000015</v>
      </c>
      <c r="AU30" s="125">
        <f>AH30*Valores!$C$74</f>
        <v>-15421.026240000003</v>
      </c>
      <c r="AV30" s="125">
        <f>AH30*Valores!$C$75</f>
        <v>-1713.4473600000003</v>
      </c>
      <c r="AW30" s="125">
        <f t="shared" si="4"/>
        <v>491188.24320000008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4994.1000000000004</v>
      </c>
      <c r="G31" s="192">
        <v>3630</v>
      </c>
      <c r="H31" s="125">
        <f>ROUND(G31*Valores!$C$2,2)</f>
        <v>194931</v>
      </c>
      <c r="I31" s="192">
        <v>1214</v>
      </c>
      <c r="J31" s="125">
        <f>ROUND(I31*Valores!$C$2,2)</f>
        <v>65191.8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0</v>
      </c>
      <c r="N31" s="125">
        <f t="shared" si="1"/>
        <v>73453.69</v>
      </c>
      <c r="O31" s="125">
        <f>Valores!$C$12</f>
        <v>121829.98</v>
      </c>
      <c r="P31" s="125">
        <f>Valores!$D$5</f>
        <v>27451.439999999999</v>
      </c>
      <c r="Q31" s="125">
        <v>0</v>
      </c>
      <c r="R31" s="125">
        <f>IF($F$4="NO",Valores!$C$47,Valores!$C$47/2)</f>
        <v>28697.84</v>
      </c>
      <c r="S31" s="125">
        <f>Valores!$C$19</f>
        <v>25544</v>
      </c>
      <c r="T31" s="125">
        <f t="shared" si="7"/>
        <v>31930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75182.289999999994</v>
      </c>
      <c r="AA31" s="125">
        <f>Valores!$C$25</f>
        <v>1122.78</v>
      </c>
      <c r="AB31" s="214">
        <v>0</v>
      </c>
      <c r="AC31" s="125">
        <f t="shared" si="2"/>
        <v>0</v>
      </c>
      <c r="AD31" s="125">
        <f>Valores!$C$26</f>
        <v>1122.78</v>
      </c>
      <c r="AE31" s="192">
        <v>0</v>
      </c>
      <c r="AF31" s="125">
        <f>ROUND(AE31*Valores!$C$2,2)</f>
        <v>0</v>
      </c>
      <c r="AG31" s="125">
        <f>ROUND(IF($F$4="NO",Valores!$C$63,Valores!$C$63/2),2)</f>
        <v>12836.3</v>
      </c>
      <c r="AH31" s="125">
        <f t="shared" si="5"/>
        <v>638744.00000000023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-70261.840000000026</v>
      </c>
      <c r="AO31" s="125">
        <f>AH31*-Valores!$C$72</f>
        <v>0</v>
      </c>
      <c r="AP31" s="125">
        <f>AH31*Valores!$C$73</f>
        <v>-28743.48000000001</v>
      </c>
      <c r="AQ31" s="125">
        <f>Valores!$C$100</f>
        <v>-554.86</v>
      </c>
      <c r="AR31" s="125">
        <f>IF($F$5=0,Valores!$C$101,(Valores!$C$101+$F$5*(Valores!$C$101)))</f>
        <v>-852</v>
      </c>
      <c r="AS31" s="125">
        <f t="shared" si="6"/>
        <v>538331.82000000018</v>
      </c>
      <c r="AT31" s="125">
        <f t="shared" si="0"/>
        <v>-70261.840000000026</v>
      </c>
      <c r="AU31" s="125">
        <f>AH31*Valores!$C$74</f>
        <v>-17246.088000000007</v>
      </c>
      <c r="AV31" s="125">
        <f>AH31*Valores!$C$75</f>
        <v>-1916.2320000000007</v>
      </c>
      <c r="AW31" s="125">
        <f t="shared" si="4"/>
        <v>549319.8400000002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5155.2</v>
      </c>
      <c r="G32" s="192">
        <v>3737</v>
      </c>
      <c r="H32" s="125">
        <f>ROUND(G32*Valores!$C$2,2)</f>
        <v>200676.9</v>
      </c>
      <c r="I32" s="192">
        <v>1220</v>
      </c>
      <c r="J32" s="125">
        <f>ROUND(I32*Valores!$C$2,2)</f>
        <v>65514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0</v>
      </c>
      <c r="N32" s="125">
        <f t="shared" si="1"/>
        <v>75010.990000000005</v>
      </c>
      <c r="O32" s="125">
        <f>Valores!$C$12</f>
        <v>121829.98</v>
      </c>
      <c r="P32" s="125">
        <f>Valores!$D$5</f>
        <v>27451.439999999999</v>
      </c>
      <c r="Q32" s="125">
        <v>0</v>
      </c>
      <c r="R32" s="125">
        <f>IF($F$4="NO",Valores!$C$47,Valores!$C$47/2)</f>
        <v>28697.84</v>
      </c>
      <c r="S32" s="125">
        <f>Valores!$C$19</f>
        <v>25544</v>
      </c>
      <c r="T32" s="125">
        <f t="shared" si="7"/>
        <v>31930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45006.59</v>
      </c>
      <c r="Z32" s="125">
        <f>Valores!$C$96</f>
        <v>75182.289999999994</v>
      </c>
      <c r="AA32" s="125">
        <f>Valores!$C$25</f>
        <v>1122.78</v>
      </c>
      <c r="AB32" s="214">
        <v>0</v>
      </c>
      <c r="AC32" s="125">
        <f t="shared" si="2"/>
        <v>0</v>
      </c>
      <c r="AD32" s="125">
        <f>Valores!$C$26</f>
        <v>1122.78</v>
      </c>
      <c r="AE32" s="192">
        <v>0</v>
      </c>
      <c r="AF32" s="125">
        <f>ROUND(AE32*Valores!$C$2,2)</f>
        <v>0</v>
      </c>
      <c r="AG32" s="125">
        <f>ROUND(IF($F$4="NO",Valores!$C$63,Valores!$C$63/2),2)</f>
        <v>12836.3</v>
      </c>
      <c r="AH32" s="125">
        <f t="shared" si="5"/>
        <v>691537.09000000008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-76069.079900000012</v>
      </c>
      <c r="AO32" s="125">
        <f>AH32*-Valores!$C$72</f>
        <v>0</v>
      </c>
      <c r="AP32" s="125">
        <f>AH32*Valores!$C$73</f>
        <v>-31119.169050000004</v>
      </c>
      <c r="AQ32" s="125">
        <f>Valores!$C$100</f>
        <v>-554.86</v>
      </c>
      <c r="AR32" s="125">
        <f>IF($F$5=0,Valores!$C$101,(Valores!$C$101+$F$5*(Valores!$C$101)))</f>
        <v>-852</v>
      </c>
      <c r="AS32" s="125">
        <f t="shared" si="6"/>
        <v>582941.98105000006</v>
      </c>
      <c r="AT32" s="125">
        <f t="shared" si="0"/>
        <v>-76069.079900000012</v>
      </c>
      <c r="AU32" s="125">
        <f>AH32*Valores!$C$74</f>
        <v>-18671.50143</v>
      </c>
      <c r="AV32" s="125">
        <f>AH32*Valores!$C$75</f>
        <v>-2074.6112700000003</v>
      </c>
      <c r="AW32" s="125">
        <f t="shared" si="4"/>
        <v>594721.89740000013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4940.3999999999996</v>
      </c>
      <c r="G33" s="192">
        <v>3483</v>
      </c>
      <c r="H33" s="125">
        <f>ROUND(G33*Valores!$C$2,2)</f>
        <v>187037.1</v>
      </c>
      <c r="I33" s="192">
        <v>1217</v>
      </c>
      <c r="J33" s="125">
        <f>ROUND(I33*Valores!$C$2,2)</f>
        <v>65352.9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0</v>
      </c>
      <c r="N33" s="125">
        <f t="shared" si="1"/>
        <v>71507.06</v>
      </c>
      <c r="O33" s="125">
        <f>Valores!$C$12</f>
        <v>121829.98</v>
      </c>
      <c r="P33" s="125">
        <f>Valores!$D$5</f>
        <v>27451.439999999999</v>
      </c>
      <c r="Q33" s="125">
        <v>0</v>
      </c>
      <c r="R33" s="125">
        <f>IF($F$4="NO",Valores!$C$47,Valores!$C$47/2)</f>
        <v>28697.84</v>
      </c>
      <c r="S33" s="125">
        <f>Valores!$C$19</f>
        <v>25544</v>
      </c>
      <c r="T33" s="125">
        <f t="shared" si="7"/>
        <v>31930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75182.289999999994</v>
      </c>
      <c r="AA33" s="125">
        <f>Valores!$C$25</f>
        <v>1122.78</v>
      </c>
      <c r="AB33" s="214">
        <v>0</v>
      </c>
      <c r="AC33" s="125">
        <f t="shared" si="2"/>
        <v>0</v>
      </c>
      <c r="AD33" s="125">
        <f>Valores!$C$26</f>
        <v>1122.78</v>
      </c>
      <c r="AE33" s="192">
        <v>0</v>
      </c>
      <c r="AF33" s="125">
        <f>ROUND(AE33*Valores!$C$2,2)</f>
        <v>0</v>
      </c>
      <c r="AG33" s="125">
        <f>ROUND(IF($F$4="NO",Valores!$C$63,Valores!$C$63/2),2)</f>
        <v>12836.3</v>
      </c>
      <c r="AH33" s="125">
        <f t="shared" si="5"/>
        <v>629010.87000000011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-69191.195700000011</v>
      </c>
      <c r="AO33" s="125">
        <f>AH33*-Valores!$C$72</f>
        <v>0</v>
      </c>
      <c r="AP33" s="125">
        <f>AH33*Valores!$C$73</f>
        <v>-28305.489150000005</v>
      </c>
      <c r="AQ33" s="125">
        <f>Valores!$C$100</f>
        <v>-554.86</v>
      </c>
      <c r="AR33" s="125">
        <f>IF($F$5=0,Valores!$C$101,(Valores!$C$101+$F$5*(Valores!$C$101)))</f>
        <v>-852</v>
      </c>
      <c r="AS33" s="125">
        <f t="shared" si="6"/>
        <v>530107.32515000005</v>
      </c>
      <c r="AT33" s="125">
        <f t="shared" si="0"/>
        <v>-69191.195700000011</v>
      </c>
      <c r="AU33" s="125">
        <f>AH33*Valores!$C$74</f>
        <v>-16983.293490000004</v>
      </c>
      <c r="AV33" s="125">
        <f>AH33*Valores!$C$75</f>
        <v>-1887.0326100000004</v>
      </c>
      <c r="AW33" s="125">
        <f t="shared" si="4"/>
        <v>540949.34820000012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4564.5</v>
      </c>
      <c r="G34" s="192">
        <v>3498</v>
      </c>
      <c r="H34" s="125">
        <f>ROUND(G34*Valores!$C$2,2)</f>
        <v>187842.6</v>
      </c>
      <c r="I34" s="192">
        <v>1209</v>
      </c>
      <c r="J34" s="125">
        <f>ROUND(I34*Valores!$C$2,2)</f>
        <v>64923.3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0</v>
      </c>
      <c r="N34" s="125">
        <f t="shared" si="1"/>
        <v>71507.06</v>
      </c>
      <c r="O34" s="125">
        <f>Valores!$C$12</f>
        <v>121829.98</v>
      </c>
      <c r="P34" s="125">
        <f>Valores!$D$5</f>
        <v>27451.439999999999</v>
      </c>
      <c r="Q34" s="125">
        <v>0</v>
      </c>
      <c r="R34" s="125">
        <f>IF($F$4="NO",Valores!$C$47,Valores!$C$47/2)</f>
        <v>28697.84</v>
      </c>
      <c r="S34" s="125">
        <f>Valores!$C$19</f>
        <v>25544</v>
      </c>
      <c r="T34" s="125">
        <f t="shared" si="7"/>
        <v>31930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75182.289999999994</v>
      </c>
      <c r="AA34" s="125">
        <f>Valores!$C$25</f>
        <v>1122.78</v>
      </c>
      <c r="AB34" s="214">
        <v>0</v>
      </c>
      <c r="AC34" s="125">
        <f t="shared" si="2"/>
        <v>0</v>
      </c>
      <c r="AD34" s="125">
        <f>Valores!$C$26</f>
        <v>1122.78</v>
      </c>
      <c r="AE34" s="192">
        <v>0</v>
      </c>
      <c r="AF34" s="125">
        <f>ROUND(AE34*Valores!$C$2,2)</f>
        <v>0</v>
      </c>
      <c r="AG34" s="125">
        <f>ROUND(IF($F$4="NO",Valores!$C$63,Valores!$C$63/2),2)</f>
        <v>12836.3</v>
      </c>
      <c r="AH34" s="125">
        <f t="shared" si="5"/>
        <v>629010.87000000011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-69191.195700000011</v>
      </c>
      <c r="AO34" s="125">
        <f>AH34*-Valores!$C$72</f>
        <v>0</v>
      </c>
      <c r="AP34" s="125">
        <f>AH34*Valores!$C$73</f>
        <v>-28305.489150000005</v>
      </c>
      <c r="AQ34" s="125">
        <f>Valores!$C$100</f>
        <v>-554.86</v>
      </c>
      <c r="AR34" s="125">
        <f>IF($F$5=0,Valores!$C$101,(Valores!$C$101+$F$5*(Valores!$C$101)))</f>
        <v>-852</v>
      </c>
      <c r="AS34" s="125">
        <f t="shared" si="6"/>
        <v>530107.32515000005</v>
      </c>
      <c r="AT34" s="125">
        <f t="shared" si="0"/>
        <v>-69191.195700000011</v>
      </c>
      <c r="AU34" s="125">
        <f>AH34*Valores!$C$74</f>
        <v>-16983.293490000004</v>
      </c>
      <c r="AV34" s="125">
        <f>AH34*Valores!$C$75</f>
        <v>-1887.0326100000004</v>
      </c>
      <c r="AW34" s="125">
        <f t="shared" si="4"/>
        <v>540949.34820000012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4940.3999999999996</v>
      </c>
      <c r="G35" s="192">
        <v>3483</v>
      </c>
      <c r="H35" s="125">
        <f>ROUND(G35*Valores!$C$2,2)</f>
        <v>187037.1</v>
      </c>
      <c r="I35" s="192">
        <v>1217</v>
      </c>
      <c r="J35" s="125">
        <f>ROUND(I35*Valores!$C$2,2)</f>
        <v>65352.9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0</v>
      </c>
      <c r="N35" s="125">
        <f t="shared" si="1"/>
        <v>71507.06</v>
      </c>
      <c r="O35" s="125">
        <f>Valores!$C$12</f>
        <v>121829.98</v>
      </c>
      <c r="P35" s="125">
        <f>Valores!$D$5</f>
        <v>27451.439999999999</v>
      </c>
      <c r="Q35" s="125">
        <v>0</v>
      </c>
      <c r="R35" s="125">
        <f>IF($F$4="NO",Valores!$C$47,Valores!$C$47/2)</f>
        <v>28697.84</v>
      </c>
      <c r="S35" s="125">
        <f>Valores!$C$19</f>
        <v>25544</v>
      </c>
      <c r="T35" s="125">
        <f t="shared" si="7"/>
        <v>31930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75182.289999999994</v>
      </c>
      <c r="AA35" s="125">
        <f>Valores!$C$25</f>
        <v>1122.78</v>
      </c>
      <c r="AB35" s="214">
        <v>0</v>
      </c>
      <c r="AC35" s="125">
        <f t="shared" si="2"/>
        <v>0</v>
      </c>
      <c r="AD35" s="125">
        <f>Valores!$C$26</f>
        <v>1122.78</v>
      </c>
      <c r="AE35" s="192">
        <v>0</v>
      </c>
      <c r="AF35" s="125">
        <f>ROUND(AE35*Valores!$C$2,2)</f>
        <v>0</v>
      </c>
      <c r="AG35" s="125">
        <f>ROUND(IF($F$4="NO",Valores!$C$63,Valores!$C$63/2),2)</f>
        <v>12836.3</v>
      </c>
      <c r="AH35" s="125">
        <f t="shared" si="5"/>
        <v>629010.87000000011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-69191.195700000011</v>
      </c>
      <c r="AO35" s="125">
        <f>AH35*-Valores!$C$72</f>
        <v>0</v>
      </c>
      <c r="AP35" s="125">
        <f>AH35*Valores!$C$73</f>
        <v>-28305.489150000005</v>
      </c>
      <c r="AQ35" s="125">
        <f>Valores!$C$100</f>
        <v>-554.86</v>
      </c>
      <c r="AR35" s="125">
        <f>IF($F$5=0,Valores!$C$101,(Valores!$C$101+$F$5*(Valores!$C$101)))</f>
        <v>-852</v>
      </c>
      <c r="AS35" s="125">
        <f t="shared" si="6"/>
        <v>530107.32515000005</v>
      </c>
      <c r="AT35" s="125">
        <f t="shared" si="0"/>
        <v>-69191.195700000011</v>
      </c>
      <c r="AU35" s="125">
        <f>AH35*Valores!$C$74</f>
        <v>-16983.293490000004</v>
      </c>
      <c r="AV35" s="125">
        <f>AH35*Valores!$C$75</f>
        <v>-1887.0326100000004</v>
      </c>
      <c r="AW35" s="125">
        <f t="shared" si="4"/>
        <v>540949.34820000012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4564.5</v>
      </c>
      <c r="G36" s="192">
        <v>3498</v>
      </c>
      <c r="H36" s="125">
        <f>ROUND(G36*Valores!$C$2,2)</f>
        <v>187842.6</v>
      </c>
      <c r="I36" s="192">
        <v>1209</v>
      </c>
      <c r="J36" s="125">
        <f>ROUND(I36*Valores!$C$2,2)</f>
        <v>64923.3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0</v>
      </c>
      <c r="N36" s="125">
        <f t="shared" si="1"/>
        <v>71507.06</v>
      </c>
      <c r="O36" s="125">
        <f>Valores!$C$12</f>
        <v>121829.98</v>
      </c>
      <c r="P36" s="125">
        <f>Valores!$D$5</f>
        <v>27451.439999999999</v>
      </c>
      <c r="Q36" s="125">
        <v>0</v>
      </c>
      <c r="R36" s="125">
        <f>IF($F$4="NO",Valores!$C$47,Valores!$C$47/2)</f>
        <v>28697.84</v>
      </c>
      <c r="S36" s="125">
        <f>Valores!$C$19</f>
        <v>25544</v>
      </c>
      <c r="T36" s="125">
        <f t="shared" si="7"/>
        <v>31930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75182.289999999994</v>
      </c>
      <c r="AA36" s="125">
        <f>Valores!$C$25</f>
        <v>1122.78</v>
      </c>
      <c r="AB36" s="214">
        <v>0</v>
      </c>
      <c r="AC36" s="125">
        <f t="shared" si="2"/>
        <v>0</v>
      </c>
      <c r="AD36" s="125">
        <f>Valores!$C$26</f>
        <v>1122.78</v>
      </c>
      <c r="AE36" s="192">
        <v>0</v>
      </c>
      <c r="AF36" s="125">
        <f>ROUND(AE36*Valores!$C$2,2)</f>
        <v>0</v>
      </c>
      <c r="AG36" s="125">
        <f>ROUND(IF($F$4="NO",Valores!$C$63,Valores!$C$63/2),2)</f>
        <v>12836.3</v>
      </c>
      <c r="AH36" s="125">
        <f t="shared" si="5"/>
        <v>629010.87000000011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-69191.195700000011</v>
      </c>
      <c r="AO36" s="125">
        <f>AH36*-Valores!$C$72</f>
        <v>0</v>
      </c>
      <c r="AP36" s="125">
        <f>AH36*Valores!$C$73</f>
        <v>-28305.489150000005</v>
      </c>
      <c r="AQ36" s="125">
        <f>Valores!$C$100</f>
        <v>-554.86</v>
      </c>
      <c r="AR36" s="125">
        <f>IF($F$5=0,Valores!$C$101,(Valores!$C$101+$F$5*(Valores!$C$101)))</f>
        <v>-852</v>
      </c>
      <c r="AS36" s="125">
        <f t="shared" si="6"/>
        <v>530107.32515000005</v>
      </c>
      <c r="AT36" s="125">
        <f t="shared" si="0"/>
        <v>-69191.195700000011</v>
      </c>
      <c r="AU36" s="125">
        <f>AH36*Valores!$C$74</f>
        <v>-16983.293490000004</v>
      </c>
      <c r="AV36" s="125">
        <f>AH36*Valores!$C$75</f>
        <v>-1887.0326100000004</v>
      </c>
      <c r="AW36" s="125">
        <f t="shared" si="4"/>
        <v>540949.34820000012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4940.3999999999996</v>
      </c>
      <c r="G37" s="192">
        <v>3483</v>
      </c>
      <c r="H37" s="125">
        <f>ROUND(G37*Valores!$C$2,2)</f>
        <v>187037.1</v>
      </c>
      <c r="I37" s="192">
        <v>1217</v>
      </c>
      <c r="J37" s="125">
        <f>ROUND(I37*Valores!$C$2,2)</f>
        <v>65352.9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0</v>
      </c>
      <c r="N37" s="125">
        <f t="shared" si="1"/>
        <v>71507.06</v>
      </c>
      <c r="O37" s="125">
        <f>Valores!$C$12</f>
        <v>121829.98</v>
      </c>
      <c r="P37" s="125">
        <f>Valores!$D$5</f>
        <v>27451.439999999999</v>
      </c>
      <c r="Q37" s="125">
        <v>0</v>
      </c>
      <c r="R37" s="125">
        <f>IF($F$4="NO",Valores!$C$47,Valores!$C$47/2)</f>
        <v>28697.84</v>
      </c>
      <c r="S37" s="125">
        <f>Valores!$C$19</f>
        <v>25544</v>
      </c>
      <c r="T37" s="125">
        <f t="shared" si="7"/>
        <v>31930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42904.24</v>
      </c>
      <c r="Z37" s="125">
        <f>Valores!$C$96</f>
        <v>75182.289999999994</v>
      </c>
      <c r="AA37" s="125">
        <f>Valores!$C$25</f>
        <v>1122.78</v>
      </c>
      <c r="AB37" s="214">
        <v>0</v>
      </c>
      <c r="AC37" s="125">
        <f t="shared" si="2"/>
        <v>0</v>
      </c>
      <c r="AD37" s="125">
        <f>Valores!$C$26</f>
        <v>1122.78</v>
      </c>
      <c r="AE37" s="192">
        <v>0</v>
      </c>
      <c r="AF37" s="125">
        <f>ROUND(AE37*Valores!$C$2,2)</f>
        <v>0</v>
      </c>
      <c r="AG37" s="125">
        <f>ROUND(IF($F$4="NO",Valores!$C$63,Valores!$C$63/2),2)</f>
        <v>12836.3</v>
      </c>
      <c r="AH37" s="125">
        <f t="shared" si="5"/>
        <v>671915.1100000001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-73910.662100000016</v>
      </c>
      <c r="AO37" s="125">
        <f>AH37*-Valores!$C$72</f>
        <v>0</v>
      </c>
      <c r="AP37" s="125">
        <f>AH37*Valores!$C$73</f>
        <v>-30236.179950000005</v>
      </c>
      <c r="AQ37" s="125">
        <f>Valores!$C$100</f>
        <v>-554.86</v>
      </c>
      <c r="AR37" s="125">
        <f>IF($F$5=0,Valores!$C$101,(Valores!$C$101+$F$5*(Valores!$C$101)))</f>
        <v>-852</v>
      </c>
      <c r="AS37" s="125">
        <f t="shared" si="6"/>
        <v>566361.40795000014</v>
      </c>
      <c r="AT37" s="125">
        <f t="shared" si="0"/>
        <v>-73910.662100000016</v>
      </c>
      <c r="AU37" s="125">
        <f>AH37*Valores!$C$74</f>
        <v>-18141.707970000003</v>
      </c>
      <c r="AV37" s="125">
        <f>AH37*Valores!$C$75</f>
        <v>-2015.7453300000004</v>
      </c>
      <c r="AW37" s="125">
        <f t="shared" si="4"/>
        <v>577846.99460000009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4564.5</v>
      </c>
      <c r="G38" s="192">
        <v>3498</v>
      </c>
      <c r="H38" s="125">
        <f>ROUND(G38*Valores!$C$2,2)</f>
        <v>187842.6</v>
      </c>
      <c r="I38" s="192">
        <v>202</v>
      </c>
      <c r="J38" s="125">
        <f>ROUND(I38*Valores!$C$2,2)</f>
        <v>10847.4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0</v>
      </c>
      <c r="N38" s="125">
        <f t="shared" si="1"/>
        <v>57988.09</v>
      </c>
      <c r="O38" s="125">
        <f>Valores!$C$12</f>
        <v>121829.98</v>
      </c>
      <c r="P38" s="125">
        <f>Valores!$D$5</f>
        <v>27451.439999999999</v>
      </c>
      <c r="Q38" s="125">
        <v>0</v>
      </c>
      <c r="R38" s="125">
        <f>IF($F$4="NO",Valores!$C$47,Valores!$C$47/2)</f>
        <v>28697.84</v>
      </c>
      <c r="S38" s="125">
        <f>Valores!$C$19</f>
        <v>25544</v>
      </c>
      <c r="T38" s="125">
        <f t="shared" si="7"/>
        <v>31930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75182.289999999994</v>
      </c>
      <c r="AA38" s="125">
        <f>Valores!$C$25</f>
        <v>1122.78</v>
      </c>
      <c r="AB38" s="214">
        <v>0</v>
      </c>
      <c r="AC38" s="125">
        <f t="shared" si="2"/>
        <v>0</v>
      </c>
      <c r="AD38" s="125">
        <f>Valores!$C$26</f>
        <v>1122.78</v>
      </c>
      <c r="AE38" s="192">
        <v>0</v>
      </c>
      <c r="AF38" s="125">
        <f>ROUND(AE38*Valores!$C$2,2)</f>
        <v>0</v>
      </c>
      <c r="AG38" s="125">
        <f>ROUND(IF($F$4="NO",Valores!$C$63,Valores!$C$63/2),2)</f>
        <v>12836.3</v>
      </c>
      <c r="AH38" s="125">
        <f t="shared" si="5"/>
        <v>561416.00000000012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-61755.760000000017</v>
      </c>
      <c r="AO38" s="125">
        <f>AH38*-Valores!$C$72</f>
        <v>0</v>
      </c>
      <c r="AP38" s="125">
        <f>AH38*Valores!$C$73</f>
        <v>-25263.720000000005</v>
      </c>
      <c r="AQ38" s="125">
        <f>Valores!$C$100</f>
        <v>-554.86</v>
      </c>
      <c r="AR38" s="125">
        <f>IF($F$5=0,Valores!$C$101,(Valores!$C$101+$F$5*(Valores!$C$101)))</f>
        <v>-852</v>
      </c>
      <c r="AS38" s="125">
        <f t="shared" si="6"/>
        <v>472989.66000000009</v>
      </c>
      <c r="AT38" s="125">
        <f t="shared" si="0"/>
        <v>-61755.760000000017</v>
      </c>
      <c r="AU38" s="125">
        <f>AH38*Valores!$C$74</f>
        <v>-15158.232000000004</v>
      </c>
      <c r="AV38" s="125">
        <f>AH38*Valores!$C$75</f>
        <v>-1684.2480000000003</v>
      </c>
      <c r="AW38" s="125">
        <f t="shared" si="4"/>
        <v>482817.76000000007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4564.5</v>
      </c>
      <c r="G39" s="192">
        <v>3498</v>
      </c>
      <c r="H39" s="125">
        <f>ROUND(G39*Valores!$C$2,2)</f>
        <v>187842.6</v>
      </c>
      <c r="I39" s="192">
        <v>1209</v>
      </c>
      <c r="J39" s="125">
        <f>ROUND(I39*Valores!$C$2,2)</f>
        <v>64923.3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0</v>
      </c>
      <c r="N39" s="125">
        <f t="shared" si="1"/>
        <v>71507.06</v>
      </c>
      <c r="O39" s="125">
        <f>Valores!$C$12</f>
        <v>121829.98</v>
      </c>
      <c r="P39" s="125">
        <f>Valores!$D$5</f>
        <v>27451.439999999999</v>
      </c>
      <c r="Q39" s="125">
        <v>0</v>
      </c>
      <c r="R39" s="125">
        <f>IF($F$4="NO",Valores!$C$47,Valores!$C$47/2)</f>
        <v>28697.84</v>
      </c>
      <c r="S39" s="125">
        <f>Valores!$C$19</f>
        <v>25544</v>
      </c>
      <c r="T39" s="125">
        <f t="shared" si="7"/>
        <v>31930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75182.289999999994</v>
      </c>
      <c r="AA39" s="125">
        <f>Valores!$C$25</f>
        <v>1122.78</v>
      </c>
      <c r="AB39" s="214">
        <v>0</v>
      </c>
      <c r="AC39" s="125">
        <f t="shared" si="2"/>
        <v>0</v>
      </c>
      <c r="AD39" s="125">
        <f>Valores!$C$26</f>
        <v>1122.78</v>
      </c>
      <c r="AE39" s="192">
        <v>0</v>
      </c>
      <c r="AF39" s="125">
        <f>ROUND(AE39*Valores!$C$2,2)</f>
        <v>0</v>
      </c>
      <c r="AG39" s="125">
        <f>ROUND(IF($F$4="NO",Valores!$C$63,Valores!$C$63/2),2)</f>
        <v>12836.3</v>
      </c>
      <c r="AH39" s="125">
        <f t="shared" si="5"/>
        <v>629010.87000000011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-69191.195700000011</v>
      </c>
      <c r="AO39" s="125">
        <f>AH39*-Valores!$C$72</f>
        <v>0</v>
      </c>
      <c r="AP39" s="125">
        <f>AH39*Valores!$C$73</f>
        <v>-28305.489150000005</v>
      </c>
      <c r="AQ39" s="125">
        <f>Valores!$C$100</f>
        <v>-554.86</v>
      </c>
      <c r="AR39" s="125">
        <f>IF($F$5=0,Valores!$C$101,(Valores!$C$101+$F$5*(Valores!$C$101)))</f>
        <v>-852</v>
      </c>
      <c r="AS39" s="125">
        <f t="shared" si="6"/>
        <v>530107.32515000005</v>
      </c>
      <c r="AT39" s="125">
        <f t="shared" si="0"/>
        <v>-69191.195700000011</v>
      </c>
      <c r="AU39" s="125">
        <f>AH39*Valores!$C$74</f>
        <v>-16983.293490000004</v>
      </c>
      <c r="AV39" s="125">
        <f>AH39*Valores!$C$75</f>
        <v>-1887.0326100000004</v>
      </c>
      <c r="AW39" s="125">
        <f t="shared" si="4"/>
        <v>540949.34820000012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4564.5</v>
      </c>
      <c r="G40" s="192">
        <v>3498</v>
      </c>
      <c r="H40" s="125">
        <f>ROUND(G40*Valores!$C$2,2)</f>
        <v>187842.6</v>
      </c>
      <c r="I40" s="192">
        <v>1209</v>
      </c>
      <c r="J40" s="125">
        <f>ROUND(I40*Valores!$C$2,2)</f>
        <v>64923.3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0</v>
      </c>
      <c r="N40" s="125">
        <f t="shared" si="1"/>
        <v>71507.06</v>
      </c>
      <c r="O40" s="125">
        <f>Valores!$C$12</f>
        <v>121829.98</v>
      </c>
      <c r="P40" s="125">
        <f>Valores!$D$5</f>
        <v>27451.439999999999</v>
      </c>
      <c r="Q40" s="125">
        <v>0</v>
      </c>
      <c r="R40" s="125">
        <f>IF($F$4="NO",Valores!$C$47,Valores!$C$47/2)</f>
        <v>28697.84</v>
      </c>
      <c r="S40" s="125">
        <f>Valores!$C$19</f>
        <v>25544</v>
      </c>
      <c r="T40" s="125">
        <f t="shared" si="7"/>
        <v>31930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75182.289999999994</v>
      </c>
      <c r="AA40" s="125">
        <f>Valores!$C$25</f>
        <v>1122.78</v>
      </c>
      <c r="AB40" s="214">
        <v>0</v>
      </c>
      <c r="AC40" s="125">
        <f t="shared" si="2"/>
        <v>0</v>
      </c>
      <c r="AD40" s="125">
        <f>Valores!$C$26</f>
        <v>1122.78</v>
      </c>
      <c r="AE40" s="192">
        <v>0</v>
      </c>
      <c r="AF40" s="125">
        <f>ROUND(AE40*Valores!$C$2,2)</f>
        <v>0</v>
      </c>
      <c r="AG40" s="125">
        <f>ROUND(IF($F$4="NO",Valores!$C$63,Valores!$C$63/2),2)</f>
        <v>12836.3</v>
      </c>
      <c r="AH40" s="125">
        <f t="shared" si="5"/>
        <v>629010.87000000011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-69191.195700000011</v>
      </c>
      <c r="AO40" s="125">
        <f>AH40*-Valores!$C$72</f>
        <v>0</v>
      </c>
      <c r="AP40" s="125">
        <f>AH40*Valores!$C$73</f>
        <v>-28305.489150000005</v>
      </c>
      <c r="AQ40" s="125">
        <f>Valores!$C$100</f>
        <v>-554.86</v>
      </c>
      <c r="AR40" s="125">
        <f>IF($F$5=0,Valores!$C$101,(Valores!$C$101+$F$5*(Valores!$C$101)))</f>
        <v>-852</v>
      </c>
      <c r="AS40" s="125">
        <f t="shared" si="6"/>
        <v>530107.32515000005</v>
      </c>
      <c r="AT40" s="125">
        <f t="shared" si="0"/>
        <v>-69191.195700000011</v>
      </c>
      <c r="AU40" s="125">
        <f>AH40*Valores!$C$74</f>
        <v>-16983.293490000004</v>
      </c>
      <c r="AV40" s="125">
        <f>AH40*Valores!$C$75</f>
        <v>-1887.0326100000004</v>
      </c>
      <c r="AW40" s="125">
        <f t="shared" si="4"/>
        <v>540949.34820000012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5423.7</v>
      </c>
      <c r="G41" s="192">
        <v>2548</v>
      </c>
      <c r="H41" s="125">
        <f>ROUND(G41*Valores!$C$2,2)</f>
        <v>136827.6</v>
      </c>
      <c r="I41" s="192">
        <v>216</v>
      </c>
      <c r="J41" s="125">
        <f>ROUND(I41*Valores!$C$2,2)</f>
        <v>11599.2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0</v>
      </c>
      <c r="N41" s="125">
        <f t="shared" si="1"/>
        <v>44304.39</v>
      </c>
      <c r="O41" s="125">
        <f>Valores!$C$9</f>
        <v>67480.59</v>
      </c>
      <c r="P41" s="125">
        <f>Valores!$D$5</f>
        <v>27451.439999999999</v>
      </c>
      <c r="Q41" s="125">
        <v>0</v>
      </c>
      <c r="R41" s="125">
        <f>IF($F$4="NO",Valores!$C$46,Valores!$C$46/2)</f>
        <v>23367.07</v>
      </c>
      <c r="S41" s="125">
        <f>Valores!$C$19</f>
        <v>25544</v>
      </c>
      <c r="T41" s="125">
        <f t="shared" si="7"/>
        <v>31930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37591.14</v>
      </c>
      <c r="AA41" s="125">
        <f>Valores!$C$25</f>
        <v>1122.78</v>
      </c>
      <c r="AB41" s="214">
        <v>0</v>
      </c>
      <c r="AC41" s="125">
        <f t="shared" si="2"/>
        <v>0</v>
      </c>
      <c r="AD41" s="125">
        <f>Valores!$C$26</f>
        <v>1122.78</v>
      </c>
      <c r="AE41" s="192">
        <v>0</v>
      </c>
      <c r="AF41" s="125">
        <f>ROUND(AE41*Valores!$C$2,2)</f>
        <v>0</v>
      </c>
      <c r="AG41" s="125">
        <f>ROUND(IF($F$4="NO",Valores!$C$63,Valores!$C$63/2),2)</f>
        <v>12836.3</v>
      </c>
      <c r="AH41" s="125">
        <f t="shared" si="5"/>
        <v>401056.99000000005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-44116.268900000003</v>
      </c>
      <c r="AO41" s="125">
        <f>AH41*-Valores!$C$72</f>
        <v>0</v>
      </c>
      <c r="AP41" s="125">
        <f>AH41*Valores!$C$73</f>
        <v>-18047.564550000003</v>
      </c>
      <c r="AQ41" s="125">
        <f>Valores!$C$100</f>
        <v>-554.86</v>
      </c>
      <c r="AR41" s="125">
        <f>IF($F$5=0,Valores!$C$101,(Valores!$C$101+$F$5*(Valores!$C$101)))</f>
        <v>-852</v>
      </c>
      <c r="AS41" s="125">
        <f t="shared" si="6"/>
        <v>337486.29655000003</v>
      </c>
      <c r="AT41" s="125">
        <f t="shared" si="0"/>
        <v>-44116.268900000003</v>
      </c>
      <c r="AU41" s="125">
        <f>AH41*Valores!$C$74</f>
        <v>-10828.538730000002</v>
      </c>
      <c r="AV41" s="125">
        <f>AH41*Valores!$C$75</f>
        <v>-1203.1709700000001</v>
      </c>
      <c r="AW41" s="125">
        <f t="shared" si="4"/>
        <v>344909.01140000008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5423.7</v>
      </c>
      <c r="G42" s="192">
        <v>2548</v>
      </c>
      <c r="H42" s="125">
        <f>ROUND(G42*Valores!$C$2,2)</f>
        <v>136827.6</v>
      </c>
      <c r="I42" s="192">
        <v>216</v>
      </c>
      <c r="J42" s="125">
        <f>ROUND(I42*Valores!$C$2,2)</f>
        <v>11599.2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0</v>
      </c>
      <c r="N42" s="125">
        <f t="shared" si="1"/>
        <v>44304.39</v>
      </c>
      <c r="O42" s="125">
        <f>Valores!$C$9</f>
        <v>67480.59</v>
      </c>
      <c r="P42" s="125">
        <f>Valores!$D$5</f>
        <v>27451.439999999999</v>
      </c>
      <c r="Q42" s="125">
        <v>0</v>
      </c>
      <c r="R42" s="125">
        <f>IF($F$4="NO",Valores!$C$46,Valores!$C$46/2)</f>
        <v>23367.07</v>
      </c>
      <c r="S42" s="125">
        <f>Valores!$C$19</f>
        <v>25544</v>
      </c>
      <c r="T42" s="125">
        <f t="shared" si="7"/>
        <v>31930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37591.14</v>
      </c>
      <c r="AA42" s="125">
        <f>Valores!$C$25</f>
        <v>1122.78</v>
      </c>
      <c r="AB42" s="214">
        <v>0</v>
      </c>
      <c r="AC42" s="125">
        <f t="shared" si="2"/>
        <v>0</v>
      </c>
      <c r="AD42" s="125">
        <f>Valores!$C$26</f>
        <v>1122.78</v>
      </c>
      <c r="AE42" s="192">
        <v>0</v>
      </c>
      <c r="AF42" s="125">
        <f>ROUND(AE42*Valores!$C$2,2)</f>
        <v>0</v>
      </c>
      <c r="AG42" s="125">
        <f>ROUND(IF($F$4="NO",Valores!$C$63,Valores!$C$63/2),2)</f>
        <v>12836.3</v>
      </c>
      <c r="AH42" s="125">
        <f t="shared" si="5"/>
        <v>401056.99000000005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-44116.268900000003</v>
      </c>
      <c r="AO42" s="125">
        <f>AH42*-Valores!$C$72</f>
        <v>0</v>
      </c>
      <c r="AP42" s="125">
        <f>AH42*Valores!$C$73</f>
        <v>-18047.564550000003</v>
      </c>
      <c r="AQ42" s="125">
        <f>Valores!$C$100</f>
        <v>-554.86</v>
      </c>
      <c r="AR42" s="125">
        <f>IF($F$5=0,Valores!$C$101,(Valores!$C$101+$F$5*(Valores!$C$101)))</f>
        <v>-852</v>
      </c>
      <c r="AS42" s="125">
        <f t="shared" si="6"/>
        <v>337486.29655000003</v>
      </c>
      <c r="AT42" s="125">
        <f t="shared" si="0"/>
        <v>-44116.268900000003</v>
      </c>
      <c r="AU42" s="125">
        <f>AH42*Valores!$C$74</f>
        <v>-10828.538730000002</v>
      </c>
      <c r="AV42" s="125">
        <f>AH42*Valores!$C$75</f>
        <v>-1203.1709700000001</v>
      </c>
      <c r="AW42" s="125">
        <f t="shared" si="4"/>
        <v>344909.01140000008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5155.2</v>
      </c>
      <c r="G43" s="192">
        <v>2475</v>
      </c>
      <c r="H43" s="125">
        <f>ROUND(G43*Valores!$C$2,2)</f>
        <v>132907.5</v>
      </c>
      <c r="I43" s="192">
        <v>213</v>
      </c>
      <c r="J43" s="125">
        <f>ROUND(I43*Valores!$C$2,2)</f>
        <v>11438.1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0</v>
      </c>
      <c r="N43" s="125">
        <f t="shared" si="1"/>
        <v>42142.76</v>
      </c>
      <c r="O43" s="125">
        <f>Valores!$C$9</f>
        <v>67480.59</v>
      </c>
      <c r="P43" s="125">
        <f>Valores!$D$5</f>
        <v>27451.439999999999</v>
      </c>
      <c r="Q43" s="125">
        <v>0</v>
      </c>
      <c r="R43" s="125">
        <f>IF($F$4="NO",Valores!$C$44,Valores!$C$44/2)</f>
        <v>19070.25</v>
      </c>
      <c r="S43" s="125">
        <f>Valores!$C$19</f>
        <v>25544</v>
      </c>
      <c r="T43" s="125">
        <f t="shared" si="7"/>
        <v>31930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37591.14</v>
      </c>
      <c r="AA43" s="125">
        <f>Valores!$C$25</f>
        <v>1122.78</v>
      </c>
      <c r="AB43" s="214">
        <v>0</v>
      </c>
      <c r="AC43" s="125">
        <f t="shared" si="2"/>
        <v>0</v>
      </c>
      <c r="AD43" s="125">
        <f>Valores!$C$26</f>
        <v>1122.78</v>
      </c>
      <c r="AE43" s="192">
        <v>0</v>
      </c>
      <c r="AF43" s="125">
        <f>ROUND(AE43*Valores!$C$2,2)</f>
        <v>0</v>
      </c>
      <c r="AG43" s="125">
        <f>ROUND(IF($F$4="NO",Valores!$C$63,Valores!$C$63/2),2)</f>
        <v>12836.3</v>
      </c>
      <c r="AH43" s="125">
        <f t="shared" si="5"/>
        <v>390248.84000000008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-42927.372400000007</v>
      </c>
      <c r="AO43" s="125">
        <f>AH43*-Valores!$C$72</f>
        <v>0</v>
      </c>
      <c r="AP43" s="125">
        <f>AH43*Valores!$C$73</f>
        <v>-17561.197800000002</v>
      </c>
      <c r="AQ43" s="125">
        <f>Valores!$C$100</f>
        <v>-554.86</v>
      </c>
      <c r="AR43" s="125">
        <f>IF($F$5=0,Valores!$C$101,(Valores!$C$101+$F$5*(Valores!$C$101)))</f>
        <v>-852</v>
      </c>
      <c r="AS43" s="125">
        <f t="shared" si="6"/>
        <v>328353.40980000008</v>
      </c>
      <c r="AT43" s="125">
        <f t="shared" si="0"/>
        <v>-42927.372400000007</v>
      </c>
      <c r="AU43" s="125">
        <f>AH43*Valores!$C$74</f>
        <v>-10536.718680000002</v>
      </c>
      <c r="AV43" s="125">
        <f>AH43*Valores!$C$75</f>
        <v>-1170.7465200000004</v>
      </c>
      <c r="AW43" s="125">
        <f t="shared" si="4"/>
        <v>335614.00240000006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3866.4</v>
      </c>
      <c r="G44" s="192">
        <v>2471</v>
      </c>
      <c r="H44" s="125">
        <f>ROUND(G44*Valores!$C$2,2)</f>
        <v>132692.70000000001</v>
      </c>
      <c r="I44" s="192">
        <v>199</v>
      </c>
      <c r="J44" s="125">
        <f>ROUND(I44*Valores!$C$2,2)</f>
        <v>10686.3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0</v>
      </c>
      <c r="N44" s="125">
        <f t="shared" si="1"/>
        <v>41578.910000000003</v>
      </c>
      <c r="O44" s="125">
        <f>Valores!$C$9</f>
        <v>67480.59</v>
      </c>
      <c r="P44" s="125">
        <f>Valores!$D$5</f>
        <v>27451.439999999999</v>
      </c>
      <c r="Q44" s="125">
        <v>0</v>
      </c>
      <c r="R44" s="125">
        <f>IF($F$4="NO",Valores!$C$44,Valores!$C$44/2)</f>
        <v>19070.25</v>
      </c>
      <c r="S44" s="125">
        <f>Valores!$C$19</f>
        <v>25544</v>
      </c>
      <c r="T44" s="125">
        <f t="shared" si="7"/>
        <v>31930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37591.14</v>
      </c>
      <c r="AA44" s="125">
        <f>Valores!$C$25</f>
        <v>1122.78</v>
      </c>
      <c r="AB44" s="214">
        <v>0</v>
      </c>
      <c r="AC44" s="125">
        <f t="shared" si="2"/>
        <v>0</v>
      </c>
      <c r="AD44" s="125">
        <f>Valores!$C$26</f>
        <v>1122.78</v>
      </c>
      <c r="AE44" s="192">
        <v>0</v>
      </c>
      <c r="AF44" s="125">
        <f>ROUND(AE44*Valores!$C$2,2)</f>
        <v>0</v>
      </c>
      <c r="AG44" s="125">
        <f>ROUND(IF($F$4="NO",Valores!$C$63,Valores!$C$63/2),2)</f>
        <v>12836.3</v>
      </c>
      <c r="AH44" s="125">
        <f t="shared" si="5"/>
        <v>387429.59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-42617.2549</v>
      </c>
      <c r="AO44" s="125">
        <f>AH44*-Valores!$C$72</f>
        <v>0</v>
      </c>
      <c r="AP44" s="125">
        <f>AH44*Valores!$C$73</f>
        <v>-17434.331549999999</v>
      </c>
      <c r="AQ44" s="125">
        <f>Valores!$C$100</f>
        <v>-554.86</v>
      </c>
      <c r="AR44" s="125">
        <f>IF($F$5=0,Valores!$C$101,(Valores!$C$101+$F$5*(Valores!$C$101)))</f>
        <v>-852</v>
      </c>
      <c r="AS44" s="125">
        <f t="shared" si="6"/>
        <v>325971.14355000004</v>
      </c>
      <c r="AT44" s="125">
        <f t="shared" si="0"/>
        <v>-42617.2549</v>
      </c>
      <c r="AU44" s="125">
        <f>AH44*Valores!$C$74</f>
        <v>-10460.59893</v>
      </c>
      <c r="AV44" s="125">
        <f>AH44*Valores!$C$75</f>
        <v>-1162.2887700000001</v>
      </c>
      <c r="AW44" s="125">
        <f t="shared" si="4"/>
        <v>333189.4474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4564.5</v>
      </c>
      <c r="G45" s="192">
        <f>G39</f>
        <v>3498</v>
      </c>
      <c r="H45" s="125">
        <f>ROUND(G45*Valores!$C$2,2)</f>
        <v>187842.6</v>
      </c>
      <c r="I45" s="192">
        <f>I39</f>
        <v>1209</v>
      </c>
      <c r="J45" s="125">
        <f>ROUND(I45*Valores!$C$2,2)</f>
        <v>64923.3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0</v>
      </c>
      <c r="N45" s="125">
        <f t="shared" si="1"/>
        <v>70174.37</v>
      </c>
      <c r="O45" s="125">
        <f>O39</f>
        <v>121829.98</v>
      </c>
      <c r="P45" s="125">
        <f>Valores!$D$5</f>
        <v>27451.439999999999</v>
      </c>
      <c r="Q45" s="125">
        <v>0</v>
      </c>
      <c r="R45" s="125">
        <f>IF($F$4="NO",Valores!$C$46,Valores!$C$46/2)</f>
        <v>23367.07</v>
      </c>
      <c r="S45" s="125">
        <f>S39</f>
        <v>25544</v>
      </c>
      <c r="T45" s="125">
        <f t="shared" si="7"/>
        <v>31930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75182.289999999994</v>
      </c>
      <c r="AA45" s="125">
        <f>Valores!$C$25</f>
        <v>1122.78</v>
      </c>
      <c r="AB45" s="214">
        <v>0</v>
      </c>
      <c r="AC45" s="125">
        <f t="shared" si="2"/>
        <v>0</v>
      </c>
      <c r="AD45" s="125">
        <f>Valores!$C$26</f>
        <v>1122.78</v>
      </c>
      <c r="AE45" s="192">
        <v>0</v>
      </c>
      <c r="AF45" s="125">
        <f>ROUND(AE45*Valores!$C$2,2)</f>
        <v>0</v>
      </c>
      <c r="AG45" s="125">
        <f>ROUND(IF($F$4="NO",Valores!$C$63,Valores!$C$63/2),2)</f>
        <v>12836.3</v>
      </c>
      <c r="AH45" s="125">
        <f t="shared" si="5"/>
        <v>622347.41000000015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-68458.215100000016</v>
      </c>
      <c r="AO45" s="125">
        <f>AH45*-Valores!$C$72</f>
        <v>0</v>
      </c>
      <c r="AP45" s="125">
        <f>AH45*Valores!$C$73</f>
        <v>-28005.633450000005</v>
      </c>
      <c r="AQ45" s="125">
        <f>Valores!$C$100</f>
        <v>-554.86</v>
      </c>
      <c r="AR45" s="125">
        <f>IF($F$5=0,Valores!$C$101,(Valores!$C$101+$F$5*(Valores!$C$101)))</f>
        <v>-852</v>
      </c>
      <c r="AS45" s="125">
        <f t="shared" si="6"/>
        <v>524476.70145000017</v>
      </c>
      <c r="AT45" s="125">
        <f t="shared" si="0"/>
        <v>-68458.215100000016</v>
      </c>
      <c r="AU45" s="125">
        <f>AH45*Valores!$C$74</f>
        <v>-16803.380070000003</v>
      </c>
      <c r="AV45" s="125">
        <f>AH45*Valores!$C$75</f>
        <v>-1867.0422300000005</v>
      </c>
      <c r="AW45" s="125">
        <f t="shared" si="4"/>
        <v>535218.77260000014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27816.6</v>
      </c>
      <c r="G46" s="192">
        <f>G88+G304</f>
        <v>1997</v>
      </c>
      <c r="H46" s="125">
        <f>ROUND(G46*Valores!$C$2,2)</f>
        <v>107238.9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0</v>
      </c>
      <c r="N46" s="125">
        <f t="shared" si="1"/>
        <v>39730.53</v>
      </c>
      <c r="O46" s="125">
        <f>O88+O304</f>
        <v>77592.539999999994</v>
      </c>
      <c r="P46" s="125">
        <f>Valores!$D$5</f>
        <v>27451.439999999999</v>
      </c>
      <c r="Q46" s="125">
        <f>Q88+Q304</f>
        <v>24491.06</v>
      </c>
      <c r="R46" s="125">
        <f>R88+R304</f>
        <v>23866.6</v>
      </c>
      <c r="S46" s="125">
        <f>S88+S304</f>
        <v>25544</v>
      </c>
      <c r="T46" s="125">
        <f t="shared" si="7"/>
        <v>31930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37591.14</v>
      </c>
      <c r="AA46" s="125">
        <f>Valores!$C$25</f>
        <v>1122.78</v>
      </c>
      <c r="AB46" s="214">
        <v>0</v>
      </c>
      <c r="AC46" s="125">
        <f t="shared" si="2"/>
        <v>0</v>
      </c>
      <c r="AD46" s="125">
        <f>Valores!$C$26</f>
        <v>1122.78</v>
      </c>
      <c r="AE46" s="192">
        <v>0</v>
      </c>
      <c r="AF46" s="125">
        <f>ROUND(AE46*Valores!$C$2,2)</f>
        <v>0</v>
      </c>
      <c r="AG46" s="125">
        <f>ROUND(IF($F$4="NO",Valores!$C$63,Valores!$C$63/2),2)</f>
        <v>12836.3</v>
      </c>
      <c r="AH46" s="125">
        <f t="shared" si="5"/>
        <v>412790.67000000004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-45406.973700000002</v>
      </c>
      <c r="AO46" s="125">
        <f>AH46*-Valores!$C$72</f>
        <v>0</v>
      </c>
      <c r="AP46" s="125">
        <f>AH46*Valores!$C$73</f>
        <v>-18575.580150000002</v>
      </c>
      <c r="AQ46" s="125">
        <f>Valores!$C$100</f>
        <v>-554.86</v>
      </c>
      <c r="AR46" s="125">
        <f>IF($F$5=0,Valores!$C$101,(Valores!$C$101+$F$5*(Valores!$C$101)))</f>
        <v>-852</v>
      </c>
      <c r="AS46" s="125">
        <f t="shared" si="6"/>
        <v>347401.25615000003</v>
      </c>
      <c r="AT46" s="125">
        <f t="shared" si="0"/>
        <v>-45406.973700000002</v>
      </c>
      <c r="AU46" s="125">
        <f>AH46*Valores!$C$74</f>
        <v>-11145.348090000001</v>
      </c>
      <c r="AV46" s="125">
        <f>AH46*Valores!$C$75</f>
        <v>-1238.37201</v>
      </c>
      <c r="AW46" s="125">
        <f t="shared" si="4"/>
        <v>354999.97620000003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30716.400000000001</v>
      </c>
      <c r="G47" s="192">
        <f>G55+G237</f>
        <v>2686</v>
      </c>
      <c r="H47" s="125">
        <f>ROUND(G47*Valores!$C$2,2)</f>
        <v>144238.20000000001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0</v>
      </c>
      <c r="N47" s="125">
        <f t="shared" si="1"/>
        <v>50211.66</v>
      </c>
      <c r="O47" s="125">
        <f>O55+O237</f>
        <v>78407.31</v>
      </c>
      <c r="P47" s="125">
        <f>Valores!$D$5</f>
        <v>27451.439999999999</v>
      </c>
      <c r="Q47" s="125">
        <f>Q55+Q237</f>
        <v>24491.06</v>
      </c>
      <c r="R47" s="125">
        <f>R55+R237</f>
        <v>25892.02</v>
      </c>
      <c r="S47" s="125">
        <f>S55+S237</f>
        <v>28980.62</v>
      </c>
      <c r="T47" s="125">
        <f t="shared" si="7"/>
        <v>36225.78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55600.79</v>
      </c>
      <c r="AA47" s="125">
        <f>AA55+AA237</f>
        <v>1392.72</v>
      </c>
      <c r="AB47" s="214">
        <v>0</v>
      </c>
      <c r="AC47" s="125">
        <f t="shared" si="2"/>
        <v>0</v>
      </c>
      <c r="AD47" s="125">
        <f>Valores!$C$26</f>
        <v>1122.78</v>
      </c>
      <c r="AE47" s="192">
        <v>0</v>
      </c>
      <c r="AF47" s="125">
        <f>ROUND(AE47*Valores!$C$2,2)</f>
        <v>0</v>
      </c>
      <c r="AG47" s="125">
        <f>AG55+AG237</f>
        <v>17970.8</v>
      </c>
      <c r="AH47" s="125">
        <f t="shared" si="5"/>
        <v>493720.95999999996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-54309.3056</v>
      </c>
      <c r="AO47" s="125">
        <f>AH47*-Valores!$C$72</f>
        <v>0</v>
      </c>
      <c r="AP47" s="125">
        <f>AH47*Valores!$C$73</f>
        <v>-22217.443199999998</v>
      </c>
      <c r="AQ47" s="125">
        <f>Valores!$C$100</f>
        <v>-554.86</v>
      </c>
      <c r="AR47" s="125">
        <f>IF($F$5=0,Valores!$C$101,(Valores!$C$101+$F$5*(Valores!$C$101)))</f>
        <v>-852</v>
      </c>
      <c r="AS47" s="125">
        <f t="shared" si="6"/>
        <v>415787.35119999998</v>
      </c>
      <c r="AT47" s="125">
        <f t="shared" si="0"/>
        <v>-54309.3056</v>
      </c>
      <c r="AU47" s="125">
        <f>AH47*Valores!$C$74</f>
        <v>-13330.465919999999</v>
      </c>
      <c r="AV47" s="125">
        <f>AH47*Valores!$C$75</f>
        <v>-1481.1628799999999</v>
      </c>
      <c r="AW47" s="125">
        <f t="shared" si="4"/>
        <v>424600.02559999994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5799.6</v>
      </c>
      <c r="G48" s="192">
        <v>2907</v>
      </c>
      <c r="H48" s="125">
        <f>ROUND(G48*Valores!$C$2,2)</f>
        <v>156105.9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0</v>
      </c>
      <c r="N48" s="125">
        <f t="shared" si="1"/>
        <v>45510.48</v>
      </c>
      <c r="O48" s="125">
        <f>Valores!$C$9</f>
        <v>67480.59</v>
      </c>
      <c r="P48" s="125">
        <f>Valores!$D$5</f>
        <v>27451.439999999999</v>
      </c>
      <c r="Q48" s="125">
        <f>Valores!$C$22</f>
        <v>24491.06</v>
      </c>
      <c r="R48" s="125">
        <f>IF($F$4="NO",Valores!$C$45,Valores!$C$45/2)</f>
        <v>20136.400000000001</v>
      </c>
      <c r="S48" s="125">
        <f>Valores!$C$19</f>
        <v>25544</v>
      </c>
      <c r="T48" s="125">
        <f t="shared" si="7"/>
        <v>31930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45109.37</v>
      </c>
      <c r="AA48" s="125">
        <f>Valores!$C$25</f>
        <v>1122.78</v>
      </c>
      <c r="AB48" s="214">
        <v>0</v>
      </c>
      <c r="AC48" s="125">
        <f t="shared" si="2"/>
        <v>0</v>
      </c>
      <c r="AD48" s="125">
        <f>Valores!$C$26</f>
        <v>1122.78</v>
      </c>
      <c r="AE48" s="192">
        <v>0</v>
      </c>
      <c r="AF48" s="125">
        <f>ROUND(AE48*Valores!$C$2,2)</f>
        <v>0</v>
      </c>
      <c r="AG48" s="125">
        <f>ROUND(IF($F$4="NO",Valores!$C$63,Valores!$C$63/2),2)</f>
        <v>12836.3</v>
      </c>
      <c r="AH48" s="125">
        <f t="shared" si="5"/>
        <v>439096.70000000007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-48300.63700000001</v>
      </c>
      <c r="AO48" s="125">
        <f>AH48*-Valores!$C$72</f>
        <v>0</v>
      </c>
      <c r="AP48" s="125">
        <f>AH48*Valores!$C$73</f>
        <v>-19759.351500000001</v>
      </c>
      <c r="AQ48" s="125">
        <f>Valores!$C$100</f>
        <v>-554.86</v>
      </c>
      <c r="AR48" s="125">
        <f>IF($F$5=0,Valores!$C$101,(Valores!$C$101+$F$5*(Valores!$C$101)))</f>
        <v>-852</v>
      </c>
      <c r="AS48" s="125">
        <f t="shared" si="6"/>
        <v>369629.85150000005</v>
      </c>
      <c r="AT48" s="125">
        <f t="shared" si="0"/>
        <v>-48300.63700000001</v>
      </c>
      <c r="AU48" s="125">
        <f>AH48*Valores!$C$74</f>
        <v>-11855.610900000001</v>
      </c>
      <c r="AV48" s="125">
        <f>AH48*Valores!$C$75</f>
        <v>-1317.2901000000002</v>
      </c>
      <c r="AW48" s="125">
        <f t="shared" si="4"/>
        <v>377623.16200000007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4725.6000000000004</v>
      </c>
      <c r="G49" s="192">
        <v>2622</v>
      </c>
      <c r="H49" s="125">
        <f>ROUND(G49*Valores!$C$2,2)</f>
        <v>140801.4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0</v>
      </c>
      <c r="N49" s="125">
        <f t="shared" si="1"/>
        <v>41415.85</v>
      </c>
      <c r="O49" s="125">
        <f>Valores!$C$9</f>
        <v>67480.59</v>
      </c>
      <c r="P49" s="125">
        <f>Valores!$D$5</f>
        <v>27451.439999999999</v>
      </c>
      <c r="Q49" s="125">
        <f>Valores!$C$22</f>
        <v>24491.06</v>
      </c>
      <c r="R49" s="125">
        <f>IF($F$4="NO",Valores!$C$45,Valores!$C$45/2)</f>
        <v>20136.400000000001</v>
      </c>
      <c r="S49" s="125">
        <f>Valores!$C$19</f>
        <v>25544</v>
      </c>
      <c r="T49" s="125">
        <f t="shared" si="7"/>
        <v>31930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45109.37</v>
      </c>
      <c r="AA49" s="125">
        <f>Valores!$C$25</f>
        <v>1122.78</v>
      </c>
      <c r="AB49" s="214">
        <v>0</v>
      </c>
      <c r="AC49" s="125">
        <f t="shared" si="2"/>
        <v>0</v>
      </c>
      <c r="AD49" s="125">
        <f>Valores!$C$26</f>
        <v>1122.78</v>
      </c>
      <c r="AE49" s="192">
        <v>0</v>
      </c>
      <c r="AF49" s="125">
        <f>ROUND(AE49*Valores!$C$2,2)</f>
        <v>0</v>
      </c>
      <c r="AG49" s="125">
        <f>ROUND(IF($F$4="NO",Valores!$C$63,Valores!$C$63/2),2)</f>
        <v>12836.3</v>
      </c>
      <c r="AH49" s="125">
        <f t="shared" si="5"/>
        <v>418623.57000000007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-46048.592700000008</v>
      </c>
      <c r="AO49" s="125">
        <f>AH49*-Valores!$C$72</f>
        <v>0</v>
      </c>
      <c r="AP49" s="125">
        <f>AH49*Valores!$C$73</f>
        <v>-18838.060650000003</v>
      </c>
      <c r="AQ49" s="125">
        <f>Valores!$C$100</f>
        <v>-554.86</v>
      </c>
      <c r="AR49" s="125">
        <f>IF($F$5=0,Valores!$C$101,(Valores!$C$101+$F$5*(Valores!$C$101)))</f>
        <v>-852</v>
      </c>
      <c r="AS49" s="125">
        <f t="shared" si="6"/>
        <v>352330.05665000004</v>
      </c>
      <c r="AT49" s="125">
        <f t="shared" si="0"/>
        <v>-46048.592700000008</v>
      </c>
      <c r="AU49" s="125">
        <f>AH49*Valores!$C$74</f>
        <v>-11302.836390000002</v>
      </c>
      <c r="AV49" s="125">
        <f>AH49*Valores!$C$75</f>
        <v>-1255.8707100000001</v>
      </c>
      <c r="AW49" s="125">
        <f t="shared" si="4"/>
        <v>360016.27020000003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4725.6000000000004</v>
      </c>
      <c r="G50" s="192">
        <v>2622</v>
      </c>
      <c r="H50" s="125">
        <f>ROUND(G50*Valores!$C$2,2)</f>
        <v>140801.4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0</v>
      </c>
      <c r="N50" s="125">
        <f t="shared" si="1"/>
        <v>41415.85</v>
      </c>
      <c r="O50" s="125">
        <f>Valores!$C$9</f>
        <v>67480.59</v>
      </c>
      <c r="P50" s="125">
        <f>Valores!$D$5</f>
        <v>27451.439999999999</v>
      </c>
      <c r="Q50" s="125">
        <f>Valores!$C$22</f>
        <v>24491.06</v>
      </c>
      <c r="R50" s="125">
        <f>IF($F$4="NO",Valores!$C$45,Valores!$C$45/2)</f>
        <v>20136.400000000001</v>
      </c>
      <c r="S50" s="125">
        <f>Valores!$C$19</f>
        <v>25544</v>
      </c>
      <c r="T50" s="125">
        <f t="shared" si="7"/>
        <v>31930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45109.37</v>
      </c>
      <c r="AA50" s="125">
        <f>Valores!$C$25</f>
        <v>1122.78</v>
      </c>
      <c r="AB50" s="214">
        <v>0</v>
      </c>
      <c r="AC50" s="125">
        <f t="shared" si="2"/>
        <v>0</v>
      </c>
      <c r="AD50" s="125">
        <f>Valores!$C$26</f>
        <v>1122.78</v>
      </c>
      <c r="AE50" s="192">
        <v>0</v>
      </c>
      <c r="AF50" s="125">
        <f>ROUND(AE50*Valores!$C$2,2)</f>
        <v>0</v>
      </c>
      <c r="AG50" s="125">
        <f>ROUND(IF($F$4="NO",Valores!$C$63,Valores!$C$63/2),2)</f>
        <v>12836.3</v>
      </c>
      <c r="AH50" s="125">
        <f t="shared" si="5"/>
        <v>418623.57000000007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-46048.592700000008</v>
      </c>
      <c r="AO50" s="125">
        <f>AH50*-Valores!$C$72</f>
        <v>0</v>
      </c>
      <c r="AP50" s="125">
        <f>AH50*Valores!$C$73</f>
        <v>-18838.060650000003</v>
      </c>
      <c r="AQ50" s="125">
        <f>Valores!$C$100</f>
        <v>-554.86</v>
      </c>
      <c r="AR50" s="125">
        <f>IF($F$5=0,Valores!$C$101,(Valores!$C$101+$F$5*(Valores!$C$101)))</f>
        <v>-852</v>
      </c>
      <c r="AS50" s="125">
        <f t="shared" si="6"/>
        <v>352330.05665000004</v>
      </c>
      <c r="AT50" s="125">
        <f t="shared" si="0"/>
        <v>-46048.592700000008</v>
      </c>
      <c r="AU50" s="125">
        <f>AH50*Valores!$C$74</f>
        <v>-11302.836390000002</v>
      </c>
      <c r="AV50" s="125">
        <f>AH50*Valores!$C$75</f>
        <v>-1255.8707100000001</v>
      </c>
      <c r="AW50" s="125">
        <f t="shared" si="4"/>
        <v>360016.27020000003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4296</v>
      </c>
      <c r="G51" s="192">
        <v>2278</v>
      </c>
      <c r="H51" s="125">
        <f>ROUND(G51*Valores!$C$2,2)</f>
        <v>122328.6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0</v>
      </c>
      <c r="N51" s="125">
        <f t="shared" si="1"/>
        <v>36690.25</v>
      </c>
      <c r="O51" s="125">
        <f>Valores!$C$9</f>
        <v>67480.59</v>
      </c>
      <c r="P51" s="125">
        <f>Valores!$D$5</f>
        <v>27451.439999999999</v>
      </c>
      <c r="Q51" s="125">
        <f>Valores!$C$22</f>
        <v>24491.06</v>
      </c>
      <c r="R51" s="125">
        <f>IF($F$4="NO",Valores!$C$45,Valores!$C$45/2)</f>
        <v>20136.400000000001</v>
      </c>
      <c r="S51" s="125">
        <f>Valores!$C$19</f>
        <v>25544</v>
      </c>
      <c r="T51" s="125">
        <f t="shared" si="7"/>
        <v>31930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45109.37</v>
      </c>
      <c r="AA51" s="125">
        <f>Valores!$C$25</f>
        <v>1122.78</v>
      </c>
      <c r="AB51" s="214">
        <v>0</v>
      </c>
      <c r="AC51" s="125">
        <f t="shared" si="2"/>
        <v>0</v>
      </c>
      <c r="AD51" s="125">
        <f>Valores!$C$26</f>
        <v>1122.78</v>
      </c>
      <c r="AE51" s="192">
        <v>0</v>
      </c>
      <c r="AF51" s="125">
        <f>ROUND(AE51*Valores!$C$2,2)</f>
        <v>0</v>
      </c>
      <c r="AG51" s="125">
        <f>ROUND(IF($F$4="NO",Valores!$C$63,Valores!$C$63/2),2)</f>
        <v>12836.3</v>
      </c>
      <c r="AH51" s="125">
        <f t="shared" si="5"/>
        <v>394995.57000000007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-43449.512700000007</v>
      </c>
      <c r="AO51" s="125">
        <f>AH51*-Valores!$C$72</f>
        <v>0</v>
      </c>
      <c r="AP51" s="125">
        <f>AH51*Valores!$C$73</f>
        <v>-17774.800650000001</v>
      </c>
      <c r="AQ51" s="125">
        <f>Valores!$C$100</f>
        <v>-554.86</v>
      </c>
      <c r="AR51" s="125">
        <f>IF($F$5=0,Valores!$C$101,(Valores!$C$101+$F$5*(Valores!$C$101)))</f>
        <v>-852</v>
      </c>
      <c r="AS51" s="125">
        <f t="shared" si="6"/>
        <v>332364.39665000007</v>
      </c>
      <c r="AT51" s="125">
        <f t="shared" si="0"/>
        <v>-43449.512700000007</v>
      </c>
      <c r="AU51" s="125">
        <f>AH51*Valores!$C$74</f>
        <v>-10664.880390000002</v>
      </c>
      <c r="AV51" s="125">
        <f>AH51*Valores!$C$75</f>
        <v>-1184.9867100000001</v>
      </c>
      <c r="AW51" s="125">
        <f t="shared" si="4"/>
        <v>339696.19020000007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5370</v>
      </c>
      <c r="G52" s="192">
        <v>3620</v>
      </c>
      <c r="H52" s="125">
        <f>ROUND(G52*Valores!$C$2,2)</f>
        <v>194394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0</v>
      </c>
      <c r="N52" s="125">
        <f t="shared" si="1"/>
        <v>57115.46</v>
      </c>
      <c r="O52" s="125">
        <f>Valores!$C$9</f>
        <v>67480.59</v>
      </c>
      <c r="P52" s="125">
        <f>Valores!$D$5</f>
        <v>27451.439999999999</v>
      </c>
      <c r="Q52" s="125">
        <f>Valores!$C$22</f>
        <v>24491.06</v>
      </c>
      <c r="R52" s="125">
        <f>IF($F$4="NO",Valores!$C$47,Valores!$C$47/2)</f>
        <v>28697.84</v>
      </c>
      <c r="S52" s="125">
        <f>Valores!$C$19</f>
        <v>25544</v>
      </c>
      <c r="T52" s="125">
        <f t="shared" si="7"/>
        <v>31930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75182.289999999994</v>
      </c>
      <c r="AA52" s="125">
        <f>Valores!$C$25</f>
        <v>1122.78</v>
      </c>
      <c r="AB52" s="214">
        <v>0</v>
      </c>
      <c r="AC52" s="125">
        <f t="shared" si="2"/>
        <v>0</v>
      </c>
      <c r="AD52" s="125">
        <f>Valores!$C$26</f>
        <v>1122.78</v>
      </c>
      <c r="AE52" s="192">
        <v>0</v>
      </c>
      <c r="AF52" s="125">
        <f>ROUND(AE52*Valores!$C$2,2)</f>
        <v>0</v>
      </c>
      <c r="AG52" s="125">
        <f>ROUND(IF($F$4="NO",Valores!$C$63,Valores!$C$63/2),2)</f>
        <v>12836.3</v>
      </c>
      <c r="AH52" s="125">
        <f t="shared" si="5"/>
        <v>527194.54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-57991.399400000002</v>
      </c>
      <c r="AO52" s="125">
        <f>AH52*-Valores!$C$72</f>
        <v>0</v>
      </c>
      <c r="AP52" s="125">
        <f>AH52*Valores!$C$73</f>
        <v>-23723.754300000001</v>
      </c>
      <c r="AQ52" s="125">
        <f>Valores!$C$100</f>
        <v>-554.86</v>
      </c>
      <c r="AR52" s="125">
        <f>IF($F$5=0,Valores!$C$101,(Valores!$C$101+$F$5*(Valores!$C$101)))</f>
        <v>-852</v>
      </c>
      <c r="AS52" s="125">
        <f t="shared" si="6"/>
        <v>444072.52630000003</v>
      </c>
      <c r="AT52" s="125">
        <f t="shared" si="0"/>
        <v>-57991.399400000002</v>
      </c>
      <c r="AU52" s="125">
        <f>AH52*Valores!$C$74</f>
        <v>-14234.25258</v>
      </c>
      <c r="AV52" s="125">
        <f>AH52*Valores!$C$75</f>
        <v>-1581.5836200000001</v>
      </c>
      <c r="AW52" s="125">
        <f t="shared" si="4"/>
        <v>453387.30440000002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5370</v>
      </c>
      <c r="G53" s="192">
        <v>3560</v>
      </c>
      <c r="H53" s="125">
        <f>ROUND(G53*Valores!$C$2,2)</f>
        <v>191172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0</v>
      </c>
      <c r="N53" s="125">
        <f t="shared" si="1"/>
        <v>56309.96</v>
      </c>
      <c r="O53" s="125">
        <f>Valores!$C$9</f>
        <v>67480.59</v>
      </c>
      <c r="P53" s="125">
        <f>Valores!$D$5</f>
        <v>27451.439999999999</v>
      </c>
      <c r="Q53" s="125">
        <v>0</v>
      </c>
      <c r="R53" s="125">
        <f>IF($F$4="NO",Valores!$C$47,Valores!$C$47/2)</f>
        <v>28697.84</v>
      </c>
      <c r="S53" s="125">
        <f>Valores!$C$19</f>
        <v>25544</v>
      </c>
      <c r="T53" s="125">
        <f t="shared" si="7"/>
        <v>31930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75182.289999999994</v>
      </c>
      <c r="AA53" s="125">
        <f>Valores!$C$25</f>
        <v>1122.78</v>
      </c>
      <c r="AB53" s="214">
        <v>0</v>
      </c>
      <c r="AC53" s="125">
        <f t="shared" si="2"/>
        <v>0</v>
      </c>
      <c r="AD53" s="125">
        <f>Valores!$C$26</f>
        <v>1122.78</v>
      </c>
      <c r="AE53" s="192">
        <v>0</v>
      </c>
      <c r="AF53" s="125">
        <f>ROUND(AE53*Valores!$C$2,2)</f>
        <v>0</v>
      </c>
      <c r="AG53" s="125">
        <f>ROUND(IF($F$4="NO",Valores!$C$63,Valores!$C$63/2),2)</f>
        <v>12836.3</v>
      </c>
      <c r="AH53" s="125">
        <f t="shared" si="5"/>
        <v>498675.98000000004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-54854.357800000005</v>
      </c>
      <c r="AO53" s="125">
        <f>AH53*-Valores!$C$72</f>
        <v>0</v>
      </c>
      <c r="AP53" s="125">
        <f>AH53*Valores!$C$73</f>
        <v>-22440.419099999999</v>
      </c>
      <c r="AQ53" s="125">
        <f>Valores!$C$100</f>
        <v>-554.86</v>
      </c>
      <c r="AR53" s="125">
        <f>IF($F$5=0,Valores!$C$101,(Valores!$C$101+$F$5*(Valores!$C$101)))</f>
        <v>-852</v>
      </c>
      <c r="AS53" s="125">
        <f t="shared" si="6"/>
        <v>419974.34310000006</v>
      </c>
      <c r="AT53" s="125">
        <f t="shared" si="0"/>
        <v>-54854.357800000005</v>
      </c>
      <c r="AU53" s="125">
        <f>AH53*Valores!$C$74</f>
        <v>-13464.251460000001</v>
      </c>
      <c r="AV53" s="125">
        <f>AH53*Valores!$C$75</f>
        <v>-1496.0279400000002</v>
      </c>
      <c r="AW53" s="125">
        <f t="shared" si="4"/>
        <v>428861.34280000004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5370</v>
      </c>
      <c r="G54" s="192">
        <v>3360</v>
      </c>
      <c r="H54" s="125">
        <f>ROUND(G54*Valores!$C$2,2)</f>
        <v>180432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0</v>
      </c>
      <c r="N54" s="125">
        <f t="shared" si="1"/>
        <v>53624.959999999999</v>
      </c>
      <c r="O54" s="125">
        <f>Valores!$C$9</f>
        <v>67480.59</v>
      </c>
      <c r="P54" s="125">
        <f>Valores!$D$5</f>
        <v>27451.439999999999</v>
      </c>
      <c r="Q54" s="125">
        <f>Valores!$C$22</f>
        <v>24491.06</v>
      </c>
      <c r="R54" s="125">
        <f>IF($F$4="NO",Valores!$C$47,Valores!$C$47/2)</f>
        <v>28697.84</v>
      </c>
      <c r="S54" s="125">
        <f>Valores!$C$19</f>
        <v>25544</v>
      </c>
      <c r="T54" s="125">
        <f t="shared" si="7"/>
        <v>31930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75182.289999999994</v>
      </c>
      <c r="AA54" s="125">
        <f>Valores!$C$25</f>
        <v>1122.78</v>
      </c>
      <c r="AB54" s="214">
        <v>0</v>
      </c>
      <c r="AC54" s="125">
        <f t="shared" si="2"/>
        <v>0</v>
      </c>
      <c r="AD54" s="125">
        <f>Valores!$C$26</f>
        <v>1122.78</v>
      </c>
      <c r="AE54" s="192">
        <v>0</v>
      </c>
      <c r="AF54" s="125">
        <f>ROUND(AE54*Valores!$C$2,2)</f>
        <v>0</v>
      </c>
      <c r="AG54" s="125">
        <f>ROUND(IF($F$4="NO",Valores!$C$63,Valores!$C$63/2),2)</f>
        <v>12836.3</v>
      </c>
      <c r="AH54" s="125">
        <f t="shared" si="5"/>
        <v>509742.04000000004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-56071.624400000008</v>
      </c>
      <c r="AO54" s="125">
        <f>AH54*-Valores!$C$72</f>
        <v>0</v>
      </c>
      <c r="AP54" s="125">
        <f>AH54*Valores!$C$73</f>
        <v>-22938.391800000001</v>
      </c>
      <c r="AQ54" s="125">
        <f>Valores!$C$100</f>
        <v>-554.86</v>
      </c>
      <c r="AR54" s="125">
        <f>IF($F$5=0,Valores!$C$101,(Valores!$C$101+$F$5*(Valores!$C$101)))</f>
        <v>-852</v>
      </c>
      <c r="AS54" s="125">
        <f t="shared" si="6"/>
        <v>429325.16380000004</v>
      </c>
      <c r="AT54" s="125">
        <f t="shared" si="0"/>
        <v>-56071.624400000008</v>
      </c>
      <c r="AU54" s="125">
        <f>AH54*Valores!$C$74</f>
        <v>-13763.035080000001</v>
      </c>
      <c r="AV54" s="125">
        <f>AH54*Valores!$C$75</f>
        <v>-1529.22612</v>
      </c>
      <c r="AW54" s="125">
        <f t="shared" si="4"/>
        <v>438378.1544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5262.6</v>
      </c>
      <c r="G55" s="192">
        <v>2686</v>
      </c>
      <c r="H55" s="125">
        <f>ROUND(G55*Valores!$C$2,2)</f>
        <v>144238.20000000001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0</v>
      </c>
      <c r="N55" s="125">
        <f t="shared" si="1"/>
        <v>42409.3</v>
      </c>
      <c r="O55" s="125">
        <f>Valores!$C$9</f>
        <v>67480.59</v>
      </c>
      <c r="P55" s="125">
        <f>Valores!$D$5</f>
        <v>27451.439999999999</v>
      </c>
      <c r="Q55" s="125">
        <f>Valores!$C$22</f>
        <v>24491.06</v>
      </c>
      <c r="R55" s="125">
        <f>IF($F$4="NO",Valores!$C$45,Valores!$C$45/2)</f>
        <v>20136.400000000001</v>
      </c>
      <c r="S55" s="125">
        <f>Valores!$C$19</f>
        <v>25544</v>
      </c>
      <c r="T55" s="125">
        <f t="shared" si="7"/>
        <v>31930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45109.37</v>
      </c>
      <c r="AA55" s="125">
        <f>Valores!$C$25</f>
        <v>1122.78</v>
      </c>
      <c r="AB55" s="214">
        <v>0</v>
      </c>
      <c r="AC55" s="125">
        <f t="shared" si="2"/>
        <v>0</v>
      </c>
      <c r="AD55" s="125">
        <f>Valores!$C$26</f>
        <v>1122.78</v>
      </c>
      <c r="AE55" s="192">
        <v>0</v>
      </c>
      <c r="AF55" s="125">
        <f>ROUND(AE55*Valores!$C$2,2)</f>
        <v>0</v>
      </c>
      <c r="AG55" s="125">
        <f>ROUND(IF($F$4="NO",Valores!$C$63,Valores!$C$63/2),2)</f>
        <v>12836.3</v>
      </c>
      <c r="AH55" s="125">
        <f t="shared" si="5"/>
        <v>423590.82000000007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-46594.990200000007</v>
      </c>
      <c r="AO55" s="125">
        <f>AH55*-Valores!$C$72</f>
        <v>0</v>
      </c>
      <c r="AP55" s="125">
        <f>AH55*Valores!$C$73</f>
        <v>-19061.586900000002</v>
      </c>
      <c r="AQ55" s="125">
        <f>Valores!$C$100</f>
        <v>-554.86</v>
      </c>
      <c r="AR55" s="125">
        <f>IF($F$5=0,Valores!$C$101,(Valores!$C$101+$F$5*(Valores!$C$101)))</f>
        <v>-852</v>
      </c>
      <c r="AS55" s="125">
        <f t="shared" si="6"/>
        <v>356527.38290000008</v>
      </c>
      <c r="AT55" s="125">
        <f t="shared" si="0"/>
        <v>-46594.990200000007</v>
      </c>
      <c r="AU55" s="125">
        <f>AH55*Valores!$C$74</f>
        <v>-11436.952140000001</v>
      </c>
      <c r="AV55" s="125">
        <f>AH55*Valores!$C$75</f>
        <v>-1270.7724600000001</v>
      </c>
      <c r="AW55" s="125">
        <f t="shared" si="4"/>
        <v>364288.10520000005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5047.8</v>
      </c>
      <c r="G56" s="192">
        <v>2690</v>
      </c>
      <c r="H56" s="125">
        <f>ROUND(G56*Valores!$C$2,2)</f>
        <v>144453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0</v>
      </c>
      <c r="N56" s="125">
        <f t="shared" si="1"/>
        <v>42409.3</v>
      </c>
      <c r="O56" s="125">
        <f>Valores!$C$9</f>
        <v>67480.59</v>
      </c>
      <c r="P56" s="125">
        <f>Valores!$D$5</f>
        <v>27451.439999999999</v>
      </c>
      <c r="Q56" s="125">
        <f>Valores!$C$22</f>
        <v>24491.06</v>
      </c>
      <c r="R56" s="125">
        <f>IF($F$4="NO",Valores!$C$45,Valores!$C$45/2)</f>
        <v>20136.400000000001</v>
      </c>
      <c r="S56" s="125">
        <f>Valores!$C$19</f>
        <v>25544</v>
      </c>
      <c r="T56" s="125">
        <f t="shared" si="7"/>
        <v>31930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45109.37</v>
      </c>
      <c r="AA56" s="125">
        <f>Valores!$C$25</f>
        <v>1122.78</v>
      </c>
      <c r="AB56" s="214">
        <v>0</v>
      </c>
      <c r="AC56" s="125">
        <f t="shared" si="2"/>
        <v>0</v>
      </c>
      <c r="AD56" s="125">
        <f>Valores!$C$26</f>
        <v>1122.78</v>
      </c>
      <c r="AE56" s="192">
        <v>94</v>
      </c>
      <c r="AF56" s="125">
        <f>ROUND(AE56*Valores!$C$2,2)</f>
        <v>5047.8</v>
      </c>
      <c r="AG56" s="125">
        <f>ROUND(IF($F$4="NO",Valores!$C$63,Valores!$C$63/2),2)</f>
        <v>12836.3</v>
      </c>
      <c r="AH56" s="125">
        <f t="shared" si="5"/>
        <v>428638.62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-47150.248200000002</v>
      </c>
      <c r="AO56" s="125">
        <f>AH56*-Valores!$C$72</f>
        <v>0</v>
      </c>
      <c r="AP56" s="125">
        <f>AH56*Valores!$C$73</f>
        <v>-19288.7379</v>
      </c>
      <c r="AQ56" s="125">
        <f>Valores!$C$100</f>
        <v>-554.86</v>
      </c>
      <c r="AR56" s="125">
        <f>IF($F$5=0,Valores!$C$101,(Valores!$C$101+$F$5*(Valores!$C$101)))</f>
        <v>-852</v>
      </c>
      <c r="AS56" s="125">
        <f t="shared" si="6"/>
        <v>360792.77389999997</v>
      </c>
      <c r="AT56" s="125">
        <f t="shared" si="0"/>
        <v>-47150.248200000002</v>
      </c>
      <c r="AU56" s="125">
        <f>AH56*Valores!$C$74</f>
        <v>-11573.24274</v>
      </c>
      <c r="AV56" s="125">
        <f>AH56*Valores!$C$75</f>
        <v>-1285.9158600000001</v>
      </c>
      <c r="AW56" s="125">
        <f t="shared" si="4"/>
        <v>368629.2132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4994.1000000000004</v>
      </c>
      <c r="G57" s="192">
        <v>2547</v>
      </c>
      <c r="H57" s="125">
        <f>ROUND(G57*Valores!$C$2,2)</f>
        <v>136773.9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0</v>
      </c>
      <c r="N57" s="125">
        <f t="shared" si="1"/>
        <v>40476.1</v>
      </c>
      <c r="O57" s="125">
        <f>Valores!$C$9</f>
        <v>67480.59</v>
      </c>
      <c r="P57" s="125">
        <f>Valores!$D$5</f>
        <v>27451.439999999999</v>
      </c>
      <c r="Q57" s="125">
        <f>Valores!$C$22</f>
        <v>24491.06</v>
      </c>
      <c r="R57" s="125">
        <f>IF($F$4="NO",Valores!$C$45,Valores!$C$45/2)</f>
        <v>20136.400000000001</v>
      </c>
      <c r="S57" s="125">
        <f>Valores!$C$19</f>
        <v>25544</v>
      </c>
      <c r="T57" s="125">
        <f t="shared" si="7"/>
        <v>31930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45109.37</v>
      </c>
      <c r="AA57" s="125">
        <f>Valores!$C$25</f>
        <v>1122.78</v>
      </c>
      <c r="AB57" s="214">
        <v>0</v>
      </c>
      <c r="AC57" s="125">
        <f t="shared" si="2"/>
        <v>0</v>
      </c>
      <c r="AD57" s="125">
        <f>Valores!$C$26</f>
        <v>1122.78</v>
      </c>
      <c r="AE57" s="192">
        <v>0</v>
      </c>
      <c r="AF57" s="125">
        <f>ROUND(AE57*Valores!$C$2,2)</f>
        <v>0</v>
      </c>
      <c r="AG57" s="125">
        <f>ROUND(IF($F$4="NO",Valores!$C$63,Valores!$C$63/2),2)</f>
        <v>12836.3</v>
      </c>
      <c r="AH57" s="125">
        <f t="shared" si="5"/>
        <v>413924.82000000007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-45531.730200000005</v>
      </c>
      <c r="AO57" s="125">
        <f>AH57*-Valores!$C$72</f>
        <v>0</v>
      </c>
      <c r="AP57" s="125">
        <f>AH57*Valores!$C$73</f>
        <v>-18626.616900000001</v>
      </c>
      <c r="AQ57" s="125">
        <f>Valores!$C$100</f>
        <v>-554.86</v>
      </c>
      <c r="AR57" s="125">
        <f>IF($F$5=0,Valores!$C$101,(Valores!$C$101+$F$5*(Valores!$C$101)))</f>
        <v>-852</v>
      </c>
      <c r="AS57" s="125">
        <f t="shared" si="6"/>
        <v>348359.61290000007</v>
      </c>
      <c r="AT57" s="125">
        <f t="shared" si="0"/>
        <v>-45531.730200000005</v>
      </c>
      <c r="AU57" s="125">
        <f>AH57*Valores!$C$74</f>
        <v>-11175.970140000001</v>
      </c>
      <c r="AV57" s="125">
        <f>AH57*Valores!$C$75</f>
        <v>-1241.7744600000003</v>
      </c>
      <c r="AW57" s="125">
        <f t="shared" si="4"/>
        <v>355975.34520000004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4779.3</v>
      </c>
      <c r="G58" s="192">
        <v>2551</v>
      </c>
      <c r="H58" s="125">
        <f>ROUND(G58*Valores!$C$2,2)</f>
        <v>136988.70000000001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0</v>
      </c>
      <c r="N58" s="125">
        <f t="shared" si="1"/>
        <v>40476.1</v>
      </c>
      <c r="O58" s="125">
        <f>Valores!$C$9</f>
        <v>67480.59</v>
      </c>
      <c r="P58" s="125">
        <f>Valores!$D$5</f>
        <v>27451.439999999999</v>
      </c>
      <c r="Q58" s="125">
        <f>Valores!$C$22</f>
        <v>24491.06</v>
      </c>
      <c r="R58" s="125">
        <f>IF($F$4="NO",Valores!$C$45,Valores!$C$45/2)</f>
        <v>20136.400000000001</v>
      </c>
      <c r="S58" s="125">
        <f>Valores!$C$19</f>
        <v>25544</v>
      </c>
      <c r="T58" s="125">
        <f t="shared" si="7"/>
        <v>31930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45109.37</v>
      </c>
      <c r="AA58" s="125">
        <f>Valores!$C$25</f>
        <v>1122.78</v>
      </c>
      <c r="AB58" s="214">
        <v>0</v>
      </c>
      <c r="AC58" s="125">
        <f t="shared" si="2"/>
        <v>0</v>
      </c>
      <c r="AD58" s="125">
        <f>Valores!$C$26</f>
        <v>1122.78</v>
      </c>
      <c r="AE58" s="192">
        <v>94</v>
      </c>
      <c r="AF58" s="125">
        <f>ROUND(AE58*Valores!$C$2,2)</f>
        <v>5047.8</v>
      </c>
      <c r="AG58" s="125">
        <f>ROUND(IF($F$4="NO",Valores!$C$63,Valores!$C$63/2),2)</f>
        <v>12836.3</v>
      </c>
      <c r="AH58" s="125">
        <f t="shared" si="5"/>
        <v>418972.62000000005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-46086.988200000007</v>
      </c>
      <c r="AO58" s="125">
        <f>AH58*-Valores!$C$72</f>
        <v>0</v>
      </c>
      <c r="AP58" s="125">
        <f>AH58*Valores!$C$73</f>
        <v>-18853.767900000003</v>
      </c>
      <c r="AQ58" s="125">
        <f>Valores!$C$100</f>
        <v>-554.86</v>
      </c>
      <c r="AR58" s="125">
        <f>IF($F$5=0,Valores!$C$101,(Valores!$C$101+$F$5*(Valores!$C$101)))</f>
        <v>-852</v>
      </c>
      <c r="AS58" s="125">
        <f t="shared" si="6"/>
        <v>352625.00390000001</v>
      </c>
      <c r="AT58" s="125">
        <f t="shared" si="0"/>
        <v>-46086.988200000007</v>
      </c>
      <c r="AU58" s="125">
        <f>AH58*Valores!$C$74</f>
        <v>-11312.260740000002</v>
      </c>
      <c r="AV58" s="125">
        <f>AH58*Valores!$C$75</f>
        <v>-1256.9178600000002</v>
      </c>
      <c r="AW58" s="125">
        <f t="shared" si="4"/>
        <v>360316.45320000005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4779.3</v>
      </c>
      <c r="G59" s="192">
        <v>2251</v>
      </c>
      <c r="H59" s="125">
        <f>ROUND(G59*Valores!$C$2,2)</f>
        <v>120878.7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0</v>
      </c>
      <c r="N59" s="125">
        <f t="shared" si="1"/>
        <v>36448.6</v>
      </c>
      <c r="O59" s="125">
        <f>Valores!$C$9</f>
        <v>67480.59</v>
      </c>
      <c r="P59" s="125">
        <f>Valores!$D$5</f>
        <v>27451.439999999999</v>
      </c>
      <c r="Q59" s="125">
        <f>Valores!$C$22</f>
        <v>24491.06</v>
      </c>
      <c r="R59" s="125">
        <f>IF($F$4="NO",Valores!$C$45,Valores!$C$45/2)</f>
        <v>20136.400000000001</v>
      </c>
      <c r="S59" s="125">
        <f>Valores!$C$19</f>
        <v>25544</v>
      </c>
      <c r="T59" s="125">
        <f t="shared" si="7"/>
        <v>31930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45109.37</v>
      </c>
      <c r="AA59" s="125">
        <f>Valores!$C$25</f>
        <v>1122.78</v>
      </c>
      <c r="AB59" s="214">
        <v>0</v>
      </c>
      <c r="AC59" s="125">
        <f t="shared" si="2"/>
        <v>0</v>
      </c>
      <c r="AD59" s="125">
        <f>Valores!$C$26</f>
        <v>1122.78</v>
      </c>
      <c r="AE59" s="192">
        <v>0</v>
      </c>
      <c r="AF59" s="125">
        <f>ROUND(AE59*Valores!$C$2,2)</f>
        <v>0</v>
      </c>
      <c r="AG59" s="125">
        <f>ROUND(IF($F$4="NO",Valores!$C$63,Valores!$C$63/2),2)</f>
        <v>12836.3</v>
      </c>
      <c r="AH59" s="125">
        <f t="shared" si="5"/>
        <v>393787.32000000007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-43316.605200000005</v>
      </c>
      <c r="AO59" s="125">
        <f>AH59*-Valores!$C$72</f>
        <v>0</v>
      </c>
      <c r="AP59" s="125">
        <f>AH59*Valores!$C$73</f>
        <v>-17720.429400000001</v>
      </c>
      <c r="AQ59" s="125">
        <f>Valores!$C$100</f>
        <v>-554.86</v>
      </c>
      <c r="AR59" s="125">
        <f>IF($F$5=0,Valores!$C$101,(Valores!$C$101+$F$5*(Valores!$C$101)))</f>
        <v>-852</v>
      </c>
      <c r="AS59" s="125">
        <f t="shared" si="6"/>
        <v>331343.42540000007</v>
      </c>
      <c r="AT59" s="125">
        <f t="shared" si="0"/>
        <v>-43316.605200000005</v>
      </c>
      <c r="AU59" s="125">
        <f>AH59*Valores!$C$74</f>
        <v>-10632.257640000002</v>
      </c>
      <c r="AV59" s="125">
        <f>AH59*Valores!$C$75</f>
        <v>-1181.3619600000002</v>
      </c>
      <c r="AW59" s="125">
        <f t="shared" si="4"/>
        <v>338657.09520000004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4564.5</v>
      </c>
      <c r="G60" s="192">
        <v>2255</v>
      </c>
      <c r="H60" s="125">
        <f>ROUND(G60*Valores!$C$2,2)</f>
        <v>121093.5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0</v>
      </c>
      <c r="N60" s="125">
        <f t="shared" si="1"/>
        <v>36448.6</v>
      </c>
      <c r="O60" s="125">
        <f>Valores!$C$9</f>
        <v>67480.59</v>
      </c>
      <c r="P60" s="125">
        <f>Valores!$D$5</f>
        <v>27451.439999999999</v>
      </c>
      <c r="Q60" s="125">
        <f>Valores!$C$22</f>
        <v>24491.06</v>
      </c>
      <c r="R60" s="125">
        <f>IF($F$4="NO",Valores!$C$45,Valores!$C$45/2)</f>
        <v>20136.400000000001</v>
      </c>
      <c r="S60" s="125">
        <f>Valores!$C$19</f>
        <v>25544</v>
      </c>
      <c r="T60" s="125">
        <f t="shared" si="7"/>
        <v>31930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45109.37</v>
      </c>
      <c r="AA60" s="125">
        <f>Valores!$C$25</f>
        <v>1122.78</v>
      </c>
      <c r="AB60" s="214">
        <v>0</v>
      </c>
      <c r="AC60" s="125">
        <f t="shared" si="2"/>
        <v>0</v>
      </c>
      <c r="AD60" s="125">
        <f>Valores!$C$26</f>
        <v>1122.78</v>
      </c>
      <c r="AE60" s="192">
        <v>94</v>
      </c>
      <c r="AF60" s="125">
        <f>ROUND(AE60*Valores!$C$2,2)</f>
        <v>5047.8</v>
      </c>
      <c r="AG60" s="125">
        <f>ROUND(IF($F$4="NO",Valores!$C$63,Valores!$C$63/2),2)</f>
        <v>12836.3</v>
      </c>
      <c r="AH60" s="125">
        <f t="shared" si="5"/>
        <v>398835.12000000005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-43871.863200000007</v>
      </c>
      <c r="AO60" s="125">
        <f>AH60*-Valores!$C$72</f>
        <v>0</v>
      </c>
      <c r="AP60" s="125">
        <f>AH60*Valores!$C$73</f>
        <v>-17947.580400000003</v>
      </c>
      <c r="AQ60" s="125">
        <f>Valores!$C$100</f>
        <v>-554.86</v>
      </c>
      <c r="AR60" s="125">
        <f>IF($F$5=0,Valores!$C$101,(Valores!$C$101+$F$5*(Valores!$C$101)))</f>
        <v>-852</v>
      </c>
      <c r="AS60" s="125">
        <f t="shared" si="6"/>
        <v>335608.81640000001</v>
      </c>
      <c r="AT60" s="125">
        <f t="shared" si="0"/>
        <v>-43871.863200000007</v>
      </c>
      <c r="AU60" s="125">
        <f>AH60*Valores!$C$74</f>
        <v>-10768.548240000002</v>
      </c>
      <c r="AV60" s="125">
        <f>AH60*Valores!$C$75</f>
        <v>-1196.5053600000001</v>
      </c>
      <c r="AW60" s="125">
        <f t="shared" si="4"/>
        <v>342998.20320000005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5370</v>
      </c>
      <c r="G61" s="192">
        <v>3180</v>
      </c>
      <c r="H61" s="125">
        <f>ROUND(G61*Valores!$C$2,2)</f>
        <v>170766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0</v>
      </c>
      <c r="N61" s="125">
        <f t="shared" si="1"/>
        <v>50142.31</v>
      </c>
      <c r="O61" s="125">
        <f>Valores!$C$9</f>
        <v>67480.59</v>
      </c>
      <c r="P61" s="125">
        <f>Valores!$D$5</f>
        <v>27451.439999999999</v>
      </c>
      <c r="Q61" s="125">
        <f>Valores!$C$22</f>
        <v>24491.06</v>
      </c>
      <c r="R61" s="125">
        <f>IF($F$4="NO",Valores!$C$48,Valores!$C$48/2)</f>
        <v>24433.22</v>
      </c>
      <c r="S61" s="125">
        <f>Valores!$C$19</f>
        <v>25544</v>
      </c>
      <c r="T61" s="125">
        <f t="shared" si="7"/>
        <v>31930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45109.37</v>
      </c>
      <c r="AA61" s="125">
        <f>Valores!$C$25</f>
        <v>1122.78</v>
      </c>
      <c r="AB61" s="214">
        <v>0</v>
      </c>
      <c r="AC61" s="125">
        <f t="shared" si="2"/>
        <v>0</v>
      </c>
      <c r="AD61" s="125">
        <f>Valores!$C$26</f>
        <v>1122.78</v>
      </c>
      <c r="AE61" s="192">
        <v>0</v>
      </c>
      <c r="AF61" s="125">
        <f>ROUND(AE61*Valores!$C$2,2)</f>
        <v>0</v>
      </c>
      <c r="AG61" s="125">
        <f>ROUND(IF($F$4="NO",Valores!$C$63,Valores!$C$63/2),2)</f>
        <v>12836.3</v>
      </c>
      <c r="AH61" s="125">
        <f t="shared" si="5"/>
        <v>462255.85000000003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-50848.143500000006</v>
      </c>
      <c r="AO61" s="125">
        <f>AH61*-Valores!$C$72</f>
        <v>0</v>
      </c>
      <c r="AP61" s="125">
        <f>AH61*Valores!$C$73</f>
        <v>-20801.51325</v>
      </c>
      <c r="AQ61" s="125">
        <f>Valores!$C$100</f>
        <v>-554.86</v>
      </c>
      <c r="AR61" s="125">
        <f>IF($F$5=0,Valores!$C$101,(Valores!$C$101+$F$5*(Valores!$C$101)))</f>
        <v>-852</v>
      </c>
      <c r="AS61" s="125">
        <f t="shared" si="6"/>
        <v>389199.33325000003</v>
      </c>
      <c r="AT61" s="125">
        <f t="shared" si="0"/>
        <v>-50848.143500000006</v>
      </c>
      <c r="AU61" s="125">
        <f>AH61*Valores!$C$74</f>
        <v>-12480.907950000001</v>
      </c>
      <c r="AV61" s="125">
        <f>AH61*Valores!$C$75</f>
        <v>-1386.76755</v>
      </c>
      <c r="AW61" s="125">
        <f t="shared" si="4"/>
        <v>397540.03100000002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4457.1000000000004</v>
      </c>
      <c r="G62" s="192">
        <v>2352</v>
      </c>
      <c r="H62" s="125">
        <f>ROUND(G62*Valores!$C$2,2)</f>
        <v>126302.39999999999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0</v>
      </c>
      <c r="N62" s="125">
        <f t="shared" si="1"/>
        <v>37723.980000000003</v>
      </c>
      <c r="O62" s="125">
        <f>Valores!$C$9</f>
        <v>67480.59</v>
      </c>
      <c r="P62" s="125">
        <f>Valores!$D$5</f>
        <v>27451.439999999999</v>
      </c>
      <c r="Q62" s="125">
        <f>Valores!$C$22</f>
        <v>24491.06</v>
      </c>
      <c r="R62" s="125">
        <f>IF($F$4="NO",Valores!$C$45,Valores!$C$45/2)</f>
        <v>20136.400000000001</v>
      </c>
      <c r="S62" s="125">
        <f>Valores!$C$19</f>
        <v>25544</v>
      </c>
      <c r="T62" s="125">
        <f t="shared" si="7"/>
        <v>31930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45109.37</v>
      </c>
      <c r="AA62" s="125">
        <f>Valores!$C$25</f>
        <v>1122.78</v>
      </c>
      <c r="AB62" s="214">
        <v>0</v>
      </c>
      <c r="AC62" s="125">
        <f t="shared" si="2"/>
        <v>0</v>
      </c>
      <c r="AD62" s="125">
        <f>Valores!$C$26</f>
        <v>1122.78</v>
      </c>
      <c r="AE62" s="192">
        <v>0</v>
      </c>
      <c r="AF62" s="125">
        <f>ROUND(AE62*Valores!$C$2,2)</f>
        <v>0</v>
      </c>
      <c r="AG62" s="125">
        <f>ROUND(IF($F$4="NO",Valores!$C$63,Valores!$C$63/2),2)</f>
        <v>12836.3</v>
      </c>
      <c r="AH62" s="125">
        <f t="shared" si="5"/>
        <v>400164.20000000007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-44018.062000000005</v>
      </c>
      <c r="AO62" s="125">
        <f>AH62*-Valores!$C$72</f>
        <v>0</v>
      </c>
      <c r="AP62" s="125">
        <f>AH62*Valores!$C$73</f>
        <v>-18007.389000000003</v>
      </c>
      <c r="AQ62" s="125">
        <f>Valores!$C$100</f>
        <v>-554.86</v>
      </c>
      <c r="AR62" s="125">
        <f>IF($F$5=0,Valores!$C$101,(Valores!$C$101+$F$5*(Valores!$C$101)))</f>
        <v>-852</v>
      </c>
      <c r="AS62" s="125">
        <f t="shared" si="6"/>
        <v>336731.88900000008</v>
      </c>
      <c r="AT62" s="125">
        <f t="shared" si="0"/>
        <v>-44018.062000000005</v>
      </c>
      <c r="AU62" s="125">
        <f>AH62*Valores!$C$74</f>
        <v>-10804.433400000002</v>
      </c>
      <c r="AV62" s="125">
        <f>AH62*Valores!$C$75</f>
        <v>-1200.4926000000003</v>
      </c>
      <c r="AW62" s="125">
        <f t="shared" si="4"/>
        <v>344141.21200000006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4349.7</v>
      </c>
      <c r="G63" s="192">
        <v>2354</v>
      </c>
      <c r="H63" s="125">
        <f>ROUND(G63*Valores!$C$2,2)</f>
        <v>126409.8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0</v>
      </c>
      <c r="N63" s="125">
        <f t="shared" si="1"/>
        <v>37723.980000000003</v>
      </c>
      <c r="O63" s="125">
        <f>Valores!$C$9</f>
        <v>67480.59</v>
      </c>
      <c r="P63" s="125">
        <f>Valores!$D$5</f>
        <v>27451.439999999999</v>
      </c>
      <c r="Q63" s="125">
        <f>Valores!$C$22</f>
        <v>24491.06</v>
      </c>
      <c r="R63" s="125">
        <f>IF($F$4="NO",Valores!$C$45,Valores!$C$45/2)</f>
        <v>20136.400000000001</v>
      </c>
      <c r="S63" s="125">
        <f>Valores!$C$19</f>
        <v>25544</v>
      </c>
      <c r="T63" s="125">
        <f t="shared" si="7"/>
        <v>31930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45109.37</v>
      </c>
      <c r="AA63" s="125">
        <f>Valores!$C$25</f>
        <v>1122.78</v>
      </c>
      <c r="AB63" s="214">
        <v>0</v>
      </c>
      <c r="AC63" s="125">
        <f t="shared" si="2"/>
        <v>0</v>
      </c>
      <c r="AD63" s="125">
        <f>Valores!$C$26</f>
        <v>1122.78</v>
      </c>
      <c r="AE63" s="192">
        <v>94</v>
      </c>
      <c r="AF63" s="125">
        <f>ROUND(AE63*Valores!$C$2,2)</f>
        <v>5047.8</v>
      </c>
      <c r="AG63" s="125">
        <f>ROUND(IF($F$4="NO",Valores!$C$63,Valores!$C$63/2),2)</f>
        <v>12836.3</v>
      </c>
      <c r="AH63" s="125">
        <f t="shared" si="5"/>
        <v>405212.00000000006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-44573.320000000007</v>
      </c>
      <c r="AO63" s="125">
        <f>AH63*-Valores!$C$72</f>
        <v>0</v>
      </c>
      <c r="AP63" s="125">
        <f>AH63*Valores!$C$73</f>
        <v>-18234.54</v>
      </c>
      <c r="AQ63" s="125">
        <f>Valores!$C$100</f>
        <v>-554.86</v>
      </c>
      <c r="AR63" s="125">
        <f>IF($F$5=0,Valores!$C$101,(Valores!$C$101+$F$5*(Valores!$C$101)))</f>
        <v>-852</v>
      </c>
      <c r="AS63" s="125">
        <f t="shared" si="6"/>
        <v>340997.28</v>
      </c>
      <c r="AT63" s="125">
        <f t="shared" si="0"/>
        <v>-44573.320000000007</v>
      </c>
      <c r="AU63" s="125">
        <f>AH63*Valores!$C$74</f>
        <v>-10940.724000000002</v>
      </c>
      <c r="AV63" s="125">
        <f>AH63*Valores!$C$75</f>
        <v>-1215.6360000000002</v>
      </c>
      <c r="AW63" s="125">
        <f t="shared" si="4"/>
        <v>348482.32000000007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4349.7</v>
      </c>
      <c r="G64" s="192">
        <v>2094</v>
      </c>
      <c r="H64" s="125">
        <f>ROUND(G64*Valores!$C$2,2)</f>
        <v>112447.8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0</v>
      </c>
      <c r="N64" s="125">
        <f t="shared" si="1"/>
        <v>34233.480000000003</v>
      </c>
      <c r="O64" s="125">
        <f>Valores!$C$9</f>
        <v>67480.59</v>
      </c>
      <c r="P64" s="125">
        <f>Valores!$D$5</f>
        <v>27451.439999999999</v>
      </c>
      <c r="Q64" s="125">
        <f>Valores!$C$22</f>
        <v>24491.06</v>
      </c>
      <c r="R64" s="125">
        <f>IF($F$4="NO",Valores!$C$45,Valores!$C$45/2)</f>
        <v>20136.400000000001</v>
      </c>
      <c r="S64" s="125">
        <f>Valores!$C$19</f>
        <v>25544</v>
      </c>
      <c r="T64" s="125">
        <f t="shared" si="7"/>
        <v>31930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45109.37</v>
      </c>
      <c r="AA64" s="125">
        <f>Valores!$C$25</f>
        <v>1122.78</v>
      </c>
      <c r="AB64" s="214">
        <v>0</v>
      </c>
      <c r="AC64" s="125">
        <f t="shared" si="2"/>
        <v>0</v>
      </c>
      <c r="AD64" s="125">
        <f>Valores!$C$26</f>
        <v>1122.78</v>
      </c>
      <c r="AE64" s="192">
        <v>0</v>
      </c>
      <c r="AF64" s="125">
        <f>ROUND(AE64*Valores!$C$2,2)</f>
        <v>0</v>
      </c>
      <c r="AG64" s="125">
        <f>ROUND(IF($F$4="NO",Valores!$C$63,Valores!$C$63/2),2)</f>
        <v>12836.3</v>
      </c>
      <c r="AH64" s="125">
        <f t="shared" si="5"/>
        <v>382711.70000000007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-42098.287000000011</v>
      </c>
      <c r="AO64" s="125">
        <f>AH64*-Valores!$C$72</f>
        <v>0</v>
      </c>
      <c r="AP64" s="125">
        <f>AH64*Valores!$C$73</f>
        <v>-17222.026500000004</v>
      </c>
      <c r="AQ64" s="125">
        <f>Valores!$C$100</f>
        <v>-554.86</v>
      </c>
      <c r="AR64" s="125">
        <f>IF($F$5=0,Valores!$C$101,(Valores!$C$101+$F$5*(Valores!$C$101)))</f>
        <v>-852</v>
      </c>
      <c r="AS64" s="125">
        <f t="shared" si="6"/>
        <v>321984.52650000004</v>
      </c>
      <c r="AT64" s="125">
        <f t="shared" si="0"/>
        <v>-42098.287000000011</v>
      </c>
      <c r="AU64" s="125">
        <f>AH64*Valores!$C$74</f>
        <v>-10333.215900000001</v>
      </c>
      <c r="AV64" s="125">
        <f>AH64*Valores!$C$75</f>
        <v>-1148.1351000000002</v>
      </c>
      <c r="AW64" s="125">
        <f t="shared" si="4"/>
        <v>329132.06200000003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4296</v>
      </c>
      <c r="G65" s="192">
        <v>2095</v>
      </c>
      <c r="H65" s="125">
        <f>ROUND(G65*Valores!$C$2,2)</f>
        <v>112501.5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0</v>
      </c>
      <c r="N65" s="125">
        <f t="shared" si="1"/>
        <v>34233.480000000003</v>
      </c>
      <c r="O65" s="125">
        <f>Valores!$C$9</f>
        <v>67480.59</v>
      </c>
      <c r="P65" s="125">
        <f>Valores!$D$5</f>
        <v>27451.439999999999</v>
      </c>
      <c r="Q65" s="125">
        <f>Valores!$C$22</f>
        <v>24491.06</v>
      </c>
      <c r="R65" s="125">
        <f>IF($F$4="NO",Valores!$C$45,Valores!$C$45/2)</f>
        <v>20136.400000000001</v>
      </c>
      <c r="S65" s="125">
        <f>Valores!$C$19</f>
        <v>25544</v>
      </c>
      <c r="T65" s="125">
        <f t="shared" si="7"/>
        <v>31930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45109.37</v>
      </c>
      <c r="AA65" s="125">
        <f>Valores!$C$25</f>
        <v>1122.78</v>
      </c>
      <c r="AB65" s="214">
        <v>0</v>
      </c>
      <c r="AC65" s="125">
        <f t="shared" si="2"/>
        <v>0</v>
      </c>
      <c r="AD65" s="125">
        <f>Valores!$C$26</f>
        <v>1122.78</v>
      </c>
      <c r="AE65" s="192">
        <v>94</v>
      </c>
      <c r="AF65" s="125">
        <f>ROUND(AE65*Valores!$C$2,2)</f>
        <v>5047.8</v>
      </c>
      <c r="AG65" s="125">
        <f>ROUND(IF($F$4="NO",Valores!$C$63,Valores!$C$63/2),2)</f>
        <v>12836.3</v>
      </c>
      <c r="AH65" s="125">
        <f t="shared" si="5"/>
        <v>387759.50000000006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-42653.545000000006</v>
      </c>
      <c r="AO65" s="125">
        <f>AH65*-Valores!$C$72</f>
        <v>0</v>
      </c>
      <c r="AP65" s="125">
        <f>AH65*Valores!$C$73</f>
        <v>-17449.177500000002</v>
      </c>
      <c r="AQ65" s="125">
        <f>Valores!$C$100</f>
        <v>-554.86</v>
      </c>
      <c r="AR65" s="125">
        <f>IF($F$5=0,Valores!$C$101,(Valores!$C$101+$F$5*(Valores!$C$101)))</f>
        <v>-852</v>
      </c>
      <c r="AS65" s="125">
        <f t="shared" si="6"/>
        <v>326249.91750000004</v>
      </c>
      <c r="AT65" s="125">
        <f t="shared" si="0"/>
        <v>-42653.545000000006</v>
      </c>
      <c r="AU65" s="125">
        <f>AH65*Valores!$C$74</f>
        <v>-10469.506500000001</v>
      </c>
      <c r="AV65" s="125">
        <f>AH65*Valores!$C$75</f>
        <v>-1163.2785000000001</v>
      </c>
      <c r="AW65" s="125">
        <f t="shared" si="4"/>
        <v>333473.17000000004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4242.3</v>
      </c>
      <c r="G66" s="192">
        <v>1944</v>
      </c>
      <c r="H66" s="125">
        <f>ROUND(G66*Valores!$C$2,2)</f>
        <v>104392.8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0</v>
      </c>
      <c r="N66" s="125">
        <f t="shared" si="1"/>
        <v>32192.880000000001</v>
      </c>
      <c r="O66" s="125">
        <f>Valores!$C$9</f>
        <v>67480.59</v>
      </c>
      <c r="P66" s="125">
        <f>Valores!$D$5</f>
        <v>27451.439999999999</v>
      </c>
      <c r="Q66" s="125">
        <f>Valores!$C$22</f>
        <v>24491.06</v>
      </c>
      <c r="R66" s="125">
        <f>IF($F$4="NO",Valores!$C$45,Valores!$C$45/2)</f>
        <v>20136.400000000001</v>
      </c>
      <c r="S66" s="125">
        <f>Valores!$C$19</f>
        <v>25544</v>
      </c>
      <c r="T66" s="125">
        <f t="shared" si="7"/>
        <v>31930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45109.37</v>
      </c>
      <c r="AA66" s="125">
        <f>Valores!$C$25</f>
        <v>1122.78</v>
      </c>
      <c r="AB66" s="214">
        <v>0</v>
      </c>
      <c r="AC66" s="125">
        <f t="shared" si="2"/>
        <v>0</v>
      </c>
      <c r="AD66" s="125">
        <f>Valores!$C$26</f>
        <v>1122.78</v>
      </c>
      <c r="AE66" s="192">
        <v>0</v>
      </c>
      <c r="AF66" s="125">
        <f>ROUND(AE66*Valores!$C$2,2)</f>
        <v>0</v>
      </c>
      <c r="AG66" s="125">
        <f>ROUND(IF($F$4="NO",Valores!$C$63,Valores!$C$63/2),2)</f>
        <v>12836.3</v>
      </c>
      <c r="AH66" s="125">
        <f t="shared" si="5"/>
        <v>372508.70000000007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-40975.957000000009</v>
      </c>
      <c r="AO66" s="125">
        <f>AH66*-Valores!$C$72</f>
        <v>0</v>
      </c>
      <c r="AP66" s="125">
        <f>AH66*Valores!$C$73</f>
        <v>-16762.891500000002</v>
      </c>
      <c r="AQ66" s="125">
        <f>Valores!$C$100</f>
        <v>-554.86</v>
      </c>
      <c r="AR66" s="125">
        <f>IF($F$5=0,Valores!$C$101,(Valores!$C$101+$F$5*(Valores!$C$101)))</f>
        <v>-852</v>
      </c>
      <c r="AS66" s="125">
        <f t="shared" si="6"/>
        <v>313362.99150000006</v>
      </c>
      <c r="AT66" s="125">
        <f t="shared" si="0"/>
        <v>-40975.957000000009</v>
      </c>
      <c r="AU66" s="125">
        <f>AH66*Valores!$C$74</f>
        <v>-10057.734900000001</v>
      </c>
      <c r="AV66" s="125">
        <f>AH66*Valores!$C$75</f>
        <v>-1117.5261000000003</v>
      </c>
      <c r="AW66" s="125">
        <f t="shared" si="4"/>
        <v>320357.48200000008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4242.3</v>
      </c>
      <c r="G67" s="192">
        <v>1944</v>
      </c>
      <c r="H67" s="125">
        <f>ROUND(G67*Valores!$C$2,2)</f>
        <v>104392.8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0</v>
      </c>
      <c r="N67" s="125">
        <f t="shared" si="1"/>
        <v>32192.880000000001</v>
      </c>
      <c r="O67" s="125">
        <f>Valores!$C$9</f>
        <v>67480.59</v>
      </c>
      <c r="P67" s="125">
        <f>Valores!$D$5</f>
        <v>27451.439999999999</v>
      </c>
      <c r="Q67" s="125">
        <f>Valores!$C$22</f>
        <v>24491.06</v>
      </c>
      <c r="R67" s="125">
        <f>IF($F$4="NO",Valores!$C$45,Valores!$C$45/2)</f>
        <v>20136.400000000001</v>
      </c>
      <c r="S67" s="125">
        <f>Valores!$C$19</f>
        <v>25544</v>
      </c>
      <c r="T67" s="125">
        <f t="shared" si="7"/>
        <v>31930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45109.37</v>
      </c>
      <c r="AA67" s="125">
        <f>Valores!$C$25</f>
        <v>1122.78</v>
      </c>
      <c r="AB67" s="214">
        <v>0</v>
      </c>
      <c r="AC67" s="125">
        <f t="shared" si="2"/>
        <v>0</v>
      </c>
      <c r="AD67" s="125">
        <f>Valores!$C$26</f>
        <v>1122.78</v>
      </c>
      <c r="AE67" s="192">
        <v>94</v>
      </c>
      <c r="AF67" s="125">
        <f>ROUND(AE67*Valores!$C$2,2)</f>
        <v>5047.8</v>
      </c>
      <c r="AG67" s="125">
        <f>ROUND(IF($F$4="NO",Valores!$C$63,Valores!$C$63/2),2)</f>
        <v>12836.3</v>
      </c>
      <c r="AH67" s="125">
        <f t="shared" si="5"/>
        <v>377556.50000000006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-41531.215000000004</v>
      </c>
      <c r="AO67" s="125">
        <f>AH67*-Valores!$C$72</f>
        <v>0</v>
      </c>
      <c r="AP67" s="125">
        <f>AH67*Valores!$C$73</f>
        <v>-16990.042500000003</v>
      </c>
      <c r="AQ67" s="125">
        <f>Valores!$C$100</f>
        <v>-554.86</v>
      </c>
      <c r="AR67" s="125">
        <f>IF($F$5=0,Valores!$C$101,(Valores!$C$101+$F$5*(Valores!$C$101)))</f>
        <v>-852</v>
      </c>
      <c r="AS67" s="125">
        <f t="shared" si="6"/>
        <v>317628.38250000007</v>
      </c>
      <c r="AT67" s="125">
        <f t="shared" si="0"/>
        <v>-41531.215000000004</v>
      </c>
      <c r="AU67" s="125">
        <f>AH67*Valores!$C$74</f>
        <v>-10194.025500000002</v>
      </c>
      <c r="AV67" s="125">
        <f>AH67*Valores!$C$75</f>
        <v>-1132.6695000000002</v>
      </c>
      <c r="AW67" s="125">
        <f t="shared" si="4"/>
        <v>324698.59000000003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5370</v>
      </c>
      <c r="G68" s="192">
        <v>2864</v>
      </c>
      <c r="H68" s="125">
        <f>ROUND(G68*Valores!$C$2,2)</f>
        <v>153796.79999999999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0</v>
      </c>
      <c r="N68" s="125">
        <f t="shared" si="1"/>
        <v>44559.26</v>
      </c>
      <c r="O68" s="125">
        <f>Valores!$C$9</f>
        <v>67480.59</v>
      </c>
      <c r="P68" s="125">
        <f>Valores!$D$5</f>
        <v>27451.439999999999</v>
      </c>
      <c r="Q68" s="125">
        <v>0</v>
      </c>
      <c r="R68" s="125">
        <f>IF($F$4="NO",Valores!$C$44,Valores!$C$44/2)</f>
        <v>19070.25</v>
      </c>
      <c r="S68" s="125">
        <f>Valores!$C$19</f>
        <v>25544</v>
      </c>
      <c r="T68" s="125">
        <f t="shared" si="7"/>
        <v>31930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37591.14</v>
      </c>
      <c r="AA68" s="125">
        <f>Valores!$C$25</f>
        <v>1122.78</v>
      </c>
      <c r="AB68" s="214">
        <v>0</v>
      </c>
      <c r="AC68" s="125">
        <f t="shared" si="2"/>
        <v>0</v>
      </c>
      <c r="AD68" s="125">
        <f>Valores!$C$26</f>
        <v>1122.78</v>
      </c>
      <c r="AE68" s="192">
        <v>0</v>
      </c>
      <c r="AF68" s="125">
        <f>ROUND(AE68*Valores!$C$2,2)</f>
        <v>0</v>
      </c>
      <c r="AG68" s="125">
        <f>ROUND(IF($F$4="NO",Valores!$C$63,Valores!$C$63/2),2)</f>
        <v>12836.3</v>
      </c>
      <c r="AH68" s="125">
        <f t="shared" si="5"/>
        <v>402331.34000000008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-44256.447400000012</v>
      </c>
      <c r="AO68" s="125">
        <f>AH68*-Valores!$C$72</f>
        <v>0</v>
      </c>
      <c r="AP68" s="125">
        <f>AH68*Valores!$C$73</f>
        <v>-18104.910300000003</v>
      </c>
      <c r="AQ68" s="125">
        <f>Valores!$C$100</f>
        <v>-554.86</v>
      </c>
      <c r="AR68" s="125">
        <f>IF($F$5=0,Valores!$C$101,(Valores!$C$101+$F$5*(Valores!$C$101)))</f>
        <v>-852</v>
      </c>
      <c r="AS68" s="125">
        <f t="shared" si="6"/>
        <v>338563.12230000005</v>
      </c>
      <c r="AT68" s="125">
        <f t="shared" si="0"/>
        <v>-44256.447400000012</v>
      </c>
      <c r="AU68" s="125">
        <f>AH68*Valores!$C$74</f>
        <v>-10862.946180000003</v>
      </c>
      <c r="AV68" s="125">
        <f>AH68*Valores!$C$75</f>
        <v>-1206.9940200000003</v>
      </c>
      <c r="AW68" s="125">
        <f t="shared" si="4"/>
        <v>346004.95240000007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4242.3</v>
      </c>
      <c r="G69" s="192">
        <v>2161</v>
      </c>
      <c r="H69" s="125">
        <f>ROUND(G69*Valores!$C$2,2)</f>
        <v>116045.7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0</v>
      </c>
      <c r="N69" s="125">
        <f t="shared" si="1"/>
        <v>35106.1</v>
      </c>
      <c r="O69" s="125">
        <f>Valores!$C$9</f>
        <v>67480.59</v>
      </c>
      <c r="P69" s="125">
        <f>Valores!$D$5</f>
        <v>27451.439999999999</v>
      </c>
      <c r="Q69" s="125">
        <f>Valores!$C$22</f>
        <v>24491.06</v>
      </c>
      <c r="R69" s="125">
        <f>IF($F$4="NO",Valores!$C$45,Valores!$C$45/2)</f>
        <v>20136.400000000001</v>
      </c>
      <c r="S69" s="125">
        <f>Valores!$C$19</f>
        <v>25544</v>
      </c>
      <c r="T69" s="125">
        <f t="shared" si="7"/>
        <v>31930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45109.37</v>
      </c>
      <c r="AA69" s="125">
        <f>Valores!$C$25</f>
        <v>1122.78</v>
      </c>
      <c r="AB69" s="214">
        <v>0</v>
      </c>
      <c r="AC69" s="125">
        <f t="shared" si="2"/>
        <v>0</v>
      </c>
      <c r="AD69" s="125">
        <f>Valores!$C$26</f>
        <v>1122.78</v>
      </c>
      <c r="AE69" s="192">
        <v>0</v>
      </c>
      <c r="AF69" s="125">
        <f>ROUND(AE69*Valores!$C$2,2)</f>
        <v>0</v>
      </c>
      <c r="AG69" s="125">
        <f>ROUND(IF($F$4="NO",Valores!$C$63,Valores!$C$63/2),2)</f>
        <v>12836.3</v>
      </c>
      <c r="AH69" s="125">
        <f t="shared" si="5"/>
        <v>387074.82000000007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-42578.230200000005</v>
      </c>
      <c r="AO69" s="125">
        <f>AH69*-Valores!$C$72</f>
        <v>0</v>
      </c>
      <c r="AP69" s="125">
        <f>AH69*Valores!$C$73</f>
        <v>-17418.366900000001</v>
      </c>
      <c r="AQ69" s="125">
        <f>Valores!$C$100</f>
        <v>-554.86</v>
      </c>
      <c r="AR69" s="125">
        <f>IF($F$5=0,Valores!$C$101,(Valores!$C$101+$F$5*(Valores!$C$101)))</f>
        <v>-852</v>
      </c>
      <c r="AS69" s="125">
        <f t="shared" si="6"/>
        <v>325671.36290000007</v>
      </c>
      <c r="AT69" s="125">
        <f t="shared" si="0"/>
        <v>-42578.230200000005</v>
      </c>
      <c r="AU69" s="125">
        <f>AH69*Valores!$C$74</f>
        <v>-10451.020140000002</v>
      </c>
      <c r="AV69" s="125">
        <f>AH69*Valores!$C$75</f>
        <v>-1161.2244600000001</v>
      </c>
      <c r="AW69" s="125">
        <f t="shared" si="4"/>
        <v>332884.34520000004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4833</v>
      </c>
      <c r="G70" s="192">
        <v>3010</v>
      </c>
      <c r="H70" s="125">
        <f>ROUND(G70*Valores!$C$2,2)</f>
        <v>161637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0</v>
      </c>
      <c r="N70" s="125">
        <f t="shared" si="1"/>
        <v>47725.81</v>
      </c>
      <c r="O70" s="125">
        <f>Valores!$C$9</f>
        <v>67480.59</v>
      </c>
      <c r="P70" s="125">
        <f>Valores!$D$5</f>
        <v>27451.439999999999</v>
      </c>
      <c r="Q70" s="125">
        <f>Valores!$C$22</f>
        <v>24491.06</v>
      </c>
      <c r="R70" s="125">
        <f>IF($F$4="NO",Valores!$C$48,Valores!$C$48/2)</f>
        <v>24433.22</v>
      </c>
      <c r="S70" s="125">
        <f>Valores!$C$19</f>
        <v>25544</v>
      </c>
      <c r="T70" s="125">
        <f t="shared" si="7"/>
        <v>31930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45109.37</v>
      </c>
      <c r="AA70" s="125">
        <f>Valores!$C$25</f>
        <v>1122.78</v>
      </c>
      <c r="AB70" s="214">
        <v>0</v>
      </c>
      <c r="AC70" s="125">
        <f t="shared" si="2"/>
        <v>0</v>
      </c>
      <c r="AD70" s="125">
        <f>Valores!$C$26</f>
        <v>1122.78</v>
      </c>
      <c r="AE70" s="192">
        <v>0</v>
      </c>
      <c r="AF70" s="125">
        <f>ROUND(AE70*Valores!$C$2,2)</f>
        <v>0</v>
      </c>
      <c r="AG70" s="125">
        <f>ROUND(IF($F$4="NO",Valores!$C$63,Valores!$C$63/2),2)</f>
        <v>12836.3</v>
      </c>
      <c r="AH70" s="125">
        <f t="shared" si="5"/>
        <v>450173.35000000003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-49519.068500000001</v>
      </c>
      <c r="AO70" s="125">
        <f>AH70*-Valores!$C$72</f>
        <v>0</v>
      </c>
      <c r="AP70" s="125">
        <f>AH70*Valores!$C$73</f>
        <v>-20257.800750000002</v>
      </c>
      <c r="AQ70" s="125">
        <f>Valores!$C$100</f>
        <v>-554.86</v>
      </c>
      <c r="AR70" s="125">
        <f>IF($F$5=0,Valores!$C$101,(Valores!$C$101+$F$5*(Valores!$C$101)))</f>
        <v>-852</v>
      </c>
      <c r="AS70" s="125">
        <f t="shared" si="6"/>
        <v>378989.62075</v>
      </c>
      <c r="AT70" s="125">
        <f t="shared" si="0"/>
        <v>-49519.068500000001</v>
      </c>
      <c r="AU70" s="125">
        <f>AH70*Valores!$C$74</f>
        <v>-12154.680450000002</v>
      </c>
      <c r="AV70" s="125">
        <f>AH70*Valores!$C$75</f>
        <v>-1350.5200500000001</v>
      </c>
      <c r="AW70" s="125">
        <f t="shared" si="4"/>
        <v>387149.08100000001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4188.6000000000004</v>
      </c>
      <c r="G71" s="192">
        <v>2162</v>
      </c>
      <c r="H71" s="125">
        <f>ROUND(G71*Valores!$C$2,2)</f>
        <v>116099.4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0</v>
      </c>
      <c r="N71" s="125">
        <f t="shared" si="1"/>
        <v>35106.1</v>
      </c>
      <c r="O71" s="125">
        <f>Valores!$C$9</f>
        <v>67480.59</v>
      </c>
      <c r="P71" s="125">
        <f>Valores!$D$5</f>
        <v>27451.439999999999</v>
      </c>
      <c r="Q71" s="125">
        <f>Valores!$C$22</f>
        <v>24491.06</v>
      </c>
      <c r="R71" s="125">
        <f>IF($F$4="NO",Valores!$C$45,Valores!$C$45/2)</f>
        <v>20136.400000000001</v>
      </c>
      <c r="S71" s="125">
        <f>Valores!$C$19</f>
        <v>25544</v>
      </c>
      <c r="T71" s="125">
        <f t="shared" si="7"/>
        <v>31930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45109.37</v>
      </c>
      <c r="AA71" s="125">
        <f>Valores!$C$25</f>
        <v>1122.78</v>
      </c>
      <c r="AB71" s="214">
        <v>0</v>
      </c>
      <c r="AC71" s="125">
        <f t="shared" si="2"/>
        <v>0</v>
      </c>
      <c r="AD71" s="125">
        <f>Valores!$C$26</f>
        <v>1122.78</v>
      </c>
      <c r="AE71" s="192">
        <v>0</v>
      </c>
      <c r="AF71" s="125">
        <f>ROUND(AE71*Valores!$C$2,2)</f>
        <v>0</v>
      </c>
      <c r="AG71" s="125">
        <f>ROUND(IF($F$4="NO",Valores!$C$63,Valores!$C$63/2),2)</f>
        <v>12836.3</v>
      </c>
      <c r="AH71" s="125">
        <f t="shared" si="5"/>
        <v>387074.82000000007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-42578.230200000005</v>
      </c>
      <c r="AO71" s="125">
        <f>AH71*-Valores!$C$72</f>
        <v>0</v>
      </c>
      <c r="AP71" s="125">
        <f>AH71*Valores!$C$73</f>
        <v>-17418.366900000001</v>
      </c>
      <c r="AQ71" s="125">
        <f>Valores!$C$100</f>
        <v>-554.86</v>
      </c>
      <c r="AR71" s="125">
        <f>IF($F$5=0,Valores!$C$101,(Valores!$C$101+$F$5*(Valores!$C$101)))</f>
        <v>-852</v>
      </c>
      <c r="AS71" s="125">
        <f t="shared" si="6"/>
        <v>325671.36290000007</v>
      </c>
      <c r="AT71" s="125">
        <f t="shared" ref="AT71:AT133" si="10">AN71</f>
        <v>-42578.230200000005</v>
      </c>
      <c r="AU71" s="125">
        <f>AH71*Valores!$C$74</f>
        <v>-10451.020140000002</v>
      </c>
      <c r="AV71" s="125">
        <f>AH71*Valores!$C$75</f>
        <v>-1161.2244600000001</v>
      </c>
      <c r="AW71" s="125">
        <f t="shared" si="4"/>
        <v>332884.34520000004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4833</v>
      </c>
      <c r="G72" s="192">
        <v>2800</v>
      </c>
      <c r="H72" s="125">
        <f>ROUND(G72*Valores!$C$2,2)</f>
        <v>150360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0</v>
      </c>
      <c r="N72" s="125">
        <f t="shared" ref="N72:N135" si="11">ROUND(SUM(F72,H72,J72,L72,X72,R72)*$H$2,2)</f>
        <v>44906.559999999998</v>
      </c>
      <c r="O72" s="125">
        <f>Valores!$C$9</f>
        <v>67480.59</v>
      </c>
      <c r="P72" s="125">
        <f>Valores!$D$5</f>
        <v>27451.439999999999</v>
      </c>
      <c r="Q72" s="125">
        <v>0</v>
      </c>
      <c r="R72" s="125">
        <f>IF($F$4="NO",Valores!$C$48,Valores!$C$48/2)</f>
        <v>24433.22</v>
      </c>
      <c r="S72" s="125">
        <f>Valores!$C$19</f>
        <v>25544</v>
      </c>
      <c r="T72" s="125">
        <f t="shared" si="7"/>
        <v>31930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45109.37</v>
      </c>
      <c r="AA72" s="125">
        <f>Valores!$C$25</f>
        <v>1122.78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1122.78</v>
      </c>
      <c r="AE72" s="192">
        <v>0</v>
      </c>
      <c r="AF72" s="125">
        <f>ROUND(AE72*Valores!$C$2,2)</f>
        <v>0</v>
      </c>
      <c r="AG72" s="125">
        <f>ROUND(IF($F$4="NO",Valores!$C$63,Valores!$C$63/2),2)</f>
        <v>12836.3</v>
      </c>
      <c r="AH72" s="125">
        <f t="shared" si="5"/>
        <v>411586.0400000001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-45274.464400000012</v>
      </c>
      <c r="AO72" s="125">
        <f>AH72*-Valores!$C$72</f>
        <v>0</v>
      </c>
      <c r="AP72" s="125">
        <f>AH72*Valores!$C$73</f>
        <v>-18521.371800000004</v>
      </c>
      <c r="AQ72" s="125">
        <f>Valores!$C$100</f>
        <v>-554.86</v>
      </c>
      <c r="AR72" s="125">
        <f>IF($F$5=0,Valores!$C$101,(Valores!$C$101+$F$5*(Valores!$C$101)))</f>
        <v>-852</v>
      </c>
      <c r="AS72" s="125">
        <f t="shared" si="6"/>
        <v>346383.34380000009</v>
      </c>
      <c r="AT72" s="125">
        <f t="shared" si="10"/>
        <v>-45274.464400000012</v>
      </c>
      <c r="AU72" s="125">
        <f>AH72*Valores!$C$74</f>
        <v>-11112.823080000002</v>
      </c>
      <c r="AV72" s="125">
        <f>AH72*Valores!$C$75</f>
        <v>-1234.7581200000004</v>
      </c>
      <c r="AW72" s="125">
        <f t="shared" ref="AW72:AW135" si="14">AH72+AM72+SUM(AT72:AV72)</f>
        <v>353963.99440000008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4242.3</v>
      </c>
      <c r="G73" s="192">
        <v>2161</v>
      </c>
      <c r="H73" s="125">
        <f>ROUND(G73*Valores!$C$2,2)</f>
        <v>116045.7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0</v>
      </c>
      <c r="N73" s="125">
        <f t="shared" si="11"/>
        <v>35106.1</v>
      </c>
      <c r="O73" s="125">
        <f>Valores!$C$9</f>
        <v>67480.59</v>
      </c>
      <c r="P73" s="125">
        <f>Valores!$D$5</f>
        <v>27451.439999999999</v>
      </c>
      <c r="Q73" s="125">
        <f>Valores!$C$22</f>
        <v>24491.06</v>
      </c>
      <c r="R73" s="125">
        <f>IF($F$4="NO",Valores!$C$45,Valores!$C$45/2)</f>
        <v>20136.400000000001</v>
      </c>
      <c r="S73" s="125">
        <f>Valores!$C$19</f>
        <v>25544</v>
      </c>
      <c r="T73" s="125">
        <f t="shared" si="7"/>
        <v>31930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45109.37</v>
      </c>
      <c r="AA73" s="125">
        <f>Valores!$C$25</f>
        <v>1122.78</v>
      </c>
      <c r="AB73" s="214">
        <v>0</v>
      </c>
      <c r="AC73" s="125">
        <f t="shared" si="12"/>
        <v>0</v>
      </c>
      <c r="AD73" s="125">
        <f>Valores!$C$26</f>
        <v>1122.78</v>
      </c>
      <c r="AE73" s="192">
        <v>0</v>
      </c>
      <c r="AF73" s="125">
        <f>ROUND(AE73*Valores!$C$2,2)</f>
        <v>0</v>
      </c>
      <c r="AG73" s="125">
        <f>ROUND(IF($F$4="NO",Valores!$C$63,Valores!$C$63/2),2)</f>
        <v>12836.3</v>
      </c>
      <c r="AH73" s="125">
        <f t="shared" ref="AH73:AH136" si="15">SUM(F73,H73,J73,L73,M73,N73,O73,P73,Q73,R73,T73,U73,V73,X73,Y73,Z73,AA73,AC73,AD73,AF73,AG73)</f>
        <v>387074.82000000007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-42578.230200000005</v>
      </c>
      <c r="AO73" s="125">
        <f>AH73*-Valores!$C$72</f>
        <v>0</v>
      </c>
      <c r="AP73" s="125">
        <f>AH73*Valores!$C$73</f>
        <v>-17418.366900000001</v>
      </c>
      <c r="AQ73" s="125">
        <f>Valores!$C$100</f>
        <v>-554.86</v>
      </c>
      <c r="AR73" s="125">
        <f>IF($F$5=0,Valores!$C$101,(Valores!$C$101+$F$5*(Valores!$C$101)))</f>
        <v>-852</v>
      </c>
      <c r="AS73" s="125">
        <f t="shared" ref="AS73:AS136" si="16">AH73+SUM(AM73:AR73)</f>
        <v>325671.36290000007</v>
      </c>
      <c r="AT73" s="125">
        <f t="shared" si="10"/>
        <v>-42578.230200000005</v>
      </c>
      <c r="AU73" s="125">
        <f>AH73*Valores!$C$74</f>
        <v>-10451.020140000002</v>
      </c>
      <c r="AV73" s="125">
        <f>AH73*Valores!$C$75</f>
        <v>-1161.2244600000001</v>
      </c>
      <c r="AW73" s="125">
        <f t="shared" si="14"/>
        <v>332884.34520000004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4833</v>
      </c>
      <c r="G74" s="192">
        <v>2720</v>
      </c>
      <c r="H74" s="125">
        <f>ROUND(G74*Valores!$C$2,2)</f>
        <v>146064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0</v>
      </c>
      <c r="N74" s="125">
        <f t="shared" si="11"/>
        <v>43832.56</v>
      </c>
      <c r="O74" s="125">
        <f>Valores!$C$9</f>
        <v>67480.59</v>
      </c>
      <c r="P74" s="125">
        <f>Valores!$D$5</f>
        <v>27451.439999999999</v>
      </c>
      <c r="Q74" s="125">
        <v>0</v>
      </c>
      <c r="R74" s="125">
        <f>IF($F$4="NO",Valores!$C$48,Valores!$C$476/2)</f>
        <v>24433.22</v>
      </c>
      <c r="S74" s="125">
        <f>Valores!$C$19</f>
        <v>25544</v>
      </c>
      <c r="T74" s="125">
        <f t="shared" si="7"/>
        <v>31930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45109.37</v>
      </c>
      <c r="AA74" s="125">
        <f>Valores!$C$25</f>
        <v>1122.78</v>
      </c>
      <c r="AB74" s="214">
        <v>0</v>
      </c>
      <c r="AC74" s="125">
        <f t="shared" si="12"/>
        <v>0</v>
      </c>
      <c r="AD74" s="125">
        <f>Valores!$C$26</f>
        <v>1122.78</v>
      </c>
      <c r="AE74" s="192">
        <v>0</v>
      </c>
      <c r="AF74" s="125">
        <f>ROUND(AE74*Valores!$C$2,2)</f>
        <v>0</v>
      </c>
      <c r="AG74" s="125">
        <f>ROUND(IF($F$4="NO",Valores!$C$63,Valores!$C$63/2),2)</f>
        <v>12836.3</v>
      </c>
      <c r="AH74" s="125">
        <f t="shared" si="15"/>
        <v>406216.0400000001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-44683.764400000007</v>
      </c>
      <c r="AO74" s="125">
        <f>AH74*-Valores!$C$72</f>
        <v>0</v>
      </c>
      <c r="AP74" s="125">
        <f>AH74*Valores!$C$73</f>
        <v>-18279.721800000003</v>
      </c>
      <c r="AQ74" s="125">
        <f>Valores!$C$100</f>
        <v>-554.86</v>
      </c>
      <c r="AR74" s="125">
        <f>IF($F$5=0,Valores!$C$101,(Valores!$C$101+$F$5*(Valores!$C$101)))</f>
        <v>-852</v>
      </c>
      <c r="AS74" s="125">
        <f t="shared" si="16"/>
        <v>341845.69380000007</v>
      </c>
      <c r="AT74" s="125">
        <f t="shared" si="10"/>
        <v>-44683.764400000007</v>
      </c>
      <c r="AU74" s="125">
        <f>AH74*Valores!$C$74</f>
        <v>-10967.833080000002</v>
      </c>
      <c r="AV74" s="125">
        <f>AH74*Valores!$C$75</f>
        <v>-1218.6481200000003</v>
      </c>
      <c r="AW74" s="125">
        <f t="shared" si="14"/>
        <v>349345.79440000007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4188.6000000000004</v>
      </c>
      <c r="G75" s="192">
        <v>1284</v>
      </c>
      <c r="H75" s="125">
        <f>ROUND(G75*Valores!$C$2,2)</f>
        <v>68950.8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0</v>
      </c>
      <c r="N75" s="125">
        <f t="shared" si="11"/>
        <v>23052.41</v>
      </c>
      <c r="O75" s="125">
        <f>Valores!$C$8</f>
        <v>67306.67</v>
      </c>
      <c r="P75" s="125">
        <f>Valores!$D$5</f>
        <v>27451.439999999999</v>
      </c>
      <c r="Q75" s="125">
        <f>Valores!$C$22</f>
        <v>24491.06</v>
      </c>
      <c r="R75" s="125">
        <f>IF($F$4="NO",Valores!$C$44,Valores!$C$44/2)</f>
        <v>19070.25</v>
      </c>
      <c r="S75" s="125">
        <f>Valores!$C$20</f>
        <v>25282.84</v>
      </c>
      <c r="T75" s="125">
        <f t="shared" ref="T75:T138" si="17">ROUND(S75*(1+$H$2),2)</f>
        <v>31603.55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37591.14</v>
      </c>
      <c r="AA75" s="125">
        <f>Valores!$C$25</f>
        <v>1122.78</v>
      </c>
      <c r="AB75" s="214">
        <v>0</v>
      </c>
      <c r="AC75" s="125">
        <f t="shared" si="12"/>
        <v>0</v>
      </c>
      <c r="AD75" s="125">
        <f>Valores!$C$26</f>
        <v>1122.78</v>
      </c>
      <c r="AE75" s="192">
        <v>0</v>
      </c>
      <c r="AF75" s="125">
        <f>ROUND(AE75*Valores!$C$2,2)</f>
        <v>0</v>
      </c>
      <c r="AG75" s="125">
        <f>ROUND(IF($F$4="NO",Valores!$C$63,Valores!$C$63/2),2)</f>
        <v>12836.3</v>
      </c>
      <c r="AH75" s="125">
        <f t="shared" si="15"/>
        <v>318787.78000000009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-35066.655800000008</v>
      </c>
      <c r="AO75" s="125">
        <f>AH75*-Valores!$C$72</f>
        <v>0</v>
      </c>
      <c r="AP75" s="125">
        <f>AH75*Valores!$C$73</f>
        <v>-14345.450100000004</v>
      </c>
      <c r="AQ75" s="125">
        <f>Valores!$C$100</f>
        <v>-554.86</v>
      </c>
      <c r="AR75" s="125">
        <f>IF($F$5=0,Valores!$C$101,(Valores!$C$101+$F$5*(Valores!$C$101)))</f>
        <v>-852</v>
      </c>
      <c r="AS75" s="125">
        <f t="shared" si="16"/>
        <v>267968.81410000008</v>
      </c>
      <c r="AT75" s="125">
        <f t="shared" si="10"/>
        <v>-35066.655800000008</v>
      </c>
      <c r="AU75" s="125">
        <f>AH75*Valores!$C$74</f>
        <v>-8607.2700600000026</v>
      </c>
      <c r="AV75" s="125">
        <f>AH75*Valores!$C$75</f>
        <v>-956.36334000000033</v>
      </c>
      <c r="AW75" s="125">
        <f t="shared" si="14"/>
        <v>274157.49080000009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4188.6000000000004</v>
      </c>
      <c r="G76" s="192">
        <v>1284</v>
      </c>
      <c r="H76" s="125">
        <f>ROUND(G76*Valores!$C$2,2)</f>
        <v>68950.8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0</v>
      </c>
      <c r="N76" s="125">
        <f t="shared" si="11"/>
        <v>23052.41</v>
      </c>
      <c r="O76" s="125">
        <f>Valores!$C$8</f>
        <v>67306.67</v>
      </c>
      <c r="P76" s="125">
        <f>Valores!$D$5</f>
        <v>27451.439999999999</v>
      </c>
      <c r="Q76" s="125">
        <f>Valores!$C$22</f>
        <v>24491.06</v>
      </c>
      <c r="R76" s="125">
        <f>IF($F$4="NO",Valores!$C$44,Valores!$C$44/2)</f>
        <v>19070.25</v>
      </c>
      <c r="S76" s="125">
        <f>Valores!$C$20</f>
        <v>25282.84</v>
      </c>
      <c r="T76" s="125">
        <f t="shared" si="17"/>
        <v>31603.55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37591.14</v>
      </c>
      <c r="AA76" s="125">
        <f>Valores!$C$25</f>
        <v>1122.78</v>
      </c>
      <c r="AB76" s="214">
        <v>0</v>
      </c>
      <c r="AC76" s="125">
        <f t="shared" si="12"/>
        <v>0</v>
      </c>
      <c r="AD76" s="125">
        <f>Valores!$C$26</f>
        <v>1122.78</v>
      </c>
      <c r="AE76" s="192">
        <v>0</v>
      </c>
      <c r="AF76" s="125">
        <f>ROUND(AE76*Valores!$C$2,2)</f>
        <v>0</v>
      </c>
      <c r="AG76" s="125">
        <f>ROUND(IF($F$4="NO",Valores!$C$63,Valores!$C$63/2),2)</f>
        <v>12836.3</v>
      </c>
      <c r="AH76" s="125">
        <f t="shared" si="15"/>
        <v>318787.78000000009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-35066.655800000008</v>
      </c>
      <c r="AO76" s="125">
        <f>AH76*-Valores!$C$72</f>
        <v>0</v>
      </c>
      <c r="AP76" s="125">
        <f>AH76*Valores!$C$73</f>
        <v>-14345.450100000004</v>
      </c>
      <c r="AQ76" s="125">
        <f>Valores!$C$100</f>
        <v>-554.86</v>
      </c>
      <c r="AR76" s="125">
        <f>IF($F$5=0,Valores!$C$101,(Valores!$C$101+$F$5*(Valores!$C$101)))</f>
        <v>-852</v>
      </c>
      <c r="AS76" s="125">
        <f t="shared" si="16"/>
        <v>267968.81410000008</v>
      </c>
      <c r="AT76" s="125">
        <f t="shared" si="10"/>
        <v>-35066.655800000008</v>
      </c>
      <c r="AU76" s="125">
        <f>AH76*Valores!$C$74</f>
        <v>-8607.2700600000026</v>
      </c>
      <c r="AV76" s="125">
        <f>AH76*Valores!$C$75</f>
        <v>-956.36334000000033</v>
      </c>
      <c r="AW76" s="125">
        <f t="shared" si="14"/>
        <v>274157.49080000009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4188.6000000000004</v>
      </c>
      <c r="G77" s="192">
        <v>1284</v>
      </c>
      <c r="H77" s="125">
        <f>ROUND(G77*Valores!$C$2,2)</f>
        <v>68950.8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0</v>
      </c>
      <c r="N77" s="125">
        <f t="shared" si="11"/>
        <v>23052.41</v>
      </c>
      <c r="O77" s="125">
        <f>Valores!$C$14</f>
        <v>53474.37</v>
      </c>
      <c r="P77" s="125">
        <f>Valores!$D$5</f>
        <v>27451.439999999999</v>
      </c>
      <c r="Q77" s="125">
        <f>Valores!$C$22</f>
        <v>24491.06</v>
      </c>
      <c r="R77" s="125">
        <f>IF($F$4="NO",Valores!$C$44,Valores!$C$44/2)</f>
        <v>19070.25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37591.14</v>
      </c>
      <c r="AA77" s="125">
        <f>Valores!$C$25</f>
        <v>1122.78</v>
      </c>
      <c r="AB77" s="214">
        <v>0</v>
      </c>
      <c r="AC77" s="125">
        <f t="shared" si="12"/>
        <v>0</v>
      </c>
      <c r="AD77" s="125">
        <f>Valores!$C$26</f>
        <v>1122.78</v>
      </c>
      <c r="AE77" s="192">
        <v>0</v>
      </c>
      <c r="AF77" s="125">
        <f>ROUND(AE77*Valores!$C$2,2)</f>
        <v>0</v>
      </c>
      <c r="AG77" s="125">
        <f>ROUND(IF($F$4="NO",Valores!$C$63,Valores!$C$63/2),2)</f>
        <v>12836.3</v>
      </c>
      <c r="AH77" s="125">
        <f t="shared" si="15"/>
        <v>273351.93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-30068.712299999999</v>
      </c>
      <c r="AO77" s="125">
        <f>AH77*-Valores!$C$72</f>
        <v>0</v>
      </c>
      <c r="AP77" s="125">
        <f>AH77*Valores!$C$73</f>
        <v>-12300.83685</v>
      </c>
      <c r="AQ77" s="125">
        <f>Valores!$C$100</f>
        <v>-554.86</v>
      </c>
      <c r="AR77" s="125">
        <f>IF($F$5=0,Valores!$C$101,(Valores!$C$101+$F$5*(Valores!$C$101)))</f>
        <v>-852</v>
      </c>
      <c r="AS77" s="125">
        <f t="shared" si="16"/>
        <v>229575.52085</v>
      </c>
      <c r="AT77" s="125">
        <f t="shared" si="10"/>
        <v>-30068.712299999999</v>
      </c>
      <c r="AU77" s="125">
        <f>AH77*Valores!$C$74</f>
        <v>-7380.5021099999994</v>
      </c>
      <c r="AV77" s="125">
        <f>AH77*Valores!$C$75</f>
        <v>-820.05579</v>
      </c>
      <c r="AW77" s="125">
        <f t="shared" si="14"/>
        <v>235082.65979999999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4403.3999999999996</v>
      </c>
      <c r="G78" s="192">
        <v>2038</v>
      </c>
      <c r="H78" s="125">
        <f>ROUND(G78*Valores!$C$2,2)</f>
        <v>109440.6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0</v>
      </c>
      <c r="N78" s="125">
        <f t="shared" si="11"/>
        <v>33228.559999999998</v>
      </c>
      <c r="O78" s="125">
        <f>Valores!$C$9</f>
        <v>67480.59</v>
      </c>
      <c r="P78" s="125">
        <f>Valores!$D$5</f>
        <v>27451.439999999999</v>
      </c>
      <c r="Q78" s="125">
        <f>Valores!$C$22</f>
        <v>24491.06</v>
      </c>
      <c r="R78" s="125">
        <f>IF($F$4="NO",Valores!$C$44,Valores!$C$44/2)</f>
        <v>19070.25</v>
      </c>
      <c r="S78" s="125">
        <f>Valores!$C$19</f>
        <v>25544</v>
      </c>
      <c r="T78" s="125">
        <f t="shared" si="17"/>
        <v>31930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37591.14</v>
      </c>
      <c r="AA78" s="125">
        <f>Valores!$C$25</f>
        <v>1122.78</v>
      </c>
      <c r="AB78" s="214">
        <v>0</v>
      </c>
      <c r="AC78" s="125">
        <f t="shared" si="12"/>
        <v>0</v>
      </c>
      <c r="AD78" s="125">
        <f>Valores!$C$26</f>
        <v>1122.78</v>
      </c>
      <c r="AE78" s="192">
        <v>0</v>
      </c>
      <c r="AF78" s="125">
        <f>ROUND(AE78*Valores!$C$2,2)</f>
        <v>0</v>
      </c>
      <c r="AG78" s="125">
        <f>ROUND(IF($F$4="NO",Valores!$C$63,Valores!$C$63/2),2)</f>
        <v>12836.3</v>
      </c>
      <c r="AH78" s="125">
        <f t="shared" si="15"/>
        <v>370168.90000000008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-40718.579000000012</v>
      </c>
      <c r="AO78" s="125">
        <f>AH78*-Valores!$C$72</f>
        <v>0</v>
      </c>
      <c r="AP78" s="125">
        <f>AH78*Valores!$C$73</f>
        <v>-16657.600500000004</v>
      </c>
      <c r="AQ78" s="125">
        <f>Valores!$C$100</f>
        <v>-554.86</v>
      </c>
      <c r="AR78" s="125">
        <f>IF($F$5=0,Valores!$C$101,(Valores!$C$101+$F$5*(Valores!$C$101)))</f>
        <v>-852</v>
      </c>
      <c r="AS78" s="125">
        <f t="shared" si="16"/>
        <v>311385.86050000007</v>
      </c>
      <c r="AT78" s="125">
        <f t="shared" si="10"/>
        <v>-40718.579000000012</v>
      </c>
      <c r="AU78" s="125">
        <f>AH78*Valores!$C$74</f>
        <v>-9994.5603000000028</v>
      </c>
      <c r="AV78" s="125">
        <f>AH78*Valores!$C$75</f>
        <v>-1110.5067000000004</v>
      </c>
      <c r="AW78" s="125">
        <f t="shared" si="14"/>
        <v>318345.25400000007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4188.6000000000004</v>
      </c>
      <c r="G79" s="192">
        <v>2072</v>
      </c>
      <c r="H79" s="125">
        <f>ROUND(G79*Valores!$C$2,2)</f>
        <v>111266.4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0</v>
      </c>
      <c r="N79" s="125">
        <f t="shared" si="11"/>
        <v>33897.85</v>
      </c>
      <c r="O79" s="125">
        <f>Valores!$C$9</f>
        <v>67480.59</v>
      </c>
      <c r="P79" s="125">
        <f>Valores!$D$5</f>
        <v>27451.439999999999</v>
      </c>
      <c r="Q79" s="125">
        <f>Valores!$C$22</f>
        <v>24491.06</v>
      </c>
      <c r="R79" s="125">
        <f>IF($F$4="NO",Valores!$C$45,Valores!$C$45/2)</f>
        <v>20136.400000000001</v>
      </c>
      <c r="S79" s="125">
        <f>Valores!$C$19</f>
        <v>25544</v>
      </c>
      <c r="T79" s="125">
        <f t="shared" si="17"/>
        <v>31930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45109.37</v>
      </c>
      <c r="AA79" s="125">
        <f>Valores!$C$25</f>
        <v>1122.78</v>
      </c>
      <c r="AB79" s="214">
        <v>0</v>
      </c>
      <c r="AC79" s="125">
        <f t="shared" si="12"/>
        <v>0</v>
      </c>
      <c r="AD79" s="125">
        <f>Valores!$C$26</f>
        <v>1122.78</v>
      </c>
      <c r="AE79" s="192">
        <v>0</v>
      </c>
      <c r="AF79" s="125">
        <f>ROUND(AE79*Valores!$C$2,2)</f>
        <v>0</v>
      </c>
      <c r="AG79" s="125">
        <f>ROUND(IF($F$4="NO",Valores!$C$63,Valores!$C$63/2),2)</f>
        <v>12836.3</v>
      </c>
      <c r="AH79" s="125">
        <f t="shared" si="15"/>
        <v>381033.57000000007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-41913.692700000007</v>
      </c>
      <c r="AO79" s="125">
        <f>AH79*-Valores!$C$72</f>
        <v>0</v>
      </c>
      <c r="AP79" s="125">
        <f>AH79*Valores!$C$73</f>
        <v>-17146.510650000004</v>
      </c>
      <c r="AQ79" s="125">
        <f>Valores!$C$100</f>
        <v>-554.86</v>
      </c>
      <c r="AR79" s="125">
        <f>IF($F$5=0,Valores!$C$101,(Valores!$C$101+$F$5*(Valores!$C$101)))</f>
        <v>-852</v>
      </c>
      <c r="AS79" s="125">
        <f t="shared" si="16"/>
        <v>320566.50665000005</v>
      </c>
      <c r="AT79" s="125">
        <f t="shared" si="10"/>
        <v>-41913.692700000007</v>
      </c>
      <c r="AU79" s="125">
        <f>AH79*Valores!$C$74</f>
        <v>-10287.906390000002</v>
      </c>
      <c r="AV79" s="125">
        <f>AH79*Valores!$C$75</f>
        <v>-1143.1007100000002</v>
      </c>
      <c r="AW79" s="125">
        <f t="shared" si="14"/>
        <v>327688.87020000006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4188.6000000000004</v>
      </c>
      <c r="G80" s="192">
        <v>1770</v>
      </c>
      <c r="H80" s="125">
        <f>ROUND(G80*Valores!$C$2,2)</f>
        <v>95049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0</v>
      </c>
      <c r="N80" s="125">
        <f t="shared" si="11"/>
        <v>29843.5</v>
      </c>
      <c r="O80" s="125">
        <f>Valores!$C$9</f>
        <v>67480.59</v>
      </c>
      <c r="P80" s="125">
        <f>Valores!$D$5</f>
        <v>27451.439999999999</v>
      </c>
      <c r="Q80" s="125">
        <f>Valores!$C$22</f>
        <v>24491.06</v>
      </c>
      <c r="R80" s="125">
        <f>IF($F$4="NO",Valores!$C$45,Valores!$C$45/2)</f>
        <v>20136.400000000001</v>
      </c>
      <c r="S80" s="125">
        <f>Valores!$C$19</f>
        <v>25544</v>
      </c>
      <c r="T80" s="125">
        <f t="shared" si="17"/>
        <v>31930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45109.37</v>
      </c>
      <c r="AA80" s="125">
        <f>Valores!$C$25</f>
        <v>1122.78</v>
      </c>
      <c r="AB80" s="214">
        <v>0</v>
      </c>
      <c r="AC80" s="125">
        <f t="shared" si="12"/>
        <v>0</v>
      </c>
      <c r="AD80" s="125">
        <f>Valores!$C$26</f>
        <v>1122.78</v>
      </c>
      <c r="AE80" s="192">
        <v>0</v>
      </c>
      <c r="AF80" s="125">
        <f>ROUND(AE80*Valores!$C$2,2)</f>
        <v>0</v>
      </c>
      <c r="AG80" s="125">
        <f>ROUND(IF($F$4="NO",Valores!$C$63,Valores!$C$63/2),2)</f>
        <v>12836.3</v>
      </c>
      <c r="AH80" s="125">
        <f t="shared" si="15"/>
        <v>360761.82000000007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-39683.800200000005</v>
      </c>
      <c r="AO80" s="125">
        <f>AH80*-Valores!$C$72</f>
        <v>0</v>
      </c>
      <c r="AP80" s="125">
        <f>AH80*Valores!$C$73</f>
        <v>-16234.281900000002</v>
      </c>
      <c r="AQ80" s="125">
        <f>Valores!$C$100</f>
        <v>-554.86</v>
      </c>
      <c r="AR80" s="125">
        <f>IF($F$5=0,Valores!$C$101,(Valores!$C$101+$F$5*(Valores!$C$101)))</f>
        <v>-852</v>
      </c>
      <c r="AS80" s="125">
        <f t="shared" si="16"/>
        <v>303436.87790000008</v>
      </c>
      <c r="AT80" s="125">
        <f t="shared" si="10"/>
        <v>-39683.800200000005</v>
      </c>
      <c r="AU80" s="125">
        <f>AH80*Valores!$C$74</f>
        <v>-9740.5691400000014</v>
      </c>
      <c r="AV80" s="125">
        <f>AH80*Valores!$C$75</f>
        <v>-1082.2854600000003</v>
      </c>
      <c r="AW80" s="125">
        <f t="shared" si="14"/>
        <v>310255.16520000005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4134.8999999999996</v>
      </c>
      <c r="G81" s="192">
        <v>2073</v>
      </c>
      <c r="H81" s="125">
        <f>ROUND(G81*Valores!$C$2,2)</f>
        <v>111320.1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0</v>
      </c>
      <c r="N81" s="125">
        <f t="shared" si="11"/>
        <v>33897.85</v>
      </c>
      <c r="O81" s="125">
        <f>Valores!$C$9</f>
        <v>67480.59</v>
      </c>
      <c r="P81" s="125">
        <f>Valores!$D$5</f>
        <v>27451.439999999999</v>
      </c>
      <c r="Q81" s="125">
        <f>Valores!$C$22</f>
        <v>24491.06</v>
      </c>
      <c r="R81" s="125">
        <f>IF($F$4="NO",Valores!$C$45,Valores!$C$45/2)</f>
        <v>20136.400000000001</v>
      </c>
      <c r="S81" s="125">
        <f>Valores!$C$19</f>
        <v>25544</v>
      </c>
      <c r="T81" s="125">
        <f t="shared" si="17"/>
        <v>31930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45109.37</v>
      </c>
      <c r="AA81" s="125">
        <f>Valores!$C$25</f>
        <v>1122.78</v>
      </c>
      <c r="AB81" s="214">
        <v>0</v>
      </c>
      <c r="AC81" s="125">
        <f t="shared" si="12"/>
        <v>0</v>
      </c>
      <c r="AD81" s="125">
        <f>Valores!$C$26</f>
        <v>1122.78</v>
      </c>
      <c r="AE81" s="192">
        <v>0</v>
      </c>
      <c r="AF81" s="125">
        <f>ROUND(AE81*Valores!$C$2,2)</f>
        <v>0</v>
      </c>
      <c r="AG81" s="125">
        <f>ROUND(IF($F$4="NO",Valores!$C$63,Valores!$C$63/2),2)</f>
        <v>12836.3</v>
      </c>
      <c r="AH81" s="125">
        <f t="shared" si="15"/>
        <v>381033.57000000007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-41913.692700000007</v>
      </c>
      <c r="AO81" s="125">
        <f>AH81*-Valores!$C$72</f>
        <v>0</v>
      </c>
      <c r="AP81" s="125">
        <f>AH81*Valores!$C$73</f>
        <v>-17146.510650000004</v>
      </c>
      <c r="AQ81" s="125">
        <f>Valores!$C$100</f>
        <v>-554.86</v>
      </c>
      <c r="AR81" s="125">
        <f>IF($F$5=0,Valores!$C$101,(Valores!$C$101+$F$5*(Valores!$C$101)))</f>
        <v>-852</v>
      </c>
      <c r="AS81" s="125">
        <f t="shared" si="16"/>
        <v>320566.50665000005</v>
      </c>
      <c r="AT81" s="125">
        <f t="shared" si="10"/>
        <v>-41913.692700000007</v>
      </c>
      <c r="AU81" s="125">
        <f>AH81*Valores!$C$74</f>
        <v>-10287.906390000002</v>
      </c>
      <c r="AV81" s="125">
        <f>AH81*Valores!$C$75</f>
        <v>-1143.1007100000002</v>
      </c>
      <c r="AW81" s="125">
        <f t="shared" si="14"/>
        <v>327688.87020000006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4081.2</v>
      </c>
      <c r="G82" s="192">
        <v>1872</v>
      </c>
      <c r="H82" s="125">
        <f>ROUND(G82*Valores!$C$2,2)</f>
        <v>100526.39999999999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0</v>
      </c>
      <c r="N82" s="125">
        <f t="shared" si="11"/>
        <v>31186</v>
      </c>
      <c r="O82" s="125">
        <f>Valores!$C$9</f>
        <v>67480.59</v>
      </c>
      <c r="P82" s="125">
        <f>Valores!$D$5</f>
        <v>27451.439999999999</v>
      </c>
      <c r="Q82" s="125">
        <v>0</v>
      </c>
      <c r="R82" s="125">
        <f>IF($F$4="NO",Valores!$C$45,Valores!$C$45/2)</f>
        <v>20136.400000000001</v>
      </c>
      <c r="S82" s="125">
        <f>Valores!$C$19</f>
        <v>25544</v>
      </c>
      <c r="T82" s="125">
        <f t="shared" si="17"/>
        <v>31930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45109.37</v>
      </c>
      <c r="AA82" s="125">
        <f>Valores!$C$25</f>
        <v>1122.78</v>
      </c>
      <c r="AB82" s="214">
        <v>0</v>
      </c>
      <c r="AC82" s="125">
        <f t="shared" si="12"/>
        <v>0</v>
      </c>
      <c r="AD82" s="125">
        <f>Valores!$C$26</f>
        <v>1122.78</v>
      </c>
      <c r="AE82" s="192">
        <v>0</v>
      </c>
      <c r="AF82" s="125">
        <f>ROUND(AE82*Valores!$C$2,2)</f>
        <v>0</v>
      </c>
      <c r="AG82" s="125">
        <f>ROUND(IF($F$4="NO",Valores!$C$63,Valores!$C$63/2),2)</f>
        <v>12836.3</v>
      </c>
      <c r="AH82" s="125">
        <f t="shared" si="15"/>
        <v>342983.26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-37728.158600000002</v>
      </c>
      <c r="AO82" s="125">
        <f>AH82*-Valores!$C$72</f>
        <v>0</v>
      </c>
      <c r="AP82" s="125">
        <f>AH82*Valores!$C$73</f>
        <v>-15434.2467</v>
      </c>
      <c r="AQ82" s="125">
        <f>Valores!$C$100</f>
        <v>-554.86</v>
      </c>
      <c r="AR82" s="125">
        <f>IF($F$5=0,Valores!$C$101,(Valores!$C$101+$F$5*(Valores!$C$101)))</f>
        <v>-852</v>
      </c>
      <c r="AS82" s="125">
        <f t="shared" si="16"/>
        <v>288413.99470000004</v>
      </c>
      <c r="AT82" s="125">
        <f t="shared" si="10"/>
        <v>-37728.158600000002</v>
      </c>
      <c r="AU82" s="125">
        <f>AH82*Valores!$C$74</f>
        <v>-9260.5480200000002</v>
      </c>
      <c r="AV82" s="125">
        <f>AH82*Valores!$C$75</f>
        <v>-1028.9497800000001</v>
      </c>
      <c r="AW82" s="125">
        <f t="shared" si="14"/>
        <v>294965.60360000003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4027.5</v>
      </c>
      <c r="G83" s="192">
        <v>1873</v>
      </c>
      <c r="H83" s="125">
        <f>ROUND(G83*Valores!$C$2,2)</f>
        <v>100580.1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0</v>
      </c>
      <c r="N83" s="125">
        <f t="shared" si="11"/>
        <v>31186</v>
      </c>
      <c r="O83" s="125">
        <f>Valores!$C$9</f>
        <v>67480.59</v>
      </c>
      <c r="P83" s="125">
        <f>Valores!$D$5</f>
        <v>27451.439999999999</v>
      </c>
      <c r="Q83" s="125">
        <f>Valores!$C$22</f>
        <v>24491.06</v>
      </c>
      <c r="R83" s="125">
        <f>IF($F$4="NO",Valores!$C$45,Valores!$C$45/2)</f>
        <v>20136.400000000001</v>
      </c>
      <c r="S83" s="125">
        <f>Valores!$C$19</f>
        <v>25544</v>
      </c>
      <c r="T83" s="125">
        <f t="shared" si="17"/>
        <v>31930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45109.37</v>
      </c>
      <c r="AA83" s="125">
        <f>Valores!$C$25</f>
        <v>1122.78</v>
      </c>
      <c r="AB83" s="214">
        <v>0</v>
      </c>
      <c r="AC83" s="125">
        <f t="shared" si="12"/>
        <v>0</v>
      </c>
      <c r="AD83" s="125">
        <f>Valores!$C$26</f>
        <v>1122.78</v>
      </c>
      <c r="AE83" s="192">
        <v>0</v>
      </c>
      <c r="AF83" s="125">
        <f>ROUND(AE83*Valores!$C$2,2)</f>
        <v>0</v>
      </c>
      <c r="AG83" s="125">
        <f>ROUND(IF($F$4="NO",Valores!$C$63,Valores!$C$63/2),2)</f>
        <v>12836.3</v>
      </c>
      <c r="AH83" s="125">
        <f t="shared" si="15"/>
        <v>367474.32000000007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-40422.175200000005</v>
      </c>
      <c r="AO83" s="125">
        <f>AH83*-Valores!$C$72</f>
        <v>0</v>
      </c>
      <c r="AP83" s="125">
        <f>AH83*Valores!$C$73</f>
        <v>-16536.344400000002</v>
      </c>
      <c r="AQ83" s="125">
        <f>Valores!$C$100</f>
        <v>-554.86</v>
      </c>
      <c r="AR83" s="125">
        <f>IF($F$5=0,Valores!$C$101,(Valores!$C$101+$F$5*(Valores!$C$101)))</f>
        <v>-852</v>
      </c>
      <c r="AS83" s="125">
        <f t="shared" si="16"/>
        <v>309108.94040000008</v>
      </c>
      <c r="AT83" s="125">
        <f t="shared" si="10"/>
        <v>-40422.175200000005</v>
      </c>
      <c r="AU83" s="125">
        <f>AH83*Valores!$C$74</f>
        <v>-9921.8066400000025</v>
      </c>
      <c r="AV83" s="125">
        <f>AH83*Valores!$C$75</f>
        <v>-1102.4229600000003</v>
      </c>
      <c r="AW83" s="125">
        <f t="shared" si="14"/>
        <v>316027.91520000005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4081.2</v>
      </c>
      <c r="G84" s="192">
        <v>1752</v>
      </c>
      <c r="H84" s="125">
        <f>ROUND(G84*Valores!$C$2,2)</f>
        <v>94082.4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0</v>
      </c>
      <c r="N84" s="125">
        <f t="shared" si="11"/>
        <v>29308.46</v>
      </c>
      <c r="O84" s="125">
        <f>Valores!$C$8</f>
        <v>67306.67</v>
      </c>
      <c r="P84" s="125">
        <f>Valores!$D$5</f>
        <v>27451.439999999999</v>
      </c>
      <c r="Q84" s="125">
        <f>Valores!$C$22</f>
        <v>24491.06</v>
      </c>
      <c r="R84" s="125">
        <f>IF($F$4="NO",Valores!$C$44,Valores!$C$44/2)</f>
        <v>19070.25</v>
      </c>
      <c r="S84" s="125">
        <f>Valores!$C$19</f>
        <v>25544</v>
      </c>
      <c r="T84" s="125">
        <f t="shared" si="17"/>
        <v>31930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37591.14</v>
      </c>
      <c r="AA84" s="125">
        <f>Valores!$C$25</f>
        <v>1122.78</v>
      </c>
      <c r="AB84" s="214">
        <v>0</v>
      </c>
      <c r="AC84" s="125">
        <f t="shared" si="12"/>
        <v>0</v>
      </c>
      <c r="AD84" s="125">
        <f>Valores!$C$26</f>
        <v>1122.78</v>
      </c>
      <c r="AE84" s="192">
        <v>0</v>
      </c>
      <c r="AF84" s="125">
        <f>ROUND(AE84*Valores!$C$2,2)</f>
        <v>0</v>
      </c>
      <c r="AG84" s="125">
        <f>ROUND(IF($F$4="NO",Valores!$C$63,Valores!$C$63/2),2)</f>
        <v>12836.3</v>
      </c>
      <c r="AH84" s="125">
        <f t="shared" si="15"/>
        <v>350394.48000000004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-38543.392800000001</v>
      </c>
      <c r="AO84" s="125">
        <f>AH84*-Valores!$C$72</f>
        <v>0</v>
      </c>
      <c r="AP84" s="125">
        <f>AH84*Valores!$C$73</f>
        <v>-15767.751600000001</v>
      </c>
      <c r="AQ84" s="125">
        <f>Valores!$C$100</f>
        <v>-554.86</v>
      </c>
      <c r="AR84" s="125">
        <f>IF($F$5=0,Valores!$C$101,(Valores!$C$101+$F$5*(Valores!$C$101)))</f>
        <v>-852</v>
      </c>
      <c r="AS84" s="125">
        <f t="shared" si="16"/>
        <v>294676.47560000001</v>
      </c>
      <c r="AT84" s="125">
        <f t="shared" si="10"/>
        <v>-38543.392800000001</v>
      </c>
      <c r="AU84" s="125">
        <f>AH84*Valores!$C$74</f>
        <v>-9460.6509600000009</v>
      </c>
      <c r="AV84" s="125">
        <f>AH84*Valores!$C$75</f>
        <v>-1051.1834400000002</v>
      </c>
      <c r="AW84" s="125">
        <f t="shared" si="14"/>
        <v>301339.25280000002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4188.6000000000004</v>
      </c>
      <c r="G85" s="192">
        <v>1770</v>
      </c>
      <c r="H85" s="125">
        <f>ROUND(G85*Valores!$C$2,2)</f>
        <v>95049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0</v>
      </c>
      <c r="N85" s="125">
        <f t="shared" si="11"/>
        <v>29308.34</v>
      </c>
      <c r="O85" s="125">
        <f>Valores!$C$10</f>
        <v>54953.37</v>
      </c>
      <c r="P85" s="125">
        <f>Valores!$D$5</f>
        <v>27451.439999999999</v>
      </c>
      <c r="Q85" s="125">
        <f>Valores!$C$22</f>
        <v>24491.06</v>
      </c>
      <c r="R85" s="125">
        <f>IF($F$4="NO",Valores!$C$43,Valores!$C$43/2)</f>
        <v>17995.759999999998</v>
      </c>
      <c r="S85" s="125">
        <f>Valores!$C$19</f>
        <v>25544</v>
      </c>
      <c r="T85" s="125">
        <f t="shared" si="17"/>
        <v>31930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37591.14</v>
      </c>
      <c r="AA85" s="125">
        <f>Valores!$C$25</f>
        <v>1122.78</v>
      </c>
      <c r="AB85" s="214">
        <v>0</v>
      </c>
      <c r="AC85" s="125">
        <f t="shared" si="12"/>
        <v>0</v>
      </c>
      <c r="AD85" s="125">
        <f>Valores!$C$26</f>
        <v>1122.78</v>
      </c>
      <c r="AE85" s="192">
        <v>0</v>
      </c>
      <c r="AF85" s="125">
        <f>ROUND(AE85*Valores!$C$2,2)</f>
        <v>0</v>
      </c>
      <c r="AG85" s="125">
        <f>ROUND(IF($F$4="NO",Valores!$C$63,Valores!$C$63/2),2)</f>
        <v>12836.3</v>
      </c>
      <c r="AH85" s="125">
        <f t="shared" si="15"/>
        <v>338040.57000000007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-37184.462700000011</v>
      </c>
      <c r="AO85" s="125">
        <f>AH85*-Valores!$C$72</f>
        <v>0</v>
      </c>
      <c r="AP85" s="125">
        <f>AH85*Valores!$C$73</f>
        <v>-15211.825650000002</v>
      </c>
      <c r="AQ85" s="125">
        <f>Valores!$C$100</f>
        <v>-554.86</v>
      </c>
      <c r="AR85" s="125">
        <f>IF($F$5=0,Valores!$C$101,(Valores!$C$101+$F$5*(Valores!$C$101)))</f>
        <v>-852</v>
      </c>
      <c r="AS85" s="125">
        <f t="shared" si="16"/>
        <v>284237.42165000003</v>
      </c>
      <c r="AT85" s="125">
        <f t="shared" si="10"/>
        <v>-37184.462700000011</v>
      </c>
      <c r="AU85" s="125">
        <f>AH85*Valores!$C$74</f>
        <v>-9127.0953900000022</v>
      </c>
      <c r="AV85" s="125">
        <f>AH85*Valores!$C$75</f>
        <v>-1014.1217100000002</v>
      </c>
      <c r="AW85" s="125">
        <f t="shared" si="14"/>
        <v>290714.89020000002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4081.2</v>
      </c>
      <c r="G86" s="192">
        <v>1872</v>
      </c>
      <c r="H86" s="125">
        <f>ROUND(G86*Valores!$C$2,2)</f>
        <v>100526.39999999999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0</v>
      </c>
      <c r="N86" s="125">
        <f t="shared" si="11"/>
        <v>30650.84</v>
      </c>
      <c r="O86" s="125">
        <f>Valores!$C$10</f>
        <v>54953.37</v>
      </c>
      <c r="P86" s="125">
        <f>Valores!$D$5</f>
        <v>27451.439999999999</v>
      </c>
      <c r="Q86" s="125">
        <v>0</v>
      </c>
      <c r="R86" s="125">
        <f>IF($F$4="NO",Valores!$C$43,Valores!$C$43/2)</f>
        <v>17995.759999999998</v>
      </c>
      <c r="S86" s="125">
        <f>Valores!$C$19</f>
        <v>25544</v>
      </c>
      <c r="T86" s="125">
        <f t="shared" si="17"/>
        <v>31930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37591.14</v>
      </c>
      <c r="AA86" s="125">
        <f>Valores!$C$25</f>
        <v>1122.78</v>
      </c>
      <c r="AB86" s="214">
        <v>0</v>
      </c>
      <c r="AC86" s="125">
        <f t="shared" si="12"/>
        <v>0</v>
      </c>
      <c r="AD86" s="125">
        <f>Valores!$C$26</f>
        <v>1122.78</v>
      </c>
      <c r="AE86" s="192">
        <v>0</v>
      </c>
      <c r="AF86" s="125">
        <f>ROUND(AE86*Valores!$C$2,2)</f>
        <v>0</v>
      </c>
      <c r="AG86" s="125">
        <f>ROUND(IF($F$4="NO",Valores!$C$63,Valores!$C$63/2),2)</f>
        <v>12836.3</v>
      </c>
      <c r="AH86" s="125">
        <f t="shared" si="15"/>
        <v>320262.01000000007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-35228.821100000008</v>
      </c>
      <c r="AO86" s="125">
        <f>AH86*-Valores!$C$72</f>
        <v>0</v>
      </c>
      <c r="AP86" s="125">
        <f>AH86*Valores!$C$73</f>
        <v>-14411.790450000002</v>
      </c>
      <c r="AQ86" s="125">
        <f>Valores!$C$100</f>
        <v>-554.86</v>
      </c>
      <c r="AR86" s="125">
        <f>IF($F$5=0,Valores!$C$101,(Valores!$C$101+$F$5*(Valores!$C$101)))</f>
        <v>-852</v>
      </c>
      <c r="AS86" s="125">
        <f t="shared" si="16"/>
        <v>269214.53845000005</v>
      </c>
      <c r="AT86" s="125">
        <f t="shared" si="10"/>
        <v>-35228.821100000008</v>
      </c>
      <c r="AU86" s="125">
        <f>AH86*Valores!$C$74</f>
        <v>-8647.074270000001</v>
      </c>
      <c r="AV86" s="125">
        <f>AH86*Valores!$C$75</f>
        <v>-960.78603000000021</v>
      </c>
      <c r="AW86" s="125">
        <f t="shared" si="14"/>
        <v>275425.32860000007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9075.2999999999993</v>
      </c>
      <c r="G87" s="192">
        <f>1997</f>
        <v>1997</v>
      </c>
      <c r="H87" s="125">
        <f>ROUND(G87*Valores!$C$2,2)</f>
        <v>107238.9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0</v>
      </c>
      <c r="N87" s="125">
        <f t="shared" si="11"/>
        <v>33846.11</v>
      </c>
      <c r="O87" s="125">
        <f>Valores!$C$9</f>
        <v>67480.59</v>
      </c>
      <c r="P87" s="125">
        <f>Valores!$D$5</f>
        <v>27451.439999999999</v>
      </c>
      <c r="Q87" s="125">
        <f>Valores!$C$22</f>
        <v>24491.06</v>
      </c>
      <c r="R87" s="125">
        <f>IF($F$4="NO",Valores!$C$44,Valores!$C$44/2)</f>
        <v>19070.25</v>
      </c>
      <c r="S87" s="125">
        <f>Valores!$C$19</f>
        <v>25544</v>
      </c>
      <c r="T87" s="125">
        <f t="shared" si="17"/>
        <v>31930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37591.14</v>
      </c>
      <c r="AA87" s="125">
        <f>Valores!$C$25</f>
        <v>1122.78</v>
      </c>
      <c r="AB87" s="214">
        <v>0</v>
      </c>
      <c r="AC87" s="125">
        <f t="shared" si="12"/>
        <v>0</v>
      </c>
      <c r="AD87" s="125">
        <f>Valores!$C$26</f>
        <v>1122.78</v>
      </c>
      <c r="AE87" s="192">
        <v>0</v>
      </c>
      <c r="AF87" s="125">
        <f>ROUND(AE87*Valores!$C$2,2)</f>
        <v>0</v>
      </c>
      <c r="AG87" s="125">
        <f>ROUND(IF($F$4="NO",Valores!$C$63,Valores!$C$63/2),2)</f>
        <v>12836.3</v>
      </c>
      <c r="AH87" s="125">
        <f t="shared" si="15"/>
        <v>373256.65000000008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-41058.231500000009</v>
      </c>
      <c r="AO87" s="125">
        <f>AH87*-Valores!$C$72</f>
        <v>0</v>
      </c>
      <c r="AP87" s="125">
        <f>AH87*Valores!$C$73</f>
        <v>-16796.549250000004</v>
      </c>
      <c r="AQ87" s="125">
        <f>Valores!$C$100</f>
        <v>-554.86</v>
      </c>
      <c r="AR87" s="125">
        <f>IF($F$5=0,Valores!$C$101,(Valores!$C$101+$F$5*(Valores!$C$101)))</f>
        <v>-852</v>
      </c>
      <c r="AS87" s="125">
        <f t="shared" si="16"/>
        <v>313995.00925000006</v>
      </c>
      <c r="AT87" s="125">
        <f t="shared" si="10"/>
        <v>-41058.231500000009</v>
      </c>
      <c r="AU87" s="125">
        <f>AH87*Valores!$C$74</f>
        <v>-10077.929550000003</v>
      </c>
      <c r="AV87" s="125">
        <f>AH87*Valores!$C$75</f>
        <v>-1119.7699500000003</v>
      </c>
      <c r="AW87" s="125">
        <f t="shared" si="14"/>
        <v>321000.71900000004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11706.6</v>
      </c>
      <c r="G88" s="192">
        <f>1997</f>
        <v>1997</v>
      </c>
      <c r="H88" s="125">
        <f>ROUND(G88*Valores!$C$2,2)</f>
        <v>107238.9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0</v>
      </c>
      <c r="N88" s="125">
        <f t="shared" si="11"/>
        <v>34503.94</v>
      </c>
      <c r="O88" s="125">
        <f>Valores!$C$15</f>
        <v>77592.539999999994</v>
      </c>
      <c r="P88" s="125">
        <f>Valores!$D$5</f>
        <v>27451.439999999999</v>
      </c>
      <c r="Q88" s="125">
        <f>Valores!$C$22</f>
        <v>24491.06</v>
      </c>
      <c r="R88" s="125">
        <f>IF($F$4="NO",Valores!$C$44,Valores!$C$44/2)</f>
        <v>19070.25</v>
      </c>
      <c r="S88" s="125">
        <f>Valores!$C$19</f>
        <v>25544</v>
      </c>
      <c r="T88" s="125">
        <f t="shared" si="17"/>
        <v>31930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37591.14</v>
      </c>
      <c r="AA88" s="125">
        <f>Valores!$C$25</f>
        <v>1122.78</v>
      </c>
      <c r="AB88" s="214">
        <v>0</v>
      </c>
      <c r="AC88" s="125">
        <f t="shared" si="12"/>
        <v>0</v>
      </c>
      <c r="AD88" s="125">
        <f>Valores!$C$26</f>
        <v>1122.78</v>
      </c>
      <c r="AE88" s="192">
        <v>0</v>
      </c>
      <c r="AF88" s="125">
        <f>ROUND(AE88*Valores!$C$2,2)</f>
        <v>0</v>
      </c>
      <c r="AG88" s="125">
        <f>ROUND(IF($F$4="NO",Valores!$C$63,Valores!$C$63/2),2)</f>
        <v>12836.3</v>
      </c>
      <c r="AH88" s="125">
        <f t="shared" si="15"/>
        <v>386657.73000000004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-42532.350300000006</v>
      </c>
      <c r="AO88" s="125">
        <f>AH88*-Valores!$C$72</f>
        <v>0</v>
      </c>
      <c r="AP88" s="125">
        <f>AH88*Valores!$C$73</f>
        <v>-17399.597850000002</v>
      </c>
      <c r="AQ88" s="125">
        <f>Valores!$C$100</f>
        <v>-554.86</v>
      </c>
      <c r="AR88" s="125">
        <f>IF($F$5=0,Valores!$C$101,(Valores!$C$101+$F$5*(Valores!$C$101)))</f>
        <v>-852</v>
      </c>
      <c r="AS88" s="125">
        <f t="shared" si="16"/>
        <v>325318.92185000004</v>
      </c>
      <c r="AT88" s="125">
        <f t="shared" si="10"/>
        <v>-42532.350300000006</v>
      </c>
      <c r="AU88" s="125">
        <f>AH88*Valores!$C$74</f>
        <v>-10439.75871</v>
      </c>
      <c r="AV88" s="125">
        <f>AH88*Valores!$C$75</f>
        <v>-1159.9731900000002</v>
      </c>
      <c r="AW88" s="125">
        <f t="shared" si="14"/>
        <v>332525.64780000004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11706.6</v>
      </c>
      <c r="G89" s="192">
        <f>1997</f>
        <v>1997</v>
      </c>
      <c r="H89" s="125">
        <f>ROUND(G89*Valores!$C$2,2)</f>
        <v>107238.9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0</v>
      </c>
      <c r="N89" s="125">
        <f t="shared" si="11"/>
        <v>34503.94</v>
      </c>
      <c r="O89" s="125">
        <f>Valores!$C$15</f>
        <v>77592.539999999994</v>
      </c>
      <c r="P89" s="125">
        <f>Valores!$D$5</f>
        <v>27451.439999999999</v>
      </c>
      <c r="Q89" s="125">
        <f>Valores!$C$22</f>
        <v>24491.06</v>
      </c>
      <c r="R89" s="125">
        <f>IF($F$4="NO",Valores!$C$44,Valores!$C$44/2)</f>
        <v>19070.25</v>
      </c>
      <c r="S89" s="125">
        <f>Valores!$C$19</f>
        <v>25544</v>
      </c>
      <c r="T89" s="125">
        <f t="shared" si="17"/>
        <v>31930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37591.14</v>
      </c>
      <c r="AA89" s="125">
        <f>Valores!$C$25</f>
        <v>1122.78</v>
      </c>
      <c r="AB89" s="214">
        <v>0</v>
      </c>
      <c r="AC89" s="125">
        <f t="shared" si="12"/>
        <v>0</v>
      </c>
      <c r="AD89" s="125">
        <f>Valores!$C$26</f>
        <v>1122.78</v>
      </c>
      <c r="AE89" s="192">
        <v>19</v>
      </c>
      <c r="AF89" s="125">
        <f>ROUND(AE89*Valores!$C$2,2)</f>
        <v>1020.3</v>
      </c>
      <c r="AG89" s="125">
        <f>ROUND(IF($F$4="NO",Valores!$C$63,Valores!$C$63/2),2)</f>
        <v>12836.3</v>
      </c>
      <c r="AH89" s="125">
        <f t="shared" si="15"/>
        <v>387678.03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-42644.583300000006</v>
      </c>
      <c r="AO89" s="125">
        <f>AH89*-Valores!$C$72</f>
        <v>0</v>
      </c>
      <c r="AP89" s="125">
        <f>AH89*Valores!$C$73</f>
        <v>-17445.511350000001</v>
      </c>
      <c r="AQ89" s="125">
        <f>Valores!$C$100</f>
        <v>-554.86</v>
      </c>
      <c r="AR89" s="125">
        <f>IF($F$5=0,Valores!$C$101,(Valores!$C$101+$F$5*(Valores!$C$101)))</f>
        <v>-852</v>
      </c>
      <c r="AS89" s="125">
        <f t="shared" si="16"/>
        <v>326181.07535</v>
      </c>
      <c r="AT89" s="125">
        <f t="shared" si="10"/>
        <v>-42644.583300000006</v>
      </c>
      <c r="AU89" s="125">
        <f>AH89*Valores!$C$74</f>
        <v>-10467.30681</v>
      </c>
      <c r="AV89" s="125">
        <f>AH89*Valores!$C$75</f>
        <v>-1163.0340900000001</v>
      </c>
      <c r="AW89" s="125">
        <f t="shared" si="14"/>
        <v>333403.10580000002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10041.9</v>
      </c>
      <c r="G90" s="192">
        <v>1704</v>
      </c>
      <c r="H90" s="125">
        <f>ROUND(G90*Valores!$C$2,2)</f>
        <v>91504.8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0</v>
      </c>
      <c r="N90" s="125">
        <f t="shared" si="11"/>
        <v>30154.240000000002</v>
      </c>
      <c r="O90" s="125">
        <f>Valores!$C$9</f>
        <v>67480.59</v>
      </c>
      <c r="P90" s="125">
        <f>Valores!$D$5</f>
        <v>27451.439999999999</v>
      </c>
      <c r="Q90" s="125">
        <f>Valores!$C$22</f>
        <v>24491.06</v>
      </c>
      <c r="R90" s="125">
        <f>IF($F$4="NO",Valores!$C$44,Valores!$C$44/2)</f>
        <v>19070.25</v>
      </c>
      <c r="S90" s="125">
        <f>Valores!$C$19</f>
        <v>25544</v>
      </c>
      <c r="T90" s="125">
        <f t="shared" si="17"/>
        <v>31930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37591.14</v>
      </c>
      <c r="AA90" s="125">
        <f>Valores!$C$25</f>
        <v>1122.78</v>
      </c>
      <c r="AB90" s="214">
        <v>0</v>
      </c>
      <c r="AC90" s="125">
        <f t="shared" si="12"/>
        <v>0</v>
      </c>
      <c r="AD90" s="125">
        <f>Valores!$C$26</f>
        <v>1122.78</v>
      </c>
      <c r="AE90" s="192">
        <v>0</v>
      </c>
      <c r="AF90" s="125">
        <f>ROUND(AE90*Valores!$C$2,2)</f>
        <v>0</v>
      </c>
      <c r="AG90" s="125">
        <f>ROUND(IF($F$4="NO",Valores!$C$63,Valores!$C$63/2),2)</f>
        <v>12836.3</v>
      </c>
      <c r="AH90" s="125">
        <f t="shared" si="15"/>
        <v>354797.28000000009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-39027.700800000013</v>
      </c>
      <c r="AO90" s="125">
        <f>AH90*-Valores!$C$72</f>
        <v>0</v>
      </c>
      <c r="AP90" s="125">
        <f>AH90*Valores!$C$73</f>
        <v>-15965.877600000003</v>
      </c>
      <c r="AQ90" s="125">
        <f>Valores!$C$100</f>
        <v>-554.86</v>
      </c>
      <c r="AR90" s="125">
        <f>IF($F$5=0,Valores!$C$101,(Valores!$C$101+$F$5*(Valores!$C$101)))</f>
        <v>-852</v>
      </c>
      <c r="AS90" s="125">
        <f t="shared" si="16"/>
        <v>298396.84160000004</v>
      </c>
      <c r="AT90" s="125">
        <f t="shared" si="10"/>
        <v>-39027.700800000013</v>
      </c>
      <c r="AU90" s="125">
        <f>AH90*Valores!$C$74</f>
        <v>-9579.5265600000021</v>
      </c>
      <c r="AV90" s="125">
        <f>AH90*Valores!$C$75</f>
        <v>-1064.3918400000002</v>
      </c>
      <c r="AW90" s="125">
        <f t="shared" si="14"/>
        <v>305125.66080000007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10041.9</v>
      </c>
      <c r="G91" s="192">
        <v>1704</v>
      </c>
      <c r="H91" s="125">
        <f>ROUND(G91*Valores!$C$2,2)</f>
        <v>91504.8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0</v>
      </c>
      <c r="N91" s="125">
        <f t="shared" si="11"/>
        <v>30154.240000000002</v>
      </c>
      <c r="O91" s="125">
        <f>Valores!$C$9</f>
        <v>67480.59</v>
      </c>
      <c r="P91" s="125">
        <f>Valores!$D$5</f>
        <v>27451.439999999999</v>
      </c>
      <c r="Q91" s="125">
        <f>Valores!$C$22</f>
        <v>24491.06</v>
      </c>
      <c r="R91" s="125">
        <f>IF($F$4="NO",Valores!$C$44,Valores!$C$44/2)</f>
        <v>19070.25</v>
      </c>
      <c r="S91" s="125">
        <f>Valores!$C$19</f>
        <v>25544</v>
      </c>
      <c r="T91" s="125">
        <f t="shared" si="17"/>
        <v>31930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37591.14</v>
      </c>
      <c r="AA91" s="125">
        <f>Valores!$C$25</f>
        <v>1122.78</v>
      </c>
      <c r="AB91" s="214">
        <v>0</v>
      </c>
      <c r="AC91" s="125">
        <f t="shared" si="12"/>
        <v>0</v>
      </c>
      <c r="AD91" s="125">
        <f>Valores!$C$26</f>
        <v>1122.78</v>
      </c>
      <c r="AE91" s="192">
        <v>19</v>
      </c>
      <c r="AF91" s="125">
        <f>ROUND(AE91*Valores!$C$2,2)</f>
        <v>1020.3</v>
      </c>
      <c r="AG91" s="125">
        <f>ROUND(IF($F$4="NO",Valores!$C$63,Valores!$C$63/2),2)</f>
        <v>12836.3</v>
      </c>
      <c r="AH91" s="125">
        <f t="shared" si="15"/>
        <v>355817.58000000007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-39139.933800000006</v>
      </c>
      <c r="AO91" s="125">
        <f>AH91*-Valores!$C$72</f>
        <v>0</v>
      </c>
      <c r="AP91" s="125">
        <f>AH91*Valores!$C$73</f>
        <v>-16011.791100000002</v>
      </c>
      <c r="AQ91" s="125">
        <f>Valores!$C$100</f>
        <v>-554.86</v>
      </c>
      <c r="AR91" s="125">
        <f>IF($F$5=0,Valores!$C$101,(Valores!$C$101+$F$5*(Valores!$C$101)))</f>
        <v>-852</v>
      </c>
      <c r="AS91" s="125">
        <f t="shared" si="16"/>
        <v>299258.99510000006</v>
      </c>
      <c r="AT91" s="125">
        <f t="shared" si="10"/>
        <v>-39139.933800000006</v>
      </c>
      <c r="AU91" s="125">
        <f>AH91*Valores!$C$74</f>
        <v>-9607.074660000002</v>
      </c>
      <c r="AV91" s="125">
        <f>AH91*Valores!$C$75</f>
        <v>-1067.4527400000002</v>
      </c>
      <c r="AW91" s="125">
        <f t="shared" si="14"/>
        <v>306003.11880000005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8645.7000000000007</v>
      </c>
      <c r="G92" s="192">
        <f>1480</f>
        <v>1480</v>
      </c>
      <c r="H92" s="125">
        <f>ROUND(G92*Valores!$C$2,2)</f>
        <v>79476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0</v>
      </c>
      <c r="N92" s="125">
        <f t="shared" si="11"/>
        <v>26797.99</v>
      </c>
      <c r="O92" s="125">
        <f>Valores!$C$9</f>
        <v>67480.59</v>
      </c>
      <c r="P92" s="125">
        <f>Valores!$D$5</f>
        <v>27451.439999999999</v>
      </c>
      <c r="Q92" s="125">
        <f>Valores!$C$22</f>
        <v>24491.06</v>
      </c>
      <c r="R92" s="125">
        <f>IF($F$4="NO",Valores!$C$44,Valores!$C$44/2)</f>
        <v>19070.25</v>
      </c>
      <c r="S92" s="125">
        <f>Valores!$C$19</f>
        <v>25544</v>
      </c>
      <c r="T92" s="125">
        <f t="shared" si="17"/>
        <v>31930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37591.14</v>
      </c>
      <c r="AA92" s="125">
        <f>Valores!$C$25</f>
        <v>1122.78</v>
      </c>
      <c r="AB92" s="214">
        <v>0</v>
      </c>
      <c r="AC92" s="125">
        <f t="shared" si="12"/>
        <v>0</v>
      </c>
      <c r="AD92" s="125">
        <f>Valores!$C$26</f>
        <v>1122.78</v>
      </c>
      <c r="AE92" s="192">
        <v>0</v>
      </c>
      <c r="AF92" s="125">
        <f>ROUND(AE92*Valores!$C$2,2)</f>
        <v>0</v>
      </c>
      <c r="AG92" s="125">
        <f>ROUND(IF($F$4="NO",Valores!$C$63,Valores!$C$63/2),2)</f>
        <v>12836.3</v>
      </c>
      <c r="AH92" s="125">
        <f t="shared" si="15"/>
        <v>338016.03000000009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-37181.763300000013</v>
      </c>
      <c r="AO92" s="125">
        <f>AH92*-Valores!$C$72</f>
        <v>0</v>
      </c>
      <c r="AP92" s="125">
        <f>AH92*Valores!$C$73</f>
        <v>-15210.721350000003</v>
      </c>
      <c r="AQ92" s="125">
        <f>Valores!$C$100</f>
        <v>-554.86</v>
      </c>
      <c r="AR92" s="125">
        <f>IF($F$5=0,Valores!$C$101,(Valores!$C$101+$F$5*(Valores!$C$101)))</f>
        <v>-852</v>
      </c>
      <c r="AS92" s="125">
        <f t="shared" si="16"/>
        <v>284216.68535000004</v>
      </c>
      <c r="AT92" s="125">
        <f t="shared" si="10"/>
        <v>-37181.763300000013</v>
      </c>
      <c r="AU92" s="125">
        <f>AH92*Valores!$C$74</f>
        <v>-9126.4328100000021</v>
      </c>
      <c r="AV92" s="125">
        <f>AH92*Valores!$C$75</f>
        <v>-1014.0480900000002</v>
      </c>
      <c r="AW92" s="125">
        <f t="shared" si="14"/>
        <v>290693.78580000007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8645.7000000000007</v>
      </c>
      <c r="G93" s="192">
        <f>1480</f>
        <v>1480</v>
      </c>
      <c r="H93" s="125">
        <f>ROUND(G93*Valores!$C$2,2)</f>
        <v>79476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0</v>
      </c>
      <c r="N93" s="125">
        <f t="shared" si="11"/>
        <v>26797.99</v>
      </c>
      <c r="O93" s="125">
        <f>Valores!$C$9</f>
        <v>67480.59</v>
      </c>
      <c r="P93" s="125">
        <f>Valores!$D$5</f>
        <v>27451.439999999999</v>
      </c>
      <c r="Q93" s="125">
        <f>Valores!$C$22</f>
        <v>24491.06</v>
      </c>
      <c r="R93" s="125">
        <f>IF($F$4="NO",Valores!$C$44,Valores!$C$44/2)</f>
        <v>19070.25</v>
      </c>
      <c r="S93" s="125">
        <f>Valores!$C$19</f>
        <v>25544</v>
      </c>
      <c r="T93" s="125">
        <f t="shared" si="17"/>
        <v>31930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37591.14</v>
      </c>
      <c r="AA93" s="125">
        <f>Valores!$C$25</f>
        <v>1122.78</v>
      </c>
      <c r="AB93" s="214">
        <v>0</v>
      </c>
      <c r="AC93" s="125">
        <f t="shared" si="12"/>
        <v>0</v>
      </c>
      <c r="AD93" s="125">
        <f>Valores!$C$26</f>
        <v>1122.78</v>
      </c>
      <c r="AE93" s="192">
        <v>19</v>
      </c>
      <c r="AF93" s="125">
        <f>ROUND(AE93*Valores!$C$2,2)</f>
        <v>1020.3</v>
      </c>
      <c r="AG93" s="125">
        <f>ROUND(IF($F$4="NO",Valores!$C$63,Valores!$C$63/2),2)</f>
        <v>12836.3</v>
      </c>
      <c r="AH93" s="125">
        <f t="shared" si="15"/>
        <v>339036.33000000007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-37293.996300000006</v>
      </c>
      <c r="AO93" s="125">
        <f>AH93*-Valores!$C$72</f>
        <v>0</v>
      </c>
      <c r="AP93" s="125">
        <f>AH93*Valores!$C$73</f>
        <v>-15256.634850000002</v>
      </c>
      <c r="AQ93" s="125">
        <f>Valores!$C$100</f>
        <v>-554.86</v>
      </c>
      <c r="AR93" s="125">
        <f>IF($F$5=0,Valores!$C$101,(Valores!$C$101+$F$5*(Valores!$C$101)))</f>
        <v>-852</v>
      </c>
      <c r="AS93" s="125">
        <f t="shared" si="16"/>
        <v>285078.83885000006</v>
      </c>
      <c r="AT93" s="125">
        <f t="shared" si="10"/>
        <v>-37293.996300000006</v>
      </c>
      <c r="AU93" s="125">
        <f>AH93*Valores!$C$74</f>
        <v>-9153.980910000002</v>
      </c>
      <c r="AV93" s="125">
        <f>AH93*Valores!$C$75</f>
        <v>-1017.1089900000003</v>
      </c>
      <c r="AW93" s="125">
        <f t="shared" si="14"/>
        <v>291571.24380000005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9612.2999999999993</v>
      </c>
      <c r="G94" s="192">
        <v>1712</v>
      </c>
      <c r="H94" s="125">
        <f>ROUND(G94*Valores!$C$2,2)</f>
        <v>91934.399999999994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0</v>
      </c>
      <c r="N94" s="125">
        <f t="shared" si="11"/>
        <v>30154.240000000002</v>
      </c>
      <c r="O94" s="125">
        <f>Valores!$C$9</f>
        <v>67480.59</v>
      </c>
      <c r="P94" s="125">
        <f>Valores!$D$5</f>
        <v>27451.439999999999</v>
      </c>
      <c r="Q94" s="125">
        <f>Valores!$C$22</f>
        <v>24491.06</v>
      </c>
      <c r="R94" s="125">
        <f>IF($F$4="NO",Valores!$C$44,Valores!$C$44/2)</f>
        <v>19070.25</v>
      </c>
      <c r="S94" s="125">
        <f>Valores!$C$19</f>
        <v>25544</v>
      </c>
      <c r="T94" s="125">
        <f t="shared" si="17"/>
        <v>31930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37591.14</v>
      </c>
      <c r="AA94" s="125">
        <f>Valores!$C$25</f>
        <v>1122.78</v>
      </c>
      <c r="AB94" s="214">
        <v>0</v>
      </c>
      <c r="AC94" s="125">
        <f t="shared" si="12"/>
        <v>0</v>
      </c>
      <c r="AD94" s="125">
        <f>Valores!$C$26</f>
        <v>1122.78</v>
      </c>
      <c r="AE94" s="192">
        <v>0</v>
      </c>
      <c r="AF94" s="125">
        <f>ROUND(AE94*Valores!$C$2,2)</f>
        <v>0</v>
      </c>
      <c r="AG94" s="125">
        <f>ROUND(IF($F$4="NO",Valores!$C$63,Valores!$C$63/2),2)</f>
        <v>12836.3</v>
      </c>
      <c r="AH94" s="125">
        <f t="shared" si="15"/>
        <v>354797.28000000009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-39027.700800000013</v>
      </c>
      <c r="AO94" s="125">
        <f>AH94*-Valores!$C$72</f>
        <v>0</v>
      </c>
      <c r="AP94" s="125">
        <f>AH94*Valores!$C$73</f>
        <v>-15965.877600000003</v>
      </c>
      <c r="AQ94" s="125">
        <f>Valores!$C$100</f>
        <v>-554.86</v>
      </c>
      <c r="AR94" s="125">
        <f>IF($F$5=0,Valores!$C$101,(Valores!$C$101+$F$5*(Valores!$C$101)))</f>
        <v>-852</v>
      </c>
      <c r="AS94" s="125">
        <f t="shared" si="16"/>
        <v>298396.84160000004</v>
      </c>
      <c r="AT94" s="125">
        <f t="shared" si="10"/>
        <v>-39027.700800000013</v>
      </c>
      <c r="AU94" s="125">
        <f>AH94*Valores!$C$74</f>
        <v>-9579.5265600000021</v>
      </c>
      <c r="AV94" s="125">
        <f>AH94*Valores!$C$75</f>
        <v>-1064.3918400000002</v>
      </c>
      <c r="AW94" s="125">
        <f t="shared" si="14"/>
        <v>305125.66080000007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3436.8</v>
      </c>
      <c r="G95" s="192">
        <v>2086</v>
      </c>
      <c r="H95" s="125">
        <f>ROUND(G95*Valores!$C$2,2)</f>
        <v>112018.2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0</v>
      </c>
      <c r="N95" s="125">
        <f t="shared" si="11"/>
        <v>33897.85</v>
      </c>
      <c r="O95" s="125">
        <f>Valores!$C$9</f>
        <v>67480.59</v>
      </c>
      <c r="P95" s="125">
        <f>Valores!$D$5</f>
        <v>27451.439999999999</v>
      </c>
      <c r="Q95" s="125">
        <f>Valores!$C$22</f>
        <v>24491.06</v>
      </c>
      <c r="R95" s="125">
        <f>IF($F$4="NO",Valores!$C$45,Valores!$C$45/2)</f>
        <v>20136.400000000001</v>
      </c>
      <c r="S95" s="125">
        <f>Valores!$C$19</f>
        <v>25544</v>
      </c>
      <c r="T95" s="125">
        <f t="shared" si="17"/>
        <v>31930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45109.37</v>
      </c>
      <c r="AA95" s="125">
        <f>Valores!$C$25</f>
        <v>1122.78</v>
      </c>
      <c r="AB95" s="214">
        <v>0</v>
      </c>
      <c r="AC95" s="125">
        <f t="shared" si="12"/>
        <v>0</v>
      </c>
      <c r="AD95" s="125">
        <f>Valores!$C$26</f>
        <v>1122.78</v>
      </c>
      <c r="AE95" s="192">
        <v>0</v>
      </c>
      <c r="AF95" s="125">
        <f>ROUND(AE95*Valores!$C$2,2)</f>
        <v>0</v>
      </c>
      <c r="AG95" s="125">
        <f>ROUND(IF($F$4="NO",Valores!$C$63,Valores!$C$63/2),2)</f>
        <v>12836.3</v>
      </c>
      <c r="AH95" s="125">
        <f t="shared" si="15"/>
        <v>381033.57000000007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-41913.692700000007</v>
      </c>
      <c r="AO95" s="125">
        <f>AH95*-Valores!$C$72</f>
        <v>0</v>
      </c>
      <c r="AP95" s="125">
        <f>AH95*Valores!$C$73</f>
        <v>-17146.510650000004</v>
      </c>
      <c r="AQ95" s="125">
        <f>Valores!$C$100</f>
        <v>-554.86</v>
      </c>
      <c r="AR95" s="125">
        <f>IF($F$5=0,Valores!$C$101,(Valores!$C$101+$F$5*(Valores!$C$101)))</f>
        <v>-852</v>
      </c>
      <c r="AS95" s="125">
        <f t="shared" si="16"/>
        <v>320566.50665000005</v>
      </c>
      <c r="AT95" s="125">
        <f t="shared" si="10"/>
        <v>-41913.692700000007</v>
      </c>
      <c r="AU95" s="125">
        <f>AH95*Valores!$C$74</f>
        <v>-10287.906390000002</v>
      </c>
      <c r="AV95" s="125">
        <f>AH95*Valores!$C$75</f>
        <v>-1143.1007100000002</v>
      </c>
      <c r="AW95" s="125">
        <f t="shared" si="14"/>
        <v>327688.87020000006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4779.3</v>
      </c>
      <c r="G96" s="192">
        <v>2481</v>
      </c>
      <c r="H96" s="125">
        <f>ROUND(G96*Valores!$C$2,2)</f>
        <v>133229.70000000001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0</v>
      </c>
      <c r="N96" s="125">
        <f t="shared" si="11"/>
        <v>39269.81</v>
      </c>
      <c r="O96" s="125">
        <f>Valores!$C$8</f>
        <v>67306.67</v>
      </c>
      <c r="P96" s="125">
        <f>Valores!$D$5</f>
        <v>27451.439999999999</v>
      </c>
      <c r="Q96" s="125">
        <v>0</v>
      </c>
      <c r="R96" s="125">
        <f>IF($F$4="NO",Valores!$C$44,Valores!$C$44/2)</f>
        <v>19070.25</v>
      </c>
      <c r="S96" s="125">
        <f>Valores!$C$19</f>
        <v>25544</v>
      </c>
      <c r="T96" s="125">
        <f t="shared" si="17"/>
        <v>31930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37591.14</v>
      </c>
      <c r="AA96" s="125">
        <f>Valores!$C$25</f>
        <v>1122.78</v>
      </c>
      <c r="AB96" s="214">
        <v>0</v>
      </c>
      <c r="AC96" s="125">
        <f t="shared" si="12"/>
        <v>0</v>
      </c>
      <c r="AD96" s="125">
        <f>Valores!$C$26</f>
        <v>1122.78</v>
      </c>
      <c r="AE96" s="192">
        <v>0</v>
      </c>
      <c r="AF96" s="125">
        <f>ROUND(AE96*Valores!$C$2,2)</f>
        <v>0</v>
      </c>
      <c r="AG96" s="125">
        <f>ROUND(IF($F$4="NO",Valores!$C$63,Valores!$C$63/2),2)</f>
        <v>12836.3</v>
      </c>
      <c r="AH96" s="125">
        <f t="shared" si="15"/>
        <v>375710.17000000004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-41328.118700000006</v>
      </c>
      <c r="AO96" s="125">
        <f>AH96*-Valores!$C$72</f>
        <v>0</v>
      </c>
      <c r="AP96" s="125">
        <f>AH96*Valores!$C$73</f>
        <v>-16906.95765</v>
      </c>
      <c r="AQ96" s="125">
        <f>Valores!$C$100</f>
        <v>-554.86</v>
      </c>
      <c r="AR96" s="125">
        <f>IF($F$5=0,Valores!$C$101,(Valores!$C$101+$F$5*(Valores!$C$101)))</f>
        <v>-852</v>
      </c>
      <c r="AS96" s="125">
        <f t="shared" si="16"/>
        <v>316068.23365000007</v>
      </c>
      <c r="AT96" s="125">
        <f t="shared" si="10"/>
        <v>-41328.118700000006</v>
      </c>
      <c r="AU96" s="125">
        <f>AH96*Valores!$C$74</f>
        <v>-10144.174590000001</v>
      </c>
      <c r="AV96" s="125">
        <f>AH96*Valores!$C$75</f>
        <v>-1127.1305100000002</v>
      </c>
      <c r="AW96" s="125">
        <f t="shared" si="14"/>
        <v>323110.74620000005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4779.3</v>
      </c>
      <c r="G97" s="192">
        <v>2381</v>
      </c>
      <c r="H97" s="125">
        <f>ROUND(G97*Valores!$C$2,2)</f>
        <v>127859.7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0</v>
      </c>
      <c r="N97" s="125">
        <f t="shared" si="11"/>
        <v>37927.31</v>
      </c>
      <c r="O97" s="125">
        <f>Valores!$C$16</f>
        <v>46403.78</v>
      </c>
      <c r="P97" s="125">
        <f>Valores!$D$5</f>
        <v>27451.439999999999</v>
      </c>
      <c r="Q97" s="125">
        <f>Valores!$C$22</f>
        <v>24491.06</v>
      </c>
      <c r="R97" s="125">
        <f>IF($F$4="NO",Valores!$C$44,Valores!$C$44/2)</f>
        <v>19070.25</v>
      </c>
      <c r="S97" s="125">
        <f>Valores!$C$19</f>
        <v>25544</v>
      </c>
      <c r="T97" s="125">
        <f t="shared" si="17"/>
        <v>31930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37591.14</v>
      </c>
      <c r="AA97" s="125">
        <f>Valores!$C$25</f>
        <v>1122.78</v>
      </c>
      <c r="AB97" s="214">
        <v>0</v>
      </c>
      <c r="AC97" s="125">
        <f t="shared" si="12"/>
        <v>0</v>
      </c>
      <c r="AD97" s="125">
        <f>Valores!$C$26</f>
        <v>1122.78</v>
      </c>
      <c r="AE97" s="192">
        <v>0</v>
      </c>
      <c r="AF97" s="125">
        <f>ROUND(AE97*Valores!$C$2,2)</f>
        <v>0</v>
      </c>
      <c r="AG97" s="125">
        <f>ROUND(IF($F$4="NO",Valores!$C$63,Valores!$C$63/2),2)</f>
        <v>12836.3</v>
      </c>
      <c r="AH97" s="125">
        <f t="shared" si="15"/>
        <v>372585.84000000008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-40984.442400000007</v>
      </c>
      <c r="AO97" s="125">
        <f>AH97*-Valores!$C$72</f>
        <v>0</v>
      </c>
      <c r="AP97" s="125">
        <f>AH97*Valores!$C$73</f>
        <v>-16766.362800000003</v>
      </c>
      <c r="AQ97" s="125">
        <f>Valores!$C$100</f>
        <v>-554.86</v>
      </c>
      <c r="AR97" s="125">
        <f>IF($F$5=0,Valores!$C$101,(Valores!$C$101+$F$5*(Valores!$C$101)))</f>
        <v>-852</v>
      </c>
      <c r="AS97" s="125">
        <f t="shared" si="16"/>
        <v>313428.1748000001</v>
      </c>
      <c r="AT97" s="125">
        <f t="shared" si="10"/>
        <v>-40984.442400000007</v>
      </c>
      <c r="AU97" s="125">
        <f>AH97*Valores!$C$74</f>
        <v>-10059.817680000002</v>
      </c>
      <c r="AV97" s="125">
        <f>AH97*Valores!$C$75</f>
        <v>-1117.7575200000003</v>
      </c>
      <c r="AW97" s="125">
        <f t="shared" si="14"/>
        <v>320423.82240000006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4779.3</v>
      </c>
      <c r="G98" s="192">
        <v>1768</v>
      </c>
      <c r="H98" s="125">
        <f>ROUND(G98*Valores!$C$2,2)</f>
        <v>94941.6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0</v>
      </c>
      <c r="N98" s="125">
        <f t="shared" si="11"/>
        <v>29697.79</v>
      </c>
      <c r="O98" s="125">
        <f>Valores!$C$16</f>
        <v>46403.78</v>
      </c>
      <c r="P98" s="125">
        <f>Valores!$D$5</f>
        <v>27451.439999999999</v>
      </c>
      <c r="Q98" s="125">
        <f>Valores!$C$22</f>
        <v>24491.06</v>
      </c>
      <c r="R98" s="125">
        <f>IF($F$4="NO",Valores!$C$44,Valores!$C$44/2)</f>
        <v>19070.25</v>
      </c>
      <c r="S98" s="125">
        <f>Valores!$C$19</f>
        <v>25544</v>
      </c>
      <c r="T98" s="125">
        <f t="shared" si="17"/>
        <v>31930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37591.14</v>
      </c>
      <c r="AA98" s="125">
        <f>Valores!$C$25</f>
        <v>1122.78</v>
      </c>
      <c r="AB98" s="214">
        <v>0</v>
      </c>
      <c r="AC98" s="125">
        <f t="shared" si="12"/>
        <v>0</v>
      </c>
      <c r="AD98" s="125">
        <f>Valores!$C$26</f>
        <v>1122.78</v>
      </c>
      <c r="AE98" s="192">
        <v>0</v>
      </c>
      <c r="AF98" s="125">
        <f>ROUND(AE98*Valores!$C$2,2)</f>
        <v>0</v>
      </c>
      <c r="AG98" s="125">
        <f>ROUND(IF($F$4="NO",Valores!$C$63,Valores!$C$63/2),2)</f>
        <v>12836.3</v>
      </c>
      <c r="AH98" s="125">
        <f t="shared" si="15"/>
        <v>331438.22000000003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-36458.2042</v>
      </c>
      <c r="AO98" s="125">
        <f>AH98*-Valores!$C$72</f>
        <v>0</v>
      </c>
      <c r="AP98" s="125">
        <f>AH98*Valores!$C$73</f>
        <v>-14914.7199</v>
      </c>
      <c r="AQ98" s="125">
        <f>Valores!$C$100</f>
        <v>-554.86</v>
      </c>
      <c r="AR98" s="125">
        <f>IF($F$5=0,Valores!$C$101,(Valores!$C$101+$F$5*(Valores!$C$101)))</f>
        <v>-852</v>
      </c>
      <c r="AS98" s="125">
        <f t="shared" si="16"/>
        <v>278658.43590000004</v>
      </c>
      <c r="AT98" s="125">
        <f t="shared" si="10"/>
        <v>-36458.2042</v>
      </c>
      <c r="AU98" s="125">
        <f>AH98*Valores!$C$74</f>
        <v>-8948.83194</v>
      </c>
      <c r="AV98" s="125">
        <f>AH98*Valores!$C$75</f>
        <v>-994.31466000000012</v>
      </c>
      <c r="AW98" s="125">
        <f t="shared" si="14"/>
        <v>285036.86920000002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4779.3</v>
      </c>
      <c r="G99" s="192">
        <v>1768</v>
      </c>
      <c r="H99" s="125">
        <f>ROUND(G99*Valores!$C$2,2)</f>
        <v>94941.6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0</v>
      </c>
      <c r="N99" s="125">
        <f t="shared" si="11"/>
        <v>29697.79</v>
      </c>
      <c r="O99" s="125">
        <f>Valores!$C$8</f>
        <v>67306.67</v>
      </c>
      <c r="P99" s="125">
        <f>Valores!$D$5</f>
        <v>27451.439999999999</v>
      </c>
      <c r="Q99" s="125">
        <f>Valores!$C$22</f>
        <v>24491.06</v>
      </c>
      <c r="R99" s="125">
        <f>IF($F$4="NO",Valores!$C$44,Valores!$C$44/2)</f>
        <v>19070.25</v>
      </c>
      <c r="S99" s="125">
        <f>Valores!$C$19</f>
        <v>25544</v>
      </c>
      <c r="T99" s="125">
        <f t="shared" si="17"/>
        <v>31930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37591.14</v>
      </c>
      <c r="AA99" s="125">
        <f>Valores!$C$25</f>
        <v>1122.78</v>
      </c>
      <c r="AB99" s="214">
        <v>0</v>
      </c>
      <c r="AC99" s="125">
        <f t="shared" si="12"/>
        <v>0</v>
      </c>
      <c r="AD99" s="125">
        <f>Valores!$C$26</f>
        <v>1122.78</v>
      </c>
      <c r="AE99" s="192">
        <v>0</v>
      </c>
      <c r="AF99" s="125">
        <f>ROUND(AE99*Valores!$C$2,2)</f>
        <v>0</v>
      </c>
      <c r="AG99" s="125">
        <f>ROUND(IF($F$4="NO",Valores!$C$63,Valores!$C$63/2),2)</f>
        <v>12836.3</v>
      </c>
      <c r="AH99" s="125">
        <f t="shared" si="15"/>
        <v>352341.11000000004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-38757.522100000002</v>
      </c>
      <c r="AO99" s="125">
        <f>AH99*-Valores!$C$72</f>
        <v>0</v>
      </c>
      <c r="AP99" s="125">
        <f>AH99*Valores!$C$73</f>
        <v>-15855.349950000002</v>
      </c>
      <c r="AQ99" s="125">
        <f>Valores!$C$100</f>
        <v>-554.86</v>
      </c>
      <c r="AR99" s="125">
        <f>IF($F$5=0,Valores!$C$101,(Valores!$C$101+$F$5*(Valores!$C$101)))</f>
        <v>-852</v>
      </c>
      <c r="AS99" s="125">
        <f t="shared" si="16"/>
        <v>296321.37795000005</v>
      </c>
      <c r="AT99" s="125">
        <f t="shared" si="10"/>
        <v>-38757.522100000002</v>
      </c>
      <c r="AU99" s="125">
        <f>AH99*Valores!$C$74</f>
        <v>-9513.2099700000017</v>
      </c>
      <c r="AV99" s="125">
        <f>AH99*Valores!$C$75</f>
        <v>-1057.0233300000002</v>
      </c>
      <c r="AW99" s="125">
        <f t="shared" si="14"/>
        <v>303013.35460000002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4779.3</v>
      </c>
      <c r="G100" s="192">
        <v>2211</v>
      </c>
      <c r="H100" s="125">
        <f>ROUND(G100*Valores!$C$2,2)</f>
        <v>118730.7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0</v>
      </c>
      <c r="N100" s="125">
        <f t="shared" si="11"/>
        <v>35645.06</v>
      </c>
      <c r="O100" s="125">
        <f>Valores!$C$8</f>
        <v>67306.67</v>
      </c>
      <c r="P100" s="125">
        <f>Valores!$D$5</f>
        <v>27451.439999999999</v>
      </c>
      <c r="Q100" s="125">
        <f>Valores!$C$22</f>
        <v>24491.06</v>
      </c>
      <c r="R100" s="125">
        <f>IF($F$4="NO",Valores!$C$44,Valores!$C$44/2)</f>
        <v>19070.25</v>
      </c>
      <c r="S100" s="125">
        <f>Valores!$C$19</f>
        <v>25544</v>
      </c>
      <c r="T100" s="125">
        <f t="shared" si="17"/>
        <v>31930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37591.14</v>
      </c>
      <c r="AA100" s="125">
        <f>Valores!$C$25</f>
        <v>1122.78</v>
      </c>
      <c r="AB100" s="214">
        <v>0</v>
      </c>
      <c r="AC100" s="125">
        <f t="shared" si="12"/>
        <v>0</v>
      </c>
      <c r="AD100" s="125">
        <f>Valores!$C$26</f>
        <v>1122.78</v>
      </c>
      <c r="AE100" s="192">
        <v>0</v>
      </c>
      <c r="AF100" s="125">
        <f>ROUND(AE100*Valores!$C$2,2)</f>
        <v>0</v>
      </c>
      <c r="AG100" s="125">
        <f>ROUND(IF($F$4="NO",Valores!$C$63,Valores!$C$63/2),2)</f>
        <v>12836.3</v>
      </c>
      <c r="AH100" s="125">
        <f t="shared" si="15"/>
        <v>382077.48000000004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-42028.522800000006</v>
      </c>
      <c r="AO100" s="125">
        <f>AH100*-Valores!$C$72</f>
        <v>0</v>
      </c>
      <c r="AP100" s="125">
        <f>AH100*Valores!$C$73</f>
        <v>-17193.4866</v>
      </c>
      <c r="AQ100" s="125">
        <f>Valores!$C$100</f>
        <v>-554.86</v>
      </c>
      <c r="AR100" s="125">
        <f>IF($F$5=0,Valores!$C$101,(Valores!$C$101+$F$5*(Valores!$C$101)))</f>
        <v>-852</v>
      </c>
      <c r="AS100" s="125">
        <f t="shared" si="16"/>
        <v>321448.61060000001</v>
      </c>
      <c r="AT100" s="125">
        <f t="shared" si="10"/>
        <v>-42028.522800000006</v>
      </c>
      <c r="AU100" s="125">
        <f>AH100*Valores!$C$74</f>
        <v>-10316.091960000002</v>
      </c>
      <c r="AV100" s="125">
        <f>AH100*Valores!$C$75</f>
        <v>-1146.2324400000002</v>
      </c>
      <c r="AW100" s="125">
        <f t="shared" si="14"/>
        <v>328586.63280000002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4779.3</v>
      </c>
      <c r="G101" s="192">
        <v>1956</v>
      </c>
      <c r="H101" s="125">
        <f>ROUND(G101*Valores!$C$2,2)</f>
        <v>105037.2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0</v>
      </c>
      <c r="N101" s="125">
        <f t="shared" si="11"/>
        <v>32221.69</v>
      </c>
      <c r="O101" s="125">
        <f>Valores!$C$16</f>
        <v>46403.78</v>
      </c>
      <c r="P101" s="125">
        <f>Valores!$D$5</f>
        <v>27451.439999999999</v>
      </c>
      <c r="Q101" s="125">
        <v>0</v>
      </c>
      <c r="R101" s="125">
        <f>IF($F$4="NO",Valores!$C$44,Valores!$C$44/2)</f>
        <v>19070.25</v>
      </c>
      <c r="S101" s="125">
        <f>Valores!$C$19</f>
        <v>25544</v>
      </c>
      <c r="T101" s="125">
        <f t="shared" si="17"/>
        <v>31930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37591.14</v>
      </c>
      <c r="AA101" s="125">
        <f>Valores!$C$25</f>
        <v>1122.78</v>
      </c>
      <c r="AB101" s="214">
        <v>0</v>
      </c>
      <c r="AC101" s="125">
        <f t="shared" si="12"/>
        <v>0</v>
      </c>
      <c r="AD101" s="125">
        <f>Valores!$C$26</f>
        <v>1122.78</v>
      </c>
      <c r="AE101" s="192">
        <v>0</v>
      </c>
      <c r="AF101" s="125">
        <f>ROUND(AE101*Valores!$C$2,2)</f>
        <v>0</v>
      </c>
      <c r="AG101" s="125">
        <f>ROUND(IF($F$4="NO",Valores!$C$63,Valores!$C$63/2),2)</f>
        <v>12836.3</v>
      </c>
      <c r="AH101" s="125">
        <f t="shared" si="15"/>
        <v>319566.66000000009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-35152.332600000009</v>
      </c>
      <c r="AO101" s="125">
        <f>AH101*-Valores!$C$72</f>
        <v>0</v>
      </c>
      <c r="AP101" s="125">
        <f>AH101*Valores!$C$73</f>
        <v>-14380.499700000004</v>
      </c>
      <c r="AQ101" s="125">
        <f>Valores!$C$100</f>
        <v>-554.86</v>
      </c>
      <c r="AR101" s="125">
        <f>IF($F$5=0,Valores!$C$101,(Valores!$C$101+$F$5*(Valores!$C$101)))</f>
        <v>-852</v>
      </c>
      <c r="AS101" s="125">
        <f t="shared" si="16"/>
        <v>268626.9677000001</v>
      </c>
      <c r="AT101" s="125">
        <f t="shared" si="10"/>
        <v>-35152.332600000009</v>
      </c>
      <c r="AU101" s="125">
        <f>AH101*Valores!$C$74</f>
        <v>-8628.299820000002</v>
      </c>
      <c r="AV101" s="125">
        <f>AH101*Valores!$C$75</f>
        <v>-958.69998000000032</v>
      </c>
      <c r="AW101" s="125">
        <f t="shared" si="14"/>
        <v>274827.32760000008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4779.3</v>
      </c>
      <c r="G102" s="192">
        <v>1267</v>
      </c>
      <c r="H102" s="125">
        <f>ROUND(G102*Valores!$C$2,2)</f>
        <v>68037.899999999994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0</v>
      </c>
      <c r="N102" s="125">
        <f t="shared" si="11"/>
        <v>22971.86</v>
      </c>
      <c r="O102" s="125">
        <f>Valores!$C$16</f>
        <v>46403.78</v>
      </c>
      <c r="P102" s="125">
        <f>Valores!$D$5</f>
        <v>27451.439999999999</v>
      </c>
      <c r="Q102" s="125">
        <v>0</v>
      </c>
      <c r="R102" s="125">
        <f>IF($F$4="NO",Valores!$C$44,Valores!$C$44/2)</f>
        <v>19070.25</v>
      </c>
      <c r="S102" s="125">
        <f>Valores!$C$19</f>
        <v>25544</v>
      </c>
      <c r="T102" s="125">
        <f t="shared" si="17"/>
        <v>31930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37591.14</v>
      </c>
      <c r="AA102" s="125">
        <f>Valores!$C$25</f>
        <v>1122.78</v>
      </c>
      <c r="AB102" s="214">
        <v>0</v>
      </c>
      <c r="AC102" s="125">
        <f t="shared" si="12"/>
        <v>0</v>
      </c>
      <c r="AD102" s="125">
        <f>Valores!$C$26</f>
        <v>1122.78</v>
      </c>
      <c r="AE102" s="192">
        <v>0</v>
      </c>
      <c r="AF102" s="125">
        <f>ROUND(AE102*Valores!$C$2,2)</f>
        <v>0</v>
      </c>
      <c r="AG102" s="125">
        <f>ROUND(IF($F$4="NO",Valores!$C$63,Valores!$C$63/2),2)</f>
        <v>12836.3</v>
      </c>
      <c r="AH102" s="125">
        <f t="shared" si="15"/>
        <v>273317.52999999997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-30064.928299999996</v>
      </c>
      <c r="AO102" s="125">
        <f>AH102*-Valores!$C$72</f>
        <v>0</v>
      </c>
      <c r="AP102" s="125">
        <f>AH102*Valores!$C$73</f>
        <v>-12299.288849999999</v>
      </c>
      <c r="AQ102" s="125">
        <f>Valores!$C$100</f>
        <v>-554.86</v>
      </c>
      <c r="AR102" s="125">
        <f>IF($F$5=0,Valores!$C$101,(Valores!$C$101+$F$5*(Valores!$C$101)))</f>
        <v>-852</v>
      </c>
      <c r="AS102" s="125">
        <f t="shared" si="16"/>
        <v>229546.45284999997</v>
      </c>
      <c r="AT102" s="125">
        <f t="shared" si="10"/>
        <v>-30064.928299999996</v>
      </c>
      <c r="AU102" s="125">
        <f>AH102*Valores!$C$74</f>
        <v>-7379.5733099999989</v>
      </c>
      <c r="AV102" s="125">
        <f>AH102*Valores!$C$75</f>
        <v>-819.95258999999987</v>
      </c>
      <c r="AW102" s="125">
        <f t="shared" si="14"/>
        <v>235053.07579999999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3597.9</v>
      </c>
      <c r="G103" s="192">
        <v>2108</v>
      </c>
      <c r="H103" s="125">
        <f>ROUND(G103*Valores!$C$2,2)</f>
        <v>113199.6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0</v>
      </c>
      <c r="N103" s="125">
        <f t="shared" si="11"/>
        <v>33429.760000000002</v>
      </c>
      <c r="O103" s="125">
        <f>Valores!$C$14</f>
        <v>53474.37</v>
      </c>
      <c r="P103" s="125">
        <f>Valores!$D$5</f>
        <v>27451.439999999999</v>
      </c>
      <c r="Q103" s="125">
        <v>0</v>
      </c>
      <c r="R103" s="125">
        <f>IF($F$4="NO",Valores!$C$42,Valores!$C$42/2)</f>
        <v>16921.52</v>
      </c>
      <c r="S103" s="125">
        <f>Valores!$C$20</f>
        <v>25282.84</v>
      </c>
      <c r="T103" s="125">
        <f t="shared" si="17"/>
        <v>31603.55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37591.14</v>
      </c>
      <c r="AA103" s="125">
        <f>Valores!$C$25</f>
        <v>1122.78</v>
      </c>
      <c r="AB103" s="214">
        <v>0</v>
      </c>
      <c r="AC103" s="125">
        <f t="shared" si="12"/>
        <v>0</v>
      </c>
      <c r="AD103" s="125">
        <f>Valores!$C$26</f>
        <v>1122.78</v>
      </c>
      <c r="AE103" s="192">
        <v>0</v>
      </c>
      <c r="AF103" s="125">
        <f>ROUND(AE103*Valores!$C$2,2)</f>
        <v>0</v>
      </c>
      <c r="AG103" s="125">
        <f>ROUND(IF($F$4="NO",Valores!$C$63,Valores!$C$63/2),2)</f>
        <v>12836.3</v>
      </c>
      <c r="AH103" s="125">
        <f t="shared" si="15"/>
        <v>332351.14000000007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-36558.625400000012</v>
      </c>
      <c r="AO103" s="125">
        <f>AH103*-Valores!$C$72</f>
        <v>0</v>
      </c>
      <c r="AP103" s="125">
        <f>AH103*Valores!$C$73</f>
        <v>-14955.801300000003</v>
      </c>
      <c r="AQ103" s="125">
        <f>Valores!$C$100</f>
        <v>-554.86</v>
      </c>
      <c r="AR103" s="125">
        <f>IF($F$5=0,Valores!$C$101,(Valores!$C$101+$F$5*(Valores!$C$101)))</f>
        <v>-852</v>
      </c>
      <c r="AS103" s="125">
        <f t="shared" si="16"/>
        <v>279429.85330000008</v>
      </c>
      <c r="AT103" s="125">
        <f t="shared" si="10"/>
        <v>-36558.625400000012</v>
      </c>
      <c r="AU103" s="125">
        <f>AH103*Valores!$C$74</f>
        <v>-8973.4807800000017</v>
      </c>
      <c r="AV103" s="125">
        <f>AH103*Valores!$C$75</f>
        <v>-997.05342000000019</v>
      </c>
      <c r="AW103" s="125">
        <f t="shared" si="14"/>
        <v>285821.98040000006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2416.5</v>
      </c>
      <c r="G104" s="192">
        <v>1502</v>
      </c>
      <c r="H104" s="125">
        <f>ROUND(G104*Valores!$C$2,2)</f>
        <v>80657.399999999994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0</v>
      </c>
      <c r="N104" s="125">
        <f t="shared" si="11"/>
        <v>24998.86</v>
      </c>
      <c r="O104" s="125">
        <f>Valores!$C$14</f>
        <v>53474.37</v>
      </c>
      <c r="P104" s="125">
        <f>Valores!$D$5</f>
        <v>27451.439999999999</v>
      </c>
      <c r="Q104" s="125">
        <v>0</v>
      </c>
      <c r="R104" s="125">
        <f>IF($F$4="NO",Valores!$C$42,Valores!$C$42/2)</f>
        <v>16921.52</v>
      </c>
      <c r="S104" s="125">
        <f>Valores!$C$20</f>
        <v>25282.84</v>
      </c>
      <c r="T104" s="125">
        <f t="shared" si="17"/>
        <v>31603.55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37591.14</v>
      </c>
      <c r="AA104" s="125">
        <f>Valores!$C$25</f>
        <v>1122.78</v>
      </c>
      <c r="AB104" s="214">
        <v>0</v>
      </c>
      <c r="AC104" s="125">
        <f t="shared" si="12"/>
        <v>0</v>
      </c>
      <c r="AD104" s="125">
        <f>Valores!$C$26</f>
        <v>1122.78</v>
      </c>
      <c r="AE104" s="192">
        <v>0</v>
      </c>
      <c r="AF104" s="125">
        <f>ROUND(AE104*Valores!$C$2,2)</f>
        <v>0</v>
      </c>
      <c r="AG104" s="125">
        <f>ROUND(IF($F$4="NO",Valores!$C$63,Valores!$C$63/2),2)</f>
        <v>12836.3</v>
      </c>
      <c r="AH104" s="125">
        <f t="shared" si="15"/>
        <v>290196.64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-31921.630400000002</v>
      </c>
      <c r="AO104" s="125">
        <f>AH104*-Valores!$C$72</f>
        <v>0</v>
      </c>
      <c r="AP104" s="125">
        <f>AH104*Valores!$C$73</f>
        <v>-13058.8488</v>
      </c>
      <c r="AQ104" s="125">
        <f>Valores!$C$100</f>
        <v>-554.86</v>
      </c>
      <c r="AR104" s="125">
        <f>IF($F$5=0,Valores!$C$101,(Valores!$C$101+$F$5*(Valores!$C$101)))</f>
        <v>-852</v>
      </c>
      <c r="AS104" s="125">
        <f t="shared" si="16"/>
        <v>243809.30080000003</v>
      </c>
      <c r="AT104" s="125">
        <f t="shared" si="10"/>
        <v>-31921.630400000002</v>
      </c>
      <c r="AU104" s="125">
        <f>AH104*Valores!$C$74</f>
        <v>-7835.3092800000004</v>
      </c>
      <c r="AV104" s="125">
        <f>AH104*Valores!$C$75</f>
        <v>-870.58992000000001</v>
      </c>
      <c r="AW104" s="125">
        <f t="shared" si="14"/>
        <v>249569.11040000001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3275.7</v>
      </c>
      <c r="G105" s="192">
        <v>2114</v>
      </c>
      <c r="H105" s="125">
        <f>ROUND(G105*Valores!$C$2,2)</f>
        <v>113521.8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0</v>
      </c>
      <c r="N105" s="125">
        <f t="shared" si="11"/>
        <v>33429.760000000002</v>
      </c>
      <c r="O105" s="125">
        <f>Valores!$C$14</f>
        <v>53474.37</v>
      </c>
      <c r="P105" s="125">
        <f>Valores!$D$5</f>
        <v>27451.439999999999</v>
      </c>
      <c r="Q105" s="125">
        <v>0</v>
      </c>
      <c r="R105" s="125">
        <f>IF($F$4="NO",Valores!$C$42,Valores!$C$42/2)</f>
        <v>16921.52</v>
      </c>
      <c r="S105" s="125">
        <f>Valores!$C$20</f>
        <v>25282.84</v>
      </c>
      <c r="T105" s="125">
        <f t="shared" si="17"/>
        <v>31603.55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37591.14</v>
      </c>
      <c r="AA105" s="125">
        <f>Valores!$C$25</f>
        <v>1122.78</v>
      </c>
      <c r="AB105" s="214">
        <v>0</v>
      </c>
      <c r="AC105" s="125">
        <f t="shared" si="12"/>
        <v>0</v>
      </c>
      <c r="AD105" s="125">
        <f>Valores!$C$26</f>
        <v>1122.78</v>
      </c>
      <c r="AE105" s="192">
        <v>0</v>
      </c>
      <c r="AF105" s="125">
        <f>ROUND(AE105*Valores!$C$2,2)</f>
        <v>0</v>
      </c>
      <c r="AG105" s="125">
        <f>ROUND(IF($F$4="NO",Valores!$C$63,Valores!$C$63/2),2)</f>
        <v>12836.3</v>
      </c>
      <c r="AH105" s="125">
        <f t="shared" si="15"/>
        <v>332351.14000000007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-36558.625400000012</v>
      </c>
      <c r="AO105" s="125">
        <f>AH105*-Valores!$C$72</f>
        <v>0</v>
      </c>
      <c r="AP105" s="125">
        <f>AH105*Valores!$C$73</f>
        <v>-14955.801300000003</v>
      </c>
      <c r="AQ105" s="125">
        <f>Valores!$C$100</f>
        <v>-554.86</v>
      </c>
      <c r="AR105" s="125">
        <f>IF($F$5=0,Valores!$C$101,(Valores!$C$101+$F$5*(Valores!$C$101)))</f>
        <v>-852</v>
      </c>
      <c r="AS105" s="125">
        <f t="shared" si="16"/>
        <v>279429.85330000008</v>
      </c>
      <c r="AT105" s="125">
        <f t="shared" si="10"/>
        <v>-36558.625400000012</v>
      </c>
      <c r="AU105" s="125">
        <f>AH105*Valores!$C$74</f>
        <v>-8973.4807800000017</v>
      </c>
      <c r="AV105" s="125">
        <f>AH105*Valores!$C$75</f>
        <v>-997.05342000000019</v>
      </c>
      <c r="AW105" s="125">
        <f t="shared" si="14"/>
        <v>285821.98040000006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3168.3</v>
      </c>
      <c r="G106" s="192">
        <v>2013</v>
      </c>
      <c r="H106" s="125">
        <f>ROUND(G106*Valores!$C$2,2)</f>
        <v>108098.1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0</v>
      </c>
      <c r="N106" s="125">
        <f t="shared" si="11"/>
        <v>32046.98</v>
      </c>
      <c r="O106" s="125">
        <f>Valores!$C$14</f>
        <v>53474.37</v>
      </c>
      <c r="P106" s="125">
        <f>Valores!$D$5</f>
        <v>27451.439999999999</v>
      </c>
      <c r="Q106" s="125">
        <v>0</v>
      </c>
      <c r="R106" s="125">
        <f>IF($F$4="NO",Valores!$C$42,Valores!$C$42/2)</f>
        <v>16921.52</v>
      </c>
      <c r="S106" s="125">
        <f>Valores!$C$20</f>
        <v>25282.84</v>
      </c>
      <c r="T106" s="125">
        <f t="shared" si="17"/>
        <v>31603.55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37591.14</v>
      </c>
      <c r="AA106" s="125">
        <f>Valores!$C$25</f>
        <v>1122.78</v>
      </c>
      <c r="AB106" s="214">
        <v>0</v>
      </c>
      <c r="AC106" s="125">
        <f t="shared" si="12"/>
        <v>0</v>
      </c>
      <c r="AD106" s="125">
        <f>Valores!$C$26</f>
        <v>1122.78</v>
      </c>
      <c r="AE106" s="192">
        <v>0</v>
      </c>
      <c r="AF106" s="125">
        <f>ROUND(AE106*Valores!$C$2,2)</f>
        <v>0</v>
      </c>
      <c r="AG106" s="125">
        <f>ROUND(IF($F$4="NO",Valores!$C$63,Valores!$C$63/2),2)</f>
        <v>12836.3</v>
      </c>
      <c r="AH106" s="125">
        <f t="shared" si="15"/>
        <v>325437.26000000007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-35798.098600000005</v>
      </c>
      <c r="AO106" s="125">
        <f>AH106*-Valores!$C$72</f>
        <v>0</v>
      </c>
      <c r="AP106" s="125">
        <f>AH106*Valores!$C$73</f>
        <v>-14644.676700000002</v>
      </c>
      <c r="AQ106" s="125">
        <f>Valores!$C$100</f>
        <v>-554.86</v>
      </c>
      <c r="AR106" s="125">
        <f>IF($F$5=0,Valores!$C$101,(Valores!$C$101+$F$5*(Valores!$C$101)))</f>
        <v>-852</v>
      </c>
      <c r="AS106" s="125">
        <f t="shared" si="16"/>
        <v>273587.62470000004</v>
      </c>
      <c r="AT106" s="125">
        <f t="shared" si="10"/>
        <v>-35798.098600000005</v>
      </c>
      <c r="AU106" s="125">
        <f>AH106*Valores!$C$74</f>
        <v>-8786.8060200000018</v>
      </c>
      <c r="AV106" s="125">
        <f>AH106*Valores!$C$75</f>
        <v>-976.31178000000023</v>
      </c>
      <c r="AW106" s="125">
        <f t="shared" si="14"/>
        <v>279876.04360000003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3007.2</v>
      </c>
      <c r="G107" s="192">
        <v>1720</v>
      </c>
      <c r="H107" s="125">
        <f>ROUND(G107*Valores!$C$2,2)</f>
        <v>92364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0</v>
      </c>
      <c r="N107" s="125">
        <f t="shared" si="11"/>
        <v>28073.18</v>
      </c>
      <c r="O107" s="125">
        <f>Valores!$C$14</f>
        <v>53474.37</v>
      </c>
      <c r="P107" s="125">
        <f>Valores!$D$5</f>
        <v>27451.439999999999</v>
      </c>
      <c r="Q107" s="125">
        <v>0</v>
      </c>
      <c r="R107" s="125">
        <f>IF($F$4="NO",Valores!$C$42,Valores!$C$42/2)</f>
        <v>16921.52</v>
      </c>
      <c r="S107" s="125">
        <f>Valores!$C$20</f>
        <v>25282.84</v>
      </c>
      <c r="T107" s="125">
        <f t="shared" si="17"/>
        <v>31603.55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37591.14</v>
      </c>
      <c r="AA107" s="125">
        <f>Valores!$C$25</f>
        <v>1122.78</v>
      </c>
      <c r="AB107" s="214">
        <v>0</v>
      </c>
      <c r="AC107" s="125">
        <f t="shared" si="12"/>
        <v>0</v>
      </c>
      <c r="AD107" s="125">
        <f>Valores!$C$26</f>
        <v>1122.78</v>
      </c>
      <c r="AE107" s="192">
        <v>0</v>
      </c>
      <c r="AF107" s="125">
        <f>ROUND(AE107*Valores!$C$2,2)</f>
        <v>0</v>
      </c>
      <c r="AG107" s="125">
        <f>ROUND(IF($F$4="NO",Valores!$C$63,Valores!$C$63/2),2)</f>
        <v>12836.3</v>
      </c>
      <c r="AH107" s="125">
        <f t="shared" si="15"/>
        <v>305568.26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-33612.508600000001</v>
      </c>
      <c r="AO107" s="125">
        <f>AH107*-Valores!$C$72</f>
        <v>0</v>
      </c>
      <c r="AP107" s="125">
        <f>AH107*Valores!$C$73</f>
        <v>-13750.5717</v>
      </c>
      <c r="AQ107" s="125">
        <f>Valores!$C$100</f>
        <v>-554.86</v>
      </c>
      <c r="AR107" s="125">
        <f>IF($F$5=0,Valores!$C$101,(Valores!$C$101+$F$5*(Valores!$C$101)))</f>
        <v>-852</v>
      </c>
      <c r="AS107" s="125">
        <f t="shared" si="16"/>
        <v>256798.31969999999</v>
      </c>
      <c r="AT107" s="125">
        <f t="shared" si="10"/>
        <v>-33612.508600000001</v>
      </c>
      <c r="AU107" s="125">
        <f>AH107*Valores!$C$74</f>
        <v>-8250.3430200000003</v>
      </c>
      <c r="AV107" s="125">
        <f>AH107*Valores!$C$75</f>
        <v>-916.70478000000003</v>
      </c>
      <c r="AW107" s="125">
        <f t="shared" si="14"/>
        <v>262788.70360000001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2416.5</v>
      </c>
      <c r="G108" s="192">
        <v>1502</v>
      </c>
      <c r="H108" s="125">
        <f>ROUND(G108*Valores!$C$2,2)</f>
        <v>80657.399999999994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0</v>
      </c>
      <c r="N108" s="125">
        <f t="shared" si="11"/>
        <v>24998.86</v>
      </c>
      <c r="O108" s="125">
        <f>Valores!$C$14</f>
        <v>53474.37</v>
      </c>
      <c r="P108" s="125">
        <f>Valores!$D$5</f>
        <v>27451.439999999999</v>
      </c>
      <c r="Q108" s="125">
        <v>0</v>
      </c>
      <c r="R108" s="125">
        <f>IF($F$4="NO",Valores!$C$42,Valores!$C$42/2)</f>
        <v>16921.52</v>
      </c>
      <c r="S108" s="125">
        <f>Valores!$C$20</f>
        <v>25282.84</v>
      </c>
      <c r="T108" s="125">
        <f t="shared" si="17"/>
        <v>31603.55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37591.14</v>
      </c>
      <c r="AA108" s="125">
        <f>Valores!$C$25</f>
        <v>1122.78</v>
      </c>
      <c r="AB108" s="214">
        <v>0</v>
      </c>
      <c r="AC108" s="125">
        <f t="shared" si="12"/>
        <v>0</v>
      </c>
      <c r="AD108" s="125">
        <f>Valores!$C$26</f>
        <v>1122.78</v>
      </c>
      <c r="AE108" s="192">
        <v>0</v>
      </c>
      <c r="AF108" s="125">
        <f>ROUND(AE108*Valores!$C$2,2)</f>
        <v>0</v>
      </c>
      <c r="AG108" s="125">
        <f>ROUND(IF($F$4="NO",Valores!$C$63,Valores!$C$63/2),2)</f>
        <v>12836.3</v>
      </c>
      <c r="AH108" s="125">
        <f t="shared" si="15"/>
        <v>290196.64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-31921.630400000002</v>
      </c>
      <c r="AO108" s="125">
        <f>AH108*-Valores!$C$72</f>
        <v>0</v>
      </c>
      <c r="AP108" s="125">
        <f>AH108*Valores!$C$73</f>
        <v>-13058.8488</v>
      </c>
      <c r="AQ108" s="125">
        <f>Valores!$C$100</f>
        <v>-554.86</v>
      </c>
      <c r="AR108" s="125">
        <f>IF($F$5=0,Valores!$C$101,(Valores!$C$101+$F$5*(Valores!$C$101)))</f>
        <v>-852</v>
      </c>
      <c r="AS108" s="125">
        <f t="shared" si="16"/>
        <v>243809.30080000003</v>
      </c>
      <c r="AT108" s="125">
        <f t="shared" si="10"/>
        <v>-31921.630400000002</v>
      </c>
      <c r="AU108" s="125">
        <f>AH108*Valores!$C$74</f>
        <v>-7835.3092800000004</v>
      </c>
      <c r="AV108" s="125">
        <f>AH108*Valores!$C$75</f>
        <v>-870.58992000000001</v>
      </c>
      <c r="AW108" s="125">
        <f t="shared" si="14"/>
        <v>249569.11040000001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2416.5</v>
      </c>
      <c r="G109" s="192">
        <v>1139</v>
      </c>
      <c r="H109" s="125">
        <f>ROUND(G109*Valores!$C$2,2)</f>
        <v>61164.3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0</v>
      </c>
      <c r="N109" s="125">
        <f t="shared" si="11"/>
        <v>20125.580000000002</v>
      </c>
      <c r="O109" s="125">
        <f>Valores!$C$14</f>
        <v>53474.37</v>
      </c>
      <c r="P109" s="125">
        <f>Valores!$D$5</f>
        <v>27451.439999999999</v>
      </c>
      <c r="Q109" s="125">
        <v>0</v>
      </c>
      <c r="R109" s="125">
        <f>IF($F$4="NO",Valores!$C$42,Valores!$C$42/2)</f>
        <v>16921.52</v>
      </c>
      <c r="S109" s="125">
        <f>Valores!$C$20</f>
        <v>25282.84</v>
      </c>
      <c r="T109" s="125">
        <f t="shared" si="17"/>
        <v>31603.55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37591.14</v>
      </c>
      <c r="AA109" s="125">
        <f>Valores!$C$25</f>
        <v>1122.78</v>
      </c>
      <c r="AB109" s="214">
        <v>0</v>
      </c>
      <c r="AC109" s="125">
        <f t="shared" si="12"/>
        <v>0</v>
      </c>
      <c r="AD109" s="125">
        <f>Valores!$C$26</f>
        <v>1122.78</v>
      </c>
      <c r="AE109" s="192">
        <v>0</v>
      </c>
      <c r="AF109" s="125">
        <f>ROUND(AE109*Valores!$C$2,2)</f>
        <v>0</v>
      </c>
      <c r="AG109" s="125">
        <f>ROUND(IF($F$4="NO",Valores!$C$63,Valores!$C$63/2),2)</f>
        <v>12836.3</v>
      </c>
      <c r="AH109" s="125">
        <f t="shared" si="15"/>
        <v>265830.25999999995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-29241.328599999993</v>
      </c>
      <c r="AO109" s="125">
        <f>AH109*-Valores!$C$72</f>
        <v>0</v>
      </c>
      <c r="AP109" s="125">
        <f>AH109*Valores!$C$73</f>
        <v>-11962.361699999998</v>
      </c>
      <c r="AQ109" s="125">
        <f>Valores!$C$100</f>
        <v>-554.86</v>
      </c>
      <c r="AR109" s="125">
        <f>IF($F$5=0,Valores!$C$101,(Valores!$C$101+$F$5*(Valores!$C$101)))</f>
        <v>-852</v>
      </c>
      <c r="AS109" s="125">
        <f t="shared" si="16"/>
        <v>223219.70969999995</v>
      </c>
      <c r="AT109" s="125">
        <f t="shared" si="10"/>
        <v>-29241.328599999993</v>
      </c>
      <c r="AU109" s="125">
        <f>AH109*Valores!$C$74</f>
        <v>-7177.417019999999</v>
      </c>
      <c r="AV109" s="125">
        <f>AH109*Valores!$C$75</f>
        <v>-797.49077999999986</v>
      </c>
      <c r="AW109" s="125">
        <f t="shared" si="14"/>
        <v>228614.02359999996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2470.1999999999998</v>
      </c>
      <c r="G110" s="192">
        <v>1102</v>
      </c>
      <c r="H110" s="125">
        <f>ROUND(G110*Valores!$C$2,2)</f>
        <v>59177.4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0</v>
      </c>
      <c r="N110" s="125">
        <f t="shared" si="11"/>
        <v>19642.28</v>
      </c>
      <c r="O110" s="125">
        <f>Valores!$C$14</f>
        <v>53474.37</v>
      </c>
      <c r="P110" s="125">
        <f>Valores!$D$5</f>
        <v>27451.439999999999</v>
      </c>
      <c r="Q110" s="125">
        <v>0</v>
      </c>
      <c r="R110" s="125">
        <f>IF($F$4="NO",Valores!$C$42,Valores!$C$42/2)</f>
        <v>16921.52</v>
      </c>
      <c r="S110" s="125">
        <f>Valores!$C$20</f>
        <v>25282.84</v>
      </c>
      <c r="T110" s="125">
        <f t="shared" si="17"/>
        <v>31603.55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37591.14</v>
      </c>
      <c r="AA110" s="125">
        <f>Valores!$C$25</f>
        <v>1122.78</v>
      </c>
      <c r="AB110" s="214">
        <v>0</v>
      </c>
      <c r="AC110" s="125">
        <f t="shared" si="12"/>
        <v>0</v>
      </c>
      <c r="AD110" s="125">
        <f>Valores!$C$26</f>
        <v>1122.78</v>
      </c>
      <c r="AE110" s="192">
        <v>0</v>
      </c>
      <c r="AF110" s="125">
        <f>ROUND(AE110*Valores!$C$2,2)</f>
        <v>0</v>
      </c>
      <c r="AG110" s="125">
        <f>ROUND(IF($F$4="NO",Valores!$C$63,Valores!$C$63/2),2)</f>
        <v>12836.3</v>
      </c>
      <c r="AH110" s="125">
        <f t="shared" si="15"/>
        <v>263413.75999999995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-28975.513599999995</v>
      </c>
      <c r="AO110" s="125">
        <f>AH110*-Valores!$C$72</f>
        <v>0</v>
      </c>
      <c r="AP110" s="125">
        <f>AH110*Valores!$C$73</f>
        <v>-11853.619199999997</v>
      </c>
      <c r="AQ110" s="125">
        <f>Valores!$C$100</f>
        <v>-554.86</v>
      </c>
      <c r="AR110" s="125">
        <f>IF($F$5=0,Valores!$C$101,(Valores!$C$101+$F$5*(Valores!$C$101)))</f>
        <v>-852</v>
      </c>
      <c r="AS110" s="125">
        <f t="shared" si="16"/>
        <v>221177.76719999994</v>
      </c>
      <c r="AT110" s="125">
        <f t="shared" si="10"/>
        <v>-28975.513599999995</v>
      </c>
      <c r="AU110" s="125">
        <f>AH110*Valores!$C$74</f>
        <v>-7112.171519999999</v>
      </c>
      <c r="AV110" s="125">
        <f>AH110*Valores!$C$75</f>
        <v>-790.24127999999985</v>
      </c>
      <c r="AW110" s="125">
        <f t="shared" si="14"/>
        <v>226535.83359999995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3544.2</v>
      </c>
      <c r="G111" s="192">
        <v>1911</v>
      </c>
      <c r="H111" s="125">
        <f>ROUND(G111*Valores!$C$2,2)</f>
        <v>102620.7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0</v>
      </c>
      <c r="N111" s="125">
        <f t="shared" si="11"/>
        <v>30771.61</v>
      </c>
      <c r="O111" s="125">
        <f>Valores!$C$14</f>
        <v>53474.37</v>
      </c>
      <c r="P111" s="125">
        <f>Valores!$D$5</f>
        <v>27451.439999999999</v>
      </c>
      <c r="Q111" s="125">
        <f>Valores!$C$22</f>
        <v>24491.06</v>
      </c>
      <c r="R111" s="125">
        <f>IF($F$4="NO",Valores!$C$42,Valores!$C$42/2)</f>
        <v>16921.52</v>
      </c>
      <c r="S111" s="125">
        <f>Valores!$C$20</f>
        <v>25282.84</v>
      </c>
      <c r="T111" s="125">
        <f t="shared" si="17"/>
        <v>31603.55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37591.14</v>
      </c>
      <c r="AA111" s="125">
        <f>Valores!$C$25</f>
        <v>1122.78</v>
      </c>
      <c r="AB111" s="214">
        <v>0</v>
      </c>
      <c r="AC111" s="125">
        <f t="shared" si="12"/>
        <v>0</v>
      </c>
      <c r="AD111" s="125">
        <f>Valores!$C$26</f>
        <v>1122.78</v>
      </c>
      <c r="AE111" s="192">
        <v>94</v>
      </c>
      <c r="AF111" s="125">
        <f>ROUND(AE111*Valores!$C$2,2)</f>
        <v>5047.8</v>
      </c>
      <c r="AG111" s="125">
        <f>ROUND(IF($F$4="NO",Valores!$C$63,Valores!$C$63/2),2)</f>
        <v>12836.3</v>
      </c>
      <c r="AH111" s="125">
        <f t="shared" si="15"/>
        <v>348599.25000000006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-38345.917500000003</v>
      </c>
      <c r="AO111" s="125">
        <f>AH111*-Valores!$C$72</f>
        <v>0</v>
      </c>
      <c r="AP111" s="125">
        <f>AH111*Valores!$C$73</f>
        <v>-15686.966250000001</v>
      </c>
      <c r="AQ111" s="125">
        <f>Valores!$C$100</f>
        <v>-554.86</v>
      </c>
      <c r="AR111" s="125">
        <f>IF($F$5=0,Valores!$C$101,(Valores!$C$101+$F$5*(Valores!$C$101)))</f>
        <v>-852</v>
      </c>
      <c r="AS111" s="125">
        <f t="shared" si="16"/>
        <v>293159.50625000003</v>
      </c>
      <c r="AT111" s="125">
        <f t="shared" si="10"/>
        <v>-38345.917500000003</v>
      </c>
      <c r="AU111" s="125">
        <f>AH111*Valores!$C$74</f>
        <v>-9412.1797500000011</v>
      </c>
      <c r="AV111" s="125">
        <f>AH111*Valores!$C$75</f>
        <v>-1045.7977500000002</v>
      </c>
      <c r="AW111" s="125">
        <f t="shared" si="14"/>
        <v>299795.35500000004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3275.7</v>
      </c>
      <c r="G112" s="192">
        <v>1545</v>
      </c>
      <c r="H112" s="125">
        <f>ROUND(G112*Valores!$C$2,2)</f>
        <v>82966.5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0</v>
      </c>
      <c r="N112" s="125">
        <f t="shared" si="11"/>
        <v>25790.93</v>
      </c>
      <c r="O112" s="125">
        <f>Valores!$C$14</f>
        <v>53474.37</v>
      </c>
      <c r="P112" s="125">
        <f>Valores!$D$5</f>
        <v>27451.439999999999</v>
      </c>
      <c r="Q112" s="125">
        <f>Valores!$C$22</f>
        <v>24491.06</v>
      </c>
      <c r="R112" s="125">
        <f>IF($F$4="NO",Valores!$C$42,Valores!$C$42/2)</f>
        <v>16921.52</v>
      </c>
      <c r="S112" s="125">
        <f>Valores!$C$20</f>
        <v>25282.84</v>
      </c>
      <c r="T112" s="125">
        <f t="shared" si="17"/>
        <v>31603.55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37591.14</v>
      </c>
      <c r="AA112" s="125">
        <f>Valores!$C$25</f>
        <v>1122.78</v>
      </c>
      <c r="AB112" s="214">
        <v>0</v>
      </c>
      <c r="AC112" s="125">
        <f t="shared" si="12"/>
        <v>0</v>
      </c>
      <c r="AD112" s="125">
        <f>Valores!$C$26</f>
        <v>1122.78</v>
      </c>
      <c r="AE112" s="192">
        <v>94</v>
      </c>
      <c r="AF112" s="125">
        <f>ROUND(AE112*Valores!$C$2,2)</f>
        <v>5047.8</v>
      </c>
      <c r="AG112" s="125">
        <f>ROUND(IF($F$4="NO",Valores!$C$63,Valores!$C$63/2),2)</f>
        <v>12836.3</v>
      </c>
      <c r="AH112" s="125">
        <f t="shared" si="15"/>
        <v>323695.87000000005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-35606.54570000001</v>
      </c>
      <c r="AO112" s="125">
        <f>AH112*-Valores!$C$72</f>
        <v>0</v>
      </c>
      <c r="AP112" s="125">
        <f>AH112*Valores!$C$73</f>
        <v>-14566.314150000002</v>
      </c>
      <c r="AQ112" s="125">
        <f>Valores!$C$100</f>
        <v>-554.86</v>
      </c>
      <c r="AR112" s="125">
        <f>IF($F$5=0,Valores!$C$101,(Valores!$C$101+$F$5*(Valores!$C$101)))</f>
        <v>-852</v>
      </c>
      <c r="AS112" s="125">
        <f t="shared" si="16"/>
        <v>272116.15015000006</v>
      </c>
      <c r="AT112" s="125">
        <f t="shared" si="10"/>
        <v>-35606.54570000001</v>
      </c>
      <c r="AU112" s="125">
        <f>AH112*Valores!$C$74</f>
        <v>-8739.7884900000008</v>
      </c>
      <c r="AV112" s="125">
        <f>AH112*Valores!$C$75</f>
        <v>-971.08761000000015</v>
      </c>
      <c r="AW112" s="125">
        <f t="shared" si="14"/>
        <v>278378.44820000004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11706.6</v>
      </c>
      <c r="G113" s="192">
        <v>2100</v>
      </c>
      <c r="H113" s="125">
        <f>ROUND(G113*Valores!$C$2,2)</f>
        <v>112770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0</v>
      </c>
      <c r="N113" s="125">
        <f t="shared" si="11"/>
        <v>35349.53</v>
      </c>
      <c r="O113" s="125">
        <f>Valores!$C$14</f>
        <v>53474.37</v>
      </c>
      <c r="P113" s="125">
        <f>Valores!$D$5</f>
        <v>27451.439999999999</v>
      </c>
      <c r="Q113" s="125">
        <f>Valores!$C$22</f>
        <v>24491.06</v>
      </c>
      <c r="R113" s="125">
        <f>IF($F$4="NO",Valores!$C$42,Valores!$C$42/2)</f>
        <v>16921.52</v>
      </c>
      <c r="S113" s="125">
        <f>Valores!$C$20</f>
        <v>25282.84</v>
      </c>
      <c r="T113" s="125">
        <f t="shared" si="17"/>
        <v>31603.55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37591.14</v>
      </c>
      <c r="AA113" s="125">
        <f>Valores!$C$25</f>
        <v>1122.78</v>
      </c>
      <c r="AB113" s="214">
        <v>0</v>
      </c>
      <c r="AC113" s="125">
        <f t="shared" si="12"/>
        <v>0</v>
      </c>
      <c r="AD113" s="125">
        <f>Valores!$C$26</f>
        <v>1122.78</v>
      </c>
      <c r="AE113" s="192">
        <v>0</v>
      </c>
      <c r="AF113" s="125">
        <f>ROUND(AE113*Valores!$C$2,2)</f>
        <v>0</v>
      </c>
      <c r="AG113" s="125">
        <f>ROUND(IF($F$4="NO",Valores!$C$63,Valores!$C$63/2),2)</f>
        <v>12836.3</v>
      </c>
      <c r="AH113" s="125">
        <f t="shared" si="15"/>
        <v>366441.07000000007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-40308.517700000004</v>
      </c>
      <c r="AO113" s="125">
        <f>AH113*-Valores!$C$72</f>
        <v>0</v>
      </c>
      <c r="AP113" s="125">
        <f>AH113*Valores!$C$73</f>
        <v>-16489.848150000002</v>
      </c>
      <c r="AQ113" s="125">
        <f>Valores!$C$100</f>
        <v>-554.86</v>
      </c>
      <c r="AR113" s="125">
        <f>IF($F$5=0,Valores!$C$101,(Valores!$C$101+$F$5*(Valores!$C$101)))</f>
        <v>-852</v>
      </c>
      <c r="AS113" s="125">
        <f t="shared" si="16"/>
        <v>308235.84415000008</v>
      </c>
      <c r="AT113" s="125">
        <f t="shared" si="10"/>
        <v>-40308.517700000004</v>
      </c>
      <c r="AU113" s="125">
        <f>AH113*Valores!$C$74</f>
        <v>-9893.9088900000024</v>
      </c>
      <c r="AV113" s="125">
        <f>AH113*Valores!$C$75</f>
        <v>-1099.3232100000002</v>
      </c>
      <c r="AW113" s="125">
        <f t="shared" si="14"/>
        <v>315139.32020000007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11814</v>
      </c>
      <c r="G114" s="192">
        <v>1995</v>
      </c>
      <c r="H114" s="125">
        <f>ROUND(G114*Valores!$C$2,2)</f>
        <v>107131.5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0</v>
      </c>
      <c r="N114" s="125">
        <f t="shared" si="11"/>
        <v>33966.76</v>
      </c>
      <c r="O114" s="125">
        <f>Valores!$C$14</f>
        <v>53474.37</v>
      </c>
      <c r="P114" s="125">
        <f>Valores!$D$5</f>
        <v>27451.439999999999</v>
      </c>
      <c r="Q114" s="125">
        <f>Valores!$C$22</f>
        <v>24491.06</v>
      </c>
      <c r="R114" s="125">
        <f>IF($F$4="NO",Valores!$C$42,Valores!$C$42/2)</f>
        <v>16921.52</v>
      </c>
      <c r="S114" s="125">
        <f>Valores!$C$20</f>
        <v>25282.84</v>
      </c>
      <c r="T114" s="125">
        <f t="shared" si="17"/>
        <v>31603.55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37591.14</v>
      </c>
      <c r="AA114" s="125">
        <f>Valores!$C$25</f>
        <v>1122.78</v>
      </c>
      <c r="AB114" s="214">
        <v>0</v>
      </c>
      <c r="AC114" s="125">
        <f t="shared" si="12"/>
        <v>0</v>
      </c>
      <c r="AD114" s="125">
        <f>Valores!$C$26</f>
        <v>1122.78</v>
      </c>
      <c r="AE114" s="192">
        <v>0</v>
      </c>
      <c r="AF114" s="125">
        <f>ROUND(AE114*Valores!$C$2,2)</f>
        <v>0</v>
      </c>
      <c r="AG114" s="125">
        <f>ROUND(IF($F$4="NO",Valores!$C$63,Valores!$C$63/2),2)</f>
        <v>12836.3</v>
      </c>
      <c r="AH114" s="125">
        <f t="shared" si="15"/>
        <v>359527.20000000007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-39547.992000000006</v>
      </c>
      <c r="AO114" s="125">
        <f>AH114*-Valores!$C$72</f>
        <v>0</v>
      </c>
      <c r="AP114" s="125">
        <f>AH114*Valores!$C$73</f>
        <v>-16178.724000000002</v>
      </c>
      <c r="AQ114" s="125">
        <f>Valores!$C$100</f>
        <v>-554.86</v>
      </c>
      <c r="AR114" s="125">
        <f>IF($F$5=0,Valores!$C$101,(Valores!$C$101+$F$5*(Valores!$C$101)))</f>
        <v>-852</v>
      </c>
      <c r="AS114" s="125">
        <f t="shared" si="16"/>
        <v>302393.62400000007</v>
      </c>
      <c r="AT114" s="125">
        <f t="shared" si="10"/>
        <v>-39547.992000000006</v>
      </c>
      <c r="AU114" s="125">
        <f>AH114*Valores!$C$74</f>
        <v>-9707.2344000000012</v>
      </c>
      <c r="AV114" s="125">
        <f>AH114*Valores!$C$75</f>
        <v>-1078.5816000000002</v>
      </c>
      <c r="AW114" s="125">
        <f t="shared" si="14"/>
        <v>309193.39200000005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10041.9</v>
      </c>
      <c r="G115" s="192">
        <v>1704</v>
      </c>
      <c r="H115" s="125">
        <f>ROUND(G115*Valores!$C$2,2)</f>
        <v>91504.8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0</v>
      </c>
      <c r="N115" s="125">
        <f t="shared" si="11"/>
        <v>29617.06</v>
      </c>
      <c r="O115" s="125">
        <f>Valores!$C$14</f>
        <v>53474.37</v>
      </c>
      <c r="P115" s="125">
        <f>Valores!$D$5</f>
        <v>27451.439999999999</v>
      </c>
      <c r="Q115" s="125">
        <f>Valores!$C$22</f>
        <v>24491.06</v>
      </c>
      <c r="R115" s="125">
        <f>IF($F$4="NO",Valores!$C$42,Valores!$C$42/2)</f>
        <v>16921.52</v>
      </c>
      <c r="S115" s="125">
        <f>Valores!$C$20</f>
        <v>25282.84</v>
      </c>
      <c r="T115" s="125">
        <f t="shared" si="17"/>
        <v>31603.55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37591.14</v>
      </c>
      <c r="AA115" s="125">
        <f>Valores!$C$25</f>
        <v>1122.78</v>
      </c>
      <c r="AB115" s="214">
        <v>0</v>
      </c>
      <c r="AC115" s="125">
        <f t="shared" si="12"/>
        <v>0</v>
      </c>
      <c r="AD115" s="125">
        <f>Valores!$C$26</f>
        <v>1122.78</v>
      </c>
      <c r="AE115" s="192">
        <v>0</v>
      </c>
      <c r="AF115" s="125">
        <f>ROUND(AE115*Valores!$C$2,2)</f>
        <v>0</v>
      </c>
      <c r="AG115" s="125">
        <f>ROUND(IF($F$4="NO",Valores!$C$63,Valores!$C$63/2),2)</f>
        <v>12836.3</v>
      </c>
      <c r="AH115" s="125">
        <f t="shared" si="15"/>
        <v>337778.70000000007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-37155.657000000007</v>
      </c>
      <c r="AO115" s="125">
        <f>AH115*-Valores!$C$72</f>
        <v>0</v>
      </c>
      <c r="AP115" s="125">
        <f>AH115*Valores!$C$73</f>
        <v>-15200.041500000003</v>
      </c>
      <c r="AQ115" s="125">
        <f>Valores!$C$100</f>
        <v>-554.86</v>
      </c>
      <c r="AR115" s="125">
        <f>IF($F$5=0,Valores!$C$101,(Valores!$C$101+$F$5*(Valores!$C$101)))</f>
        <v>-852</v>
      </c>
      <c r="AS115" s="125">
        <f t="shared" si="16"/>
        <v>284016.14150000003</v>
      </c>
      <c r="AT115" s="125">
        <f t="shared" si="10"/>
        <v>-37155.657000000007</v>
      </c>
      <c r="AU115" s="125">
        <f>AH115*Valores!$C$74</f>
        <v>-9120.0249000000022</v>
      </c>
      <c r="AV115" s="125">
        <f>AH115*Valores!$C$75</f>
        <v>-1013.3361000000002</v>
      </c>
      <c r="AW115" s="125">
        <f t="shared" si="14"/>
        <v>290489.68200000003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8645.7000000000007</v>
      </c>
      <c r="G116" s="192">
        <v>1480</v>
      </c>
      <c r="H116" s="125">
        <f>ROUND(G116*Valores!$C$2,2)</f>
        <v>79476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0</v>
      </c>
      <c r="N116" s="125">
        <f t="shared" si="11"/>
        <v>26260.81</v>
      </c>
      <c r="O116" s="125">
        <f>Valores!$C$14</f>
        <v>53474.37</v>
      </c>
      <c r="P116" s="125">
        <f>Valores!$D$5</f>
        <v>27451.439999999999</v>
      </c>
      <c r="Q116" s="125">
        <f>Valores!$C$22</f>
        <v>24491.06</v>
      </c>
      <c r="R116" s="125">
        <f>IF($F$4="NO",Valores!$C$42,Valores!$C$42/2)</f>
        <v>16921.52</v>
      </c>
      <c r="S116" s="125">
        <f>Valores!$C$20</f>
        <v>25282.84</v>
      </c>
      <c r="T116" s="125">
        <f t="shared" si="17"/>
        <v>31603.55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37591.14</v>
      </c>
      <c r="AA116" s="125">
        <f>Valores!$C$25</f>
        <v>1122.78</v>
      </c>
      <c r="AB116" s="214">
        <v>0</v>
      </c>
      <c r="AC116" s="125">
        <f t="shared" si="12"/>
        <v>0</v>
      </c>
      <c r="AD116" s="125">
        <f>Valores!$C$26</f>
        <v>1122.78</v>
      </c>
      <c r="AE116" s="192">
        <v>0</v>
      </c>
      <c r="AF116" s="125">
        <f>ROUND(AE116*Valores!$C$2,2)</f>
        <v>0</v>
      </c>
      <c r="AG116" s="125">
        <f>ROUND(IF($F$4="NO",Valores!$C$63,Valores!$C$63/2),2)</f>
        <v>12836.3</v>
      </c>
      <c r="AH116" s="125">
        <f t="shared" si="15"/>
        <v>320997.45000000007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-35309.719500000007</v>
      </c>
      <c r="AO116" s="125">
        <f>AH116*-Valores!$C$72</f>
        <v>0</v>
      </c>
      <c r="AP116" s="125">
        <f>AH116*Valores!$C$73</f>
        <v>-14444.885250000003</v>
      </c>
      <c r="AQ116" s="125">
        <f>Valores!$C$100</f>
        <v>-554.86</v>
      </c>
      <c r="AR116" s="125">
        <f>IF($F$5=0,Valores!$C$101,(Valores!$C$101+$F$5*(Valores!$C$101)))</f>
        <v>-852</v>
      </c>
      <c r="AS116" s="125">
        <f t="shared" si="16"/>
        <v>269835.98525000003</v>
      </c>
      <c r="AT116" s="125">
        <f t="shared" si="10"/>
        <v>-35309.719500000007</v>
      </c>
      <c r="AU116" s="125">
        <f>AH116*Valores!$C$74</f>
        <v>-8666.9311500000022</v>
      </c>
      <c r="AV116" s="125">
        <f>AH116*Valores!$C$75</f>
        <v>-962.99235000000022</v>
      </c>
      <c r="AW116" s="125">
        <f t="shared" si="14"/>
        <v>276057.80700000003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68628.600000000006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0</v>
      </c>
      <c r="N117" s="125">
        <f t="shared" si="11"/>
        <v>21387.53</v>
      </c>
      <c r="O117" s="125">
        <f>Valores!$C$14</f>
        <v>53474.37</v>
      </c>
      <c r="P117" s="125">
        <f>Valores!$D$5</f>
        <v>27451.439999999999</v>
      </c>
      <c r="Q117" s="125">
        <f>Valores!$C$22</f>
        <v>24491.06</v>
      </c>
      <c r="R117" s="125">
        <f>IF($F$4="NO",Valores!$C$42,Valores!$C$42/2)</f>
        <v>16921.52</v>
      </c>
      <c r="S117" s="125">
        <f>Valores!$C$20</f>
        <v>25282.84</v>
      </c>
      <c r="T117" s="125">
        <f t="shared" si="17"/>
        <v>31603.55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37591.14</v>
      </c>
      <c r="AA117" s="125">
        <f>Valores!$C$25</f>
        <v>1122.78</v>
      </c>
      <c r="AB117" s="214">
        <v>0</v>
      </c>
      <c r="AC117" s="125">
        <f t="shared" si="12"/>
        <v>0</v>
      </c>
      <c r="AD117" s="125">
        <f>Valores!$C$26</f>
        <v>1122.78</v>
      </c>
      <c r="AE117" s="192">
        <v>0</v>
      </c>
      <c r="AF117" s="125">
        <f>ROUND(AE117*Valores!$C$2,2)</f>
        <v>0</v>
      </c>
      <c r="AG117" s="125">
        <f>ROUND(IF($F$4="NO",Valores!$C$63,Valores!$C$63/2),2)</f>
        <v>12836.3</v>
      </c>
      <c r="AH117" s="125">
        <f t="shared" si="15"/>
        <v>296631.07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-32629.417700000002</v>
      </c>
      <c r="AO117" s="125">
        <f>AH117*-Valores!$C$72</f>
        <v>0</v>
      </c>
      <c r="AP117" s="125">
        <f>AH117*Valores!$C$73</f>
        <v>-13348.398149999999</v>
      </c>
      <c r="AQ117" s="125">
        <f>Valores!$C$100</f>
        <v>-554.86</v>
      </c>
      <c r="AR117" s="125">
        <f>IF($F$5=0,Valores!$C$101,(Valores!$C$101+$F$5*(Valores!$C$101)))</f>
        <v>-852</v>
      </c>
      <c r="AS117" s="125">
        <f t="shared" si="16"/>
        <v>249246.39415000001</v>
      </c>
      <c r="AT117" s="125">
        <f t="shared" si="10"/>
        <v>-32629.417700000002</v>
      </c>
      <c r="AU117" s="125">
        <f>AH117*Valores!$C$74</f>
        <v>-8009.0388899999998</v>
      </c>
      <c r="AV117" s="125">
        <f>AH117*Valores!$C$75</f>
        <v>-889.89321000000007</v>
      </c>
      <c r="AW117" s="125">
        <f t="shared" si="14"/>
        <v>255102.72020000001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4134.8999999999996</v>
      </c>
      <c r="G118" s="192">
        <v>2073</v>
      </c>
      <c r="H118" s="125">
        <f>ROUND(G118*Valores!$C$2,2)</f>
        <v>111320.1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0</v>
      </c>
      <c r="N118" s="125">
        <f t="shared" si="11"/>
        <v>33631.31</v>
      </c>
      <c r="O118" s="125">
        <f>Valores!$C$8</f>
        <v>67306.67</v>
      </c>
      <c r="P118" s="125">
        <f>Valores!$D$5</f>
        <v>27451.439999999999</v>
      </c>
      <c r="Q118" s="125">
        <f>Valores!$C$22</f>
        <v>24491.06</v>
      </c>
      <c r="R118" s="125">
        <f>IF($F$4="NO",Valores!$C$44,Valores!$C$44/2)</f>
        <v>19070.25</v>
      </c>
      <c r="S118" s="125">
        <f>Valores!$C$19</f>
        <v>25544</v>
      </c>
      <c r="T118" s="125">
        <f t="shared" si="17"/>
        <v>31930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37591.14</v>
      </c>
      <c r="AA118" s="125">
        <f>Valores!$C$25</f>
        <v>1122.78</v>
      </c>
      <c r="AB118" s="214">
        <v>0</v>
      </c>
      <c r="AC118" s="125">
        <f t="shared" si="12"/>
        <v>0</v>
      </c>
      <c r="AD118" s="125">
        <f>Valores!$C$26</f>
        <v>1122.78</v>
      </c>
      <c r="AE118" s="192">
        <v>0</v>
      </c>
      <c r="AF118" s="125">
        <f>ROUND(AE118*Valores!$C$2,2)</f>
        <v>0</v>
      </c>
      <c r="AG118" s="125">
        <f>ROUND(IF($F$4="NO",Valores!$C$63,Valores!$C$63/2),2)</f>
        <v>12836.3</v>
      </c>
      <c r="AH118" s="125">
        <f t="shared" si="15"/>
        <v>372008.73000000004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-40920.960300000006</v>
      </c>
      <c r="AO118" s="125">
        <f>AH118*-Valores!$C$72</f>
        <v>0</v>
      </c>
      <c r="AP118" s="125">
        <f>AH118*Valores!$C$73</f>
        <v>-16740.39285</v>
      </c>
      <c r="AQ118" s="125">
        <f>Valores!$C$100</f>
        <v>-554.86</v>
      </c>
      <c r="AR118" s="125">
        <f>IF($F$5=0,Valores!$C$101,(Valores!$C$101+$F$5*(Valores!$C$101)))</f>
        <v>-852</v>
      </c>
      <c r="AS118" s="125">
        <f t="shared" si="16"/>
        <v>312940.51685000001</v>
      </c>
      <c r="AT118" s="125">
        <f t="shared" si="10"/>
        <v>-40920.960300000006</v>
      </c>
      <c r="AU118" s="125">
        <f>AH118*Valores!$C$74</f>
        <v>-10044.235710000001</v>
      </c>
      <c r="AV118" s="125">
        <f>AH118*Valores!$C$75</f>
        <v>-1116.02619</v>
      </c>
      <c r="AW118" s="125">
        <f t="shared" si="14"/>
        <v>319927.50780000002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4134.8999999999996</v>
      </c>
      <c r="G119" s="192">
        <v>2043</v>
      </c>
      <c r="H119" s="125">
        <f>ROUND(G119*Valores!$C$2,2)</f>
        <v>109709.1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0</v>
      </c>
      <c r="N119" s="125">
        <f t="shared" si="11"/>
        <v>33228.559999999998</v>
      </c>
      <c r="O119" s="125">
        <f>Valores!$C$9</f>
        <v>67480.59</v>
      </c>
      <c r="P119" s="125">
        <f>Valores!$D$5</f>
        <v>27451.439999999999</v>
      </c>
      <c r="Q119" s="125">
        <f>Valores!$C$22</f>
        <v>24491.06</v>
      </c>
      <c r="R119" s="125">
        <f>IF($F$4="NO",Valores!$C$44,Valores!$C$44/2)</f>
        <v>19070.25</v>
      </c>
      <c r="S119" s="125">
        <f>Valores!$C$19</f>
        <v>25544</v>
      </c>
      <c r="T119" s="125">
        <f t="shared" si="17"/>
        <v>31930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37591.14</v>
      </c>
      <c r="AA119" s="125">
        <f>Valores!$C$25</f>
        <v>1122.78</v>
      </c>
      <c r="AB119" s="214">
        <v>0</v>
      </c>
      <c r="AC119" s="125">
        <f t="shared" si="12"/>
        <v>0</v>
      </c>
      <c r="AD119" s="125">
        <f>Valores!$C$26</f>
        <v>1122.78</v>
      </c>
      <c r="AE119" s="192">
        <v>0</v>
      </c>
      <c r="AF119" s="125">
        <f>ROUND(AE119*Valores!$C$2,2)</f>
        <v>0</v>
      </c>
      <c r="AG119" s="125">
        <f>ROUND(IF($F$4="NO",Valores!$C$63,Valores!$C$63/2),2)</f>
        <v>12836.3</v>
      </c>
      <c r="AH119" s="125">
        <f t="shared" si="15"/>
        <v>370168.90000000008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-40718.579000000012</v>
      </c>
      <c r="AO119" s="125">
        <f>AH119*-Valores!$C$72</f>
        <v>0</v>
      </c>
      <c r="AP119" s="125">
        <f>AH119*Valores!$C$73</f>
        <v>-16657.600500000004</v>
      </c>
      <c r="AQ119" s="125">
        <f>Valores!$C$100</f>
        <v>-554.86</v>
      </c>
      <c r="AR119" s="125">
        <f>IF($F$5=0,Valores!$C$101,(Valores!$C$101+$F$5*(Valores!$C$101)))</f>
        <v>-852</v>
      </c>
      <c r="AS119" s="125">
        <f t="shared" si="16"/>
        <v>311385.86050000007</v>
      </c>
      <c r="AT119" s="125">
        <f t="shared" si="10"/>
        <v>-40718.579000000012</v>
      </c>
      <c r="AU119" s="125">
        <f>AH119*Valores!$C$74</f>
        <v>-9994.5603000000028</v>
      </c>
      <c r="AV119" s="125">
        <f>AH119*Valores!$C$75</f>
        <v>-1110.5067000000004</v>
      </c>
      <c r="AW119" s="125">
        <f t="shared" si="14"/>
        <v>318345.25400000007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4081.2</v>
      </c>
      <c r="G120" s="192">
        <v>1954</v>
      </c>
      <c r="H120" s="125">
        <f>ROUND(G120*Valores!$C$2,2)</f>
        <v>104929.8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0</v>
      </c>
      <c r="N120" s="125">
        <f t="shared" si="11"/>
        <v>32020.31</v>
      </c>
      <c r="O120" s="125">
        <f>Valores!$C$9</f>
        <v>67480.59</v>
      </c>
      <c r="P120" s="125">
        <f>Valores!$D$5</f>
        <v>27451.439999999999</v>
      </c>
      <c r="Q120" s="125">
        <f>Valores!$C$22</f>
        <v>24491.06</v>
      </c>
      <c r="R120" s="125">
        <f>IF($F$4="NO",Valores!$C$44,Valores!$C$44/2)</f>
        <v>19070.25</v>
      </c>
      <c r="S120" s="125">
        <f>Valores!$C$19</f>
        <v>25544</v>
      </c>
      <c r="T120" s="125">
        <f t="shared" si="17"/>
        <v>31930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37591.14</v>
      </c>
      <c r="AA120" s="125">
        <f>Valores!$C$25</f>
        <v>1122.78</v>
      </c>
      <c r="AB120" s="214">
        <v>0</v>
      </c>
      <c r="AC120" s="125">
        <f t="shared" si="12"/>
        <v>0</v>
      </c>
      <c r="AD120" s="125">
        <f>Valores!$C$26</f>
        <v>1122.78</v>
      </c>
      <c r="AE120" s="192">
        <v>0</v>
      </c>
      <c r="AF120" s="125">
        <f>ROUND(AE120*Valores!$C$2,2)</f>
        <v>0</v>
      </c>
      <c r="AG120" s="125">
        <f>ROUND(IF($F$4="NO",Valores!$C$63,Valores!$C$63/2),2)</f>
        <v>12836.3</v>
      </c>
      <c r="AH120" s="125">
        <f t="shared" si="15"/>
        <v>364127.65000000008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-40054.041500000007</v>
      </c>
      <c r="AO120" s="125">
        <f>AH120*-Valores!$C$72</f>
        <v>0</v>
      </c>
      <c r="AP120" s="125">
        <f>AH120*Valores!$C$73</f>
        <v>-16385.744250000003</v>
      </c>
      <c r="AQ120" s="125">
        <f>Valores!$C$100</f>
        <v>-554.86</v>
      </c>
      <c r="AR120" s="125">
        <f>IF($F$5=0,Valores!$C$101,(Valores!$C$101+$F$5*(Valores!$C$101)))</f>
        <v>-852</v>
      </c>
      <c r="AS120" s="125">
        <f t="shared" si="16"/>
        <v>306281.00425000006</v>
      </c>
      <c r="AT120" s="125">
        <f t="shared" si="10"/>
        <v>-40054.041500000007</v>
      </c>
      <c r="AU120" s="125">
        <f>AH120*Valores!$C$74</f>
        <v>-9831.4465500000024</v>
      </c>
      <c r="AV120" s="125">
        <f>AH120*Valores!$C$75</f>
        <v>-1092.3829500000002</v>
      </c>
      <c r="AW120" s="125">
        <f t="shared" si="14"/>
        <v>313149.7790000001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14713.8</v>
      </c>
      <c r="G121" s="192">
        <v>1163</v>
      </c>
      <c r="H121" s="125">
        <f>ROUND(G121*Valores!$C$2,2)</f>
        <v>62453.1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0</v>
      </c>
      <c r="N121" s="125">
        <f t="shared" si="11"/>
        <v>24059.29</v>
      </c>
      <c r="O121" s="125">
        <f>Valores!$C$9</f>
        <v>67480.59</v>
      </c>
      <c r="P121" s="125">
        <f>Valores!$D$5</f>
        <v>27451.439999999999</v>
      </c>
      <c r="Q121" s="125">
        <f>Valores!$C$22</f>
        <v>24491.06</v>
      </c>
      <c r="R121" s="125">
        <f>IF($F$4="NO",Valores!$C$44,Valores!$C$44/2)</f>
        <v>19070.25</v>
      </c>
      <c r="S121" s="125">
        <f>Valores!$C$19</f>
        <v>25544</v>
      </c>
      <c r="T121" s="125">
        <f t="shared" si="17"/>
        <v>31930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37591.14</v>
      </c>
      <c r="AA121" s="125">
        <f>Valores!$C$25</f>
        <v>1122.78</v>
      </c>
      <c r="AB121" s="214">
        <v>0</v>
      </c>
      <c r="AC121" s="125">
        <f t="shared" si="12"/>
        <v>0</v>
      </c>
      <c r="AD121" s="125">
        <f>Valores!$C$26</f>
        <v>1122.78</v>
      </c>
      <c r="AE121" s="192">
        <v>0</v>
      </c>
      <c r="AF121" s="125">
        <f>ROUND(AE121*Valores!$C$2,2)</f>
        <v>0</v>
      </c>
      <c r="AG121" s="125">
        <f>ROUND(IF($F$4="NO",Valores!$C$63,Valores!$C$63/2),2)</f>
        <v>12836.3</v>
      </c>
      <c r="AH121" s="125">
        <f t="shared" si="15"/>
        <v>324322.53000000009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-35675.47830000001</v>
      </c>
      <c r="AO121" s="125">
        <f>AH121*-Valores!$C$72</f>
        <v>0</v>
      </c>
      <c r="AP121" s="125">
        <f>AH121*Valores!$C$73</f>
        <v>-14594.513850000003</v>
      </c>
      <c r="AQ121" s="125">
        <f>Valores!$C$100</f>
        <v>-554.86</v>
      </c>
      <c r="AR121" s="125">
        <f>IF($F$5=0,Valores!$C$101,(Valores!$C$101+$F$5*(Valores!$C$101)))</f>
        <v>-852</v>
      </c>
      <c r="AS121" s="125">
        <f t="shared" si="16"/>
        <v>272645.67785000009</v>
      </c>
      <c r="AT121" s="125">
        <f t="shared" si="10"/>
        <v>-35675.47830000001</v>
      </c>
      <c r="AU121" s="125">
        <f>AH121*Valores!$C$74</f>
        <v>-8756.7083100000018</v>
      </c>
      <c r="AV121" s="125">
        <f>AH121*Valores!$C$75</f>
        <v>-972.96759000000031</v>
      </c>
      <c r="AW121" s="125">
        <f t="shared" si="14"/>
        <v>278917.3758000001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150360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0</v>
      </c>
      <c r="N122" s="125">
        <f t="shared" si="11"/>
        <v>43431.77</v>
      </c>
      <c r="O122" s="125">
        <f>Valores!$C$16</f>
        <v>46403.78</v>
      </c>
      <c r="P122" s="125">
        <f>Valores!$D$5</f>
        <v>27451.439999999999</v>
      </c>
      <c r="Q122" s="125">
        <f>Valores!$C$22</f>
        <v>24491.06</v>
      </c>
      <c r="R122" s="125">
        <f>IF($F$4="NO",Valores!$C$46,Valores!$C$46/2)</f>
        <v>23367.07</v>
      </c>
      <c r="S122" s="125">
        <f>Valores!$C$20</f>
        <v>25282.84</v>
      </c>
      <c r="T122" s="125">
        <f t="shared" si="17"/>
        <v>31603.55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37591.14</v>
      </c>
      <c r="AA122" s="125">
        <f>Valores!$C$25</f>
        <v>1122.78</v>
      </c>
      <c r="AB122" s="214">
        <v>0</v>
      </c>
      <c r="AC122" s="125">
        <f t="shared" si="12"/>
        <v>0</v>
      </c>
      <c r="AD122" s="125">
        <f>Valores!$C$26</f>
        <v>1122.78</v>
      </c>
      <c r="AE122" s="192">
        <v>0</v>
      </c>
      <c r="AF122" s="125">
        <f>ROUND(AE122*Valores!$C$2,2)</f>
        <v>0</v>
      </c>
      <c r="AG122" s="125">
        <f>ROUND(IF($F$4="NO",Valores!$C$63,Valores!$C$63/2),2)</f>
        <v>12836.3</v>
      </c>
      <c r="AH122" s="125">
        <f t="shared" si="15"/>
        <v>399781.67000000004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-43975.983700000004</v>
      </c>
      <c r="AO122" s="125">
        <f>AH122*-Valores!$C$72</f>
        <v>0</v>
      </c>
      <c r="AP122" s="125">
        <f>AH122*Valores!$C$73</f>
        <v>-17990.175150000003</v>
      </c>
      <c r="AQ122" s="125">
        <f>Valores!$C$100</f>
        <v>-554.86</v>
      </c>
      <c r="AR122" s="125">
        <f>IF($F$5=0,Valores!$C$101,(Valores!$C$101+$F$5*(Valores!$C$101)))</f>
        <v>-852</v>
      </c>
      <c r="AS122" s="125">
        <f t="shared" si="16"/>
        <v>336408.65115000005</v>
      </c>
      <c r="AT122" s="125">
        <f t="shared" si="10"/>
        <v>-43975.983700000004</v>
      </c>
      <c r="AU122" s="125">
        <f>AH122*Valores!$C$74</f>
        <v>-10794.105090000001</v>
      </c>
      <c r="AV122" s="125">
        <f>AH122*Valores!$C$75</f>
        <v>-1199.3450100000002</v>
      </c>
      <c r="AW122" s="125">
        <f t="shared" si="14"/>
        <v>343812.23620000004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153045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0</v>
      </c>
      <c r="N123" s="125">
        <f t="shared" si="11"/>
        <v>45435.71</v>
      </c>
      <c r="O123" s="125">
        <f>Valores!$C$9</f>
        <v>67480.59</v>
      </c>
      <c r="P123" s="125">
        <f>Valores!$D$5</f>
        <v>27451.439999999999</v>
      </c>
      <c r="Q123" s="125">
        <f>Valores!$C$22</f>
        <v>24491.06</v>
      </c>
      <c r="R123" s="125">
        <f>IF($F$4="NO",Valores!$C$47,Valores!$C$47/2)</f>
        <v>28697.84</v>
      </c>
      <c r="S123" s="125">
        <f>Valores!$C$20</f>
        <v>25282.84</v>
      </c>
      <c r="T123" s="125">
        <f t="shared" si="17"/>
        <v>31603.55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75182.289999999994</v>
      </c>
      <c r="AA123" s="125">
        <f>Valores!$C$25</f>
        <v>1122.78</v>
      </c>
      <c r="AB123" s="214">
        <v>0</v>
      </c>
      <c r="AC123" s="125">
        <f t="shared" si="12"/>
        <v>0</v>
      </c>
      <c r="AD123" s="125">
        <f>Valores!$C$26</f>
        <v>1122.78</v>
      </c>
      <c r="AE123" s="192">
        <v>0</v>
      </c>
      <c r="AF123" s="125">
        <f>ROUND(AE123*Valores!$C$2,2)</f>
        <v>0</v>
      </c>
      <c r="AG123" s="125">
        <f>ROUND(IF($F$4="NO",Valores!$C$63,Valores!$C$63/2),2)</f>
        <v>12836.3</v>
      </c>
      <c r="AH123" s="125">
        <f t="shared" si="15"/>
        <v>468469.34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-51531.627400000005</v>
      </c>
      <c r="AO123" s="125">
        <f>AH123*-Valores!$C$72</f>
        <v>0</v>
      </c>
      <c r="AP123" s="125">
        <f>AH123*Valores!$C$73</f>
        <v>-21081.120299999999</v>
      </c>
      <c r="AQ123" s="125">
        <f>Valores!$C$100</f>
        <v>-554.86</v>
      </c>
      <c r="AR123" s="125">
        <f>IF($F$5=0,Valores!$C$101,(Valores!$C$101+$F$5*(Valores!$C$101)))</f>
        <v>-852</v>
      </c>
      <c r="AS123" s="125">
        <f t="shared" si="16"/>
        <v>394449.73230000003</v>
      </c>
      <c r="AT123" s="125">
        <f t="shared" si="10"/>
        <v>-51531.627400000005</v>
      </c>
      <c r="AU123" s="125">
        <f>AH123*Valores!$C$74</f>
        <v>-12648.672180000001</v>
      </c>
      <c r="AV123" s="125">
        <f>AH123*Valores!$C$75</f>
        <v>-1405.4080200000001</v>
      </c>
      <c r="AW123" s="125">
        <f t="shared" si="14"/>
        <v>402883.6324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93169.5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0</v>
      </c>
      <c r="N124" s="125">
        <f t="shared" si="11"/>
        <v>27791.32</v>
      </c>
      <c r="O124" s="125">
        <f>Valores!$C$16</f>
        <v>46403.78</v>
      </c>
      <c r="P124" s="125">
        <f>Valores!$D$5</f>
        <v>27451.439999999999</v>
      </c>
      <c r="Q124" s="125">
        <v>0</v>
      </c>
      <c r="R124" s="125">
        <f>IF($F$4="NO",Valores!$C$43,Valores!$C$43/2)</f>
        <v>17995.759999999998</v>
      </c>
      <c r="S124" s="125">
        <f>Valores!$C$20</f>
        <v>25282.84</v>
      </c>
      <c r="T124" s="125">
        <f t="shared" si="17"/>
        <v>31603.55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37591.14</v>
      </c>
      <c r="AA124" s="125">
        <f>Valores!$C$25</f>
        <v>1122.78</v>
      </c>
      <c r="AB124" s="214">
        <v>0</v>
      </c>
      <c r="AC124" s="125">
        <f t="shared" si="12"/>
        <v>0</v>
      </c>
      <c r="AD124" s="125">
        <f>Valores!$C$26</f>
        <v>1122.78</v>
      </c>
      <c r="AE124" s="192">
        <v>0</v>
      </c>
      <c r="AF124" s="125">
        <f>ROUND(AE124*Valores!$C$2,2)</f>
        <v>0</v>
      </c>
      <c r="AG124" s="125">
        <f>ROUND(IF($F$4="NO",Valores!$C$63,Valores!$C$63/2),2)</f>
        <v>12836.3</v>
      </c>
      <c r="AH124" s="125">
        <f t="shared" si="15"/>
        <v>297088.35000000003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-32679.718500000003</v>
      </c>
      <c r="AO124" s="125">
        <f>AH124*-Valores!$C$72</f>
        <v>0</v>
      </c>
      <c r="AP124" s="125">
        <f>AH124*Valores!$C$73</f>
        <v>-13368.975750000001</v>
      </c>
      <c r="AQ124" s="125">
        <f>Valores!$C$100</f>
        <v>-554.86</v>
      </c>
      <c r="AR124" s="125">
        <f>IF($F$5=0,Valores!$C$101,(Valores!$C$101+$F$5*(Valores!$C$101)))</f>
        <v>-852</v>
      </c>
      <c r="AS124" s="125">
        <f t="shared" si="16"/>
        <v>249632.79575000005</v>
      </c>
      <c r="AT124" s="125">
        <f t="shared" si="10"/>
        <v>-32679.718500000003</v>
      </c>
      <c r="AU124" s="125">
        <f>AH124*Valores!$C$74</f>
        <v>-8021.3854500000007</v>
      </c>
      <c r="AV124" s="125">
        <f>AH124*Valores!$C$75</f>
        <v>-891.26505000000009</v>
      </c>
      <c r="AW124" s="125">
        <f t="shared" si="14"/>
        <v>255495.98100000003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3866.4</v>
      </c>
      <c r="G125" s="192">
        <v>1590</v>
      </c>
      <c r="H125" s="125">
        <f>ROUND(G125*Valores!$C$2,2)</f>
        <v>85383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0</v>
      </c>
      <c r="N125" s="125">
        <f t="shared" si="11"/>
        <v>26811.29</v>
      </c>
      <c r="O125" s="125">
        <f>Valores!$C$16</f>
        <v>46403.78</v>
      </c>
      <c r="P125" s="125">
        <f>Valores!$D$5</f>
        <v>27451.439999999999</v>
      </c>
      <c r="Q125" s="125">
        <f>Valores!$C$22</f>
        <v>24491.06</v>
      </c>
      <c r="R125" s="125">
        <f>IF($F$4="NO",Valores!$C$43,Valores!$C$43/2)</f>
        <v>17995.759999999998</v>
      </c>
      <c r="S125" s="125">
        <f>Valores!$C$20</f>
        <v>25282.84</v>
      </c>
      <c r="T125" s="125">
        <f t="shared" si="17"/>
        <v>31603.55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37591.14</v>
      </c>
      <c r="AA125" s="125">
        <f>Valores!$C$25</f>
        <v>1122.78</v>
      </c>
      <c r="AB125" s="214">
        <v>0</v>
      </c>
      <c r="AC125" s="125">
        <f t="shared" si="12"/>
        <v>0</v>
      </c>
      <c r="AD125" s="125">
        <f>Valores!$C$26</f>
        <v>1122.78</v>
      </c>
      <c r="AE125" s="192">
        <v>0</v>
      </c>
      <c r="AF125" s="125">
        <f>ROUND(AE125*Valores!$C$2,2)</f>
        <v>0</v>
      </c>
      <c r="AG125" s="125">
        <f>ROUND(IF($F$4="NO",Valores!$C$63,Valores!$C$63/2),2)</f>
        <v>12836.3</v>
      </c>
      <c r="AH125" s="125">
        <f t="shared" si="15"/>
        <v>316679.28000000009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-34834.72080000001</v>
      </c>
      <c r="AO125" s="125">
        <f>AH125*-Valores!$C$72</f>
        <v>0</v>
      </c>
      <c r="AP125" s="125">
        <f>AH125*Valores!$C$73</f>
        <v>-14250.567600000004</v>
      </c>
      <c r="AQ125" s="125">
        <f>Valores!$C$100</f>
        <v>-554.86</v>
      </c>
      <c r="AR125" s="125">
        <f>IF($F$5=0,Valores!$C$101,(Valores!$C$101+$F$5*(Valores!$C$101)))</f>
        <v>-852</v>
      </c>
      <c r="AS125" s="125">
        <f t="shared" si="16"/>
        <v>266187.13160000008</v>
      </c>
      <c r="AT125" s="125">
        <f t="shared" si="10"/>
        <v>-34834.72080000001</v>
      </c>
      <c r="AU125" s="125">
        <f>AH125*Valores!$C$74</f>
        <v>-8550.3405600000024</v>
      </c>
      <c r="AV125" s="125">
        <f>AH125*Valores!$C$75</f>
        <v>-950.0378400000003</v>
      </c>
      <c r="AW125" s="125">
        <f t="shared" si="14"/>
        <v>272344.18080000009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3866.4</v>
      </c>
      <c r="G126" s="192">
        <v>1590</v>
      </c>
      <c r="H126" s="125">
        <f>ROUND(G126*Valores!$C$2,2)</f>
        <v>85383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0</v>
      </c>
      <c r="N126" s="125">
        <f t="shared" si="11"/>
        <v>26811.29</v>
      </c>
      <c r="O126" s="125">
        <f>Valores!$C$16</f>
        <v>46403.78</v>
      </c>
      <c r="P126" s="125">
        <f>Valores!$D$5</f>
        <v>27451.439999999999</v>
      </c>
      <c r="Q126" s="125">
        <f>Valores!$C$22</f>
        <v>24491.06</v>
      </c>
      <c r="R126" s="125">
        <f>IF($F$4="NO",Valores!$C$43,Valores!$C$43/2)</f>
        <v>17995.759999999998</v>
      </c>
      <c r="S126" s="125">
        <f>Valores!$C$20</f>
        <v>25282.84</v>
      </c>
      <c r="T126" s="125">
        <f t="shared" si="17"/>
        <v>31603.55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37591.14</v>
      </c>
      <c r="AA126" s="125">
        <f>Valores!$C$25</f>
        <v>1122.78</v>
      </c>
      <c r="AB126" s="214">
        <v>0</v>
      </c>
      <c r="AC126" s="125">
        <f t="shared" si="12"/>
        <v>0</v>
      </c>
      <c r="AD126" s="125">
        <f>Valores!$C$26</f>
        <v>1122.78</v>
      </c>
      <c r="AE126" s="192">
        <v>94</v>
      </c>
      <c r="AF126" s="125">
        <f>ROUND(AE126*Valores!$C$2,2)</f>
        <v>5047.8</v>
      </c>
      <c r="AG126" s="125">
        <f>ROUND(IF($F$4="NO",Valores!$C$63,Valores!$C$63/2),2)</f>
        <v>12836.3</v>
      </c>
      <c r="AH126" s="125">
        <f t="shared" si="15"/>
        <v>321727.08000000007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-35389.978800000012</v>
      </c>
      <c r="AO126" s="125">
        <f>AH126*-Valores!$C$72</f>
        <v>0</v>
      </c>
      <c r="AP126" s="125">
        <f>AH126*Valores!$C$73</f>
        <v>-14477.718600000002</v>
      </c>
      <c r="AQ126" s="125">
        <f>Valores!$C$100</f>
        <v>-554.86</v>
      </c>
      <c r="AR126" s="125">
        <f>IF($F$5=0,Valores!$C$101,(Valores!$C$101+$F$5*(Valores!$C$101)))</f>
        <v>-852</v>
      </c>
      <c r="AS126" s="125">
        <f t="shared" si="16"/>
        <v>270452.52260000008</v>
      </c>
      <c r="AT126" s="125">
        <f t="shared" si="10"/>
        <v>-35389.978800000012</v>
      </c>
      <c r="AU126" s="125">
        <f>AH126*Valores!$C$74</f>
        <v>-8686.6311600000026</v>
      </c>
      <c r="AV126" s="125">
        <f>AH126*Valores!$C$75</f>
        <v>-965.18124000000023</v>
      </c>
      <c r="AW126" s="125">
        <f t="shared" si="14"/>
        <v>276685.28880000004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4134.8999999999996</v>
      </c>
      <c r="G127" s="192">
        <v>2043</v>
      </c>
      <c r="H127" s="125">
        <f>ROUND(G127*Valores!$C$2,2)</f>
        <v>109709.1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0</v>
      </c>
      <c r="N127" s="125">
        <f t="shared" si="11"/>
        <v>33228.559999999998</v>
      </c>
      <c r="O127" s="125">
        <f>Valores!$C$11</f>
        <v>47882.78</v>
      </c>
      <c r="P127" s="125">
        <f>Valores!$D$5</f>
        <v>27451.439999999999</v>
      </c>
      <c r="Q127" s="125">
        <f>Valores!$C$22</f>
        <v>24491.06</v>
      </c>
      <c r="R127" s="125">
        <f>IF($F$4="NO",Valores!$C$44,Valores!$C$44/2)</f>
        <v>19070.25</v>
      </c>
      <c r="S127" s="125">
        <f>Valores!$C$19</f>
        <v>25544</v>
      </c>
      <c r="T127" s="125">
        <f t="shared" si="17"/>
        <v>31930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37591.14</v>
      </c>
      <c r="AA127" s="125">
        <f>Valores!$C$25</f>
        <v>1122.78</v>
      </c>
      <c r="AB127" s="214">
        <v>0</v>
      </c>
      <c r="AC127" s="125">
        <f t="shared" si="12"/>
        <v>0</v>
      </c>
      <c r="AD127" s="125">
        <f>Valores!$C$26</f>
        <v>1122.78</v>
      </c>
      <c r="AE127" s="192">
        <v>0</v>
      </c>
      <c r="AF127" s="125">
        <f>ROUND(AE127*Valores!$C$2,2)</f>
        <v>0</v>
      </c>
      <c r="AG127" s="125">
        <f>ROUND(IF($F$4="NO",Valores!$C$63,Valores!$C$63/2),2)</f>
        <v>12836.3</v>
      </c>
      <c r="AH127" s="125">
        <f t="shared" si="15"/>
        <v>350571.09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-38562.819900000002</v>
      </c>
      <c r="AO127" s="125">
        <f>AH127*-Valores!$C$72</f>
        <v>0</v>
      </c>
      <c r="AP127" s="125">
        <f>AH127*Valores!$C$73</f>
        <v>-15775.699050000001</v>
      </c>
      <c r="AQ127" s="125">
        <f>Valores!$C$100</f>
        <v>-554.86</v>
      </c>
      <c r="AR127" s="125">
        <f>IF($F$5=0,Valores!$C$101,(Valores!$C$101+$F$5*(Valores!$C$101)))</f>
        <v>-852</v>
      </c>
      <c r="AS127" s="125">
        <f t="shared" si="16"/>
        <v>294825.71105000004</v>
      </c>
      <c r="AT127" s="125">
        <f t="shared" si="10"/>
        <v>-38562.819900000002</v>
      </c>
      <c r="AU127" s="125">
        <f>AH127*Valores!$C$74</f>
        <v>-9465.4194299999999</v>
      </c>
      <c r="AV127" s="125">
        <f>AH127*Valores!$C$75</f>
        <v>-1051.7132700000002</v>
      </c>
      <c r="AW127" s="125">
        <f t="shared" si="14"/>
        <v>301491.13740000001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3275.7</v>
      </c>
      <c r="G128" s="192">
        <v>1217</v>
      </c>
      <c r="H128" s="125">
        <f>ROUND(G128*Valores!$C$2,2)</f>
        <v>65352.9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0</v>
      </c>
      <c r="N128" s="125">
        <f t="shared" si="11"/>
        <v>21656.09</v>
      </c>
      <c r="O128" s="125">
        <f>Valores!$C$16</f>
        <v>46403.78</v>
      </c>
      <c r="P128" s="125">
        <f>Valores!$D$5</f>
        <v>27451.439999999999</v>
      </c>
      <c r="Q128" s="125">
        <f>Valores!$C$22</f>
        <v>24491.06</v>
      </c>
      <c r="R128" s="125">
        <f>IF($F$4="NO",Valores!$C$43,Valores!$C$43/2)</f>
        <v>17995.759999999998</v>
      </c>
      <c r="S128" s="125">
        <f>Valores!$C$19</f>
        <v>25544</v>
      </c>
      <c r="T128" s="125">
        <f t="shared" si="17"/>
        <v>31930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37591.14</v>
      </c>
      <c r="AA128" s="125">
        <f>Valores!$C$25</f>
        <v>1122.78</v>
      </c>
      <c r="AB128" s="214">
        <v>0</v>
      </c>
      <c r="AC128" s="125">
        <f t="shared" si="12"/>
        <v>0</v>
      </c>
      <c r="AD128" s="125">
        <f>Valores!$C$26</f>
        <v>1122.78</v>
      </c>
      <c r="AE128" s="192">
        <v>0</v>
      </c>
      <c r="AF128" s="125">
        <f>ROUND(AE128*Valores!$C$2,2)</f>
        <v>0</v>
      </c>
      <c r="AG128" s="125">
        <f>ROUND(IF($F$4="NO",Valores!$C$63,Valores!$C$63/2),2)</f>
        <v>12836.3</v>
      </c>
      <c r="AH128" s="125">
        <f t="shared" si="15"/>
        <v>291229.73000000004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-32035.270300000004</v>
      </c>
      <c r="AO128" s="125">
        <f>AH128*-Valores!$C$72</f>
        <v>0</v>
      </c>
      <c r="AP128" s="125">
        <f>AH128*Valores!$C$73</f>
        <v>-13105.337850000002</v>
      </c>
      <c r="AQ128" s="125">
        <f>Valores!$C$100</f>
        <v>-554.86</v>
      </c>
      <c r="AR128" s="125">
        <f>IF($F$5=0,Valores!$C$101,(Valores!$C$101+$F$5*(Valores!$C$101)))</f>
        <v>-852</v>
      </c>
      <c r="AS128" s="125">
        <f t="shared" si="16"/>
        <v>244682.26185000004</v>
      </c>
      <c r="AT128" s="125">
        <f t="shared" si="10"/>
        <v>-32035.270300000004</v>
      </c>
      <c r="AU128" s="125">
        <f>AH128*Valores!$C$74</f>
        <v>-7863.2027100000014</v>
      </c>
      <c r="AV128" s="125">
        <f>AH128*Valores!$C$75</f>
        <v>-873.68919000000017</v>
      </c>
      <c r="AW128" s="125">
        <f t="shared" si="14"/>
        <v>250457.56780000005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3866.4</v>
      </c>
      <c r="G129" s="192">
        <v>1206</v>
      </c>
      <c r="H129" s="125">
        <f>ROUND(G129*Valores!$C$2,2)</f>
        <v>64762.2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0</v>
      </c>
      <c r="N129" s="125">
        <f t="shared" si="11"/>
        <v>21656.09</v>
      </c>
      <c r="O129" s="125">
        <f>Valores!$C$16</f>
        <v>46403.78</v>
      </c>
      <c r="P129" s="125">
        <f>Valores!$D$5</f>
        <v>27451.439999999999</v>
      </c>
      <c r="Q129" s="125">
        <f>Valores!$C$22</f>
        <v>24491.06</v>
      </c>
      <c r="R129" s="125">
        <f>IF($F$4="NO",Valores!$C$43,Valores!$C$43/2)</f>
        <v>17995.759999999998</v>
      </c>
      <c r="S129" s="125">
        <f>Valores!$C$19</f>
        <v>25544</v>
      </c>
      <c r="T129" s="125">
        <f t="shared" si="17"/>
        <v>31930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37591.14</v>
      </c>
      <c r="AA129" s="125">
        <f>Valores!$C$25</f>
        <v>1122.78</v>
      </c>
      <c r="AB129" s="214">
        <v>0</v>
      </c>
      <c r="AC129" s="125">
        <f t="shared" si="12"/>
        <v>0</v>
      </c>
      <c r="AD129" s="125">
        <f>Valores!$C$26</f>
        <v>1122.78</v>
      </c>
      <c r="AE129" s="192">
        <v>94</v>
      </c>
      <c r="AF129" s="125">
        <f>ROUND(AE129*Valores!$C$2,2)</f>
        <v>5047.8</v>
      </c>
      <c r="AG129" s="125">
        <f>ROUND(IF($F$4="NO",Valores!$C$63,Valores!$C$63/2),2)</f>
        <v>12836.3</v>
      </c>
      <c r="AH129" s="125">
        <f t="shared" si="15"/>
        <v>296277.53000000003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-32590.528300000002</v>
      </c>
      <c r="AO129" s="125">
        <f>AH129*-Valores!$C$72</f>
        <v>0</v>
      </c>
      <c r="AP129" s="125">
        <f>AH129*Valores!$C$73</f>
        <v>-13332.488850000002</v>
      </c>
      <c r="AQ129" s="125">
        <f>Valores!$C$100</f>
        <v>-554.86</v>
      </c>
      <c r="AR129" s="125">
        <f>IF($F$5=0,Valores!$C$101,(Valores!$C$101+$F$5*(Valores!$C$101)))</f>
        <v>-852</v>
      </c>
      <c r="AS129" s="125">
        <f t="shared" si="16"/>
        <v>248947.65285000001</v>
      </c>
      <c r="AT129" s="125">
        <f t="shared" si="10"/>
        <v>-32590.528300000002</v>
      </c>
      <c r="AU129" s="125">
        <f>AH129*Valores!$C$74</f>
        <v>-7999.4933100000007</v>
      </c>
      <c r="AV129" s="125">
        <f>AH129*Valores!$C$75</f>
        <v>-888.8325900000001</v>
      </c>
      <c r="AW129" s="125">
        <f t="shared" si="14"/>
        <v>254798.67580000003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3275.7</v>
      </c>
      <c r="G130" s="192">
        <v>1217</v>
      </c>
      <c r="H130" s="125">
        <f>ROUND(G130*Valores!$C$2,2)</f>
        <v>65352.9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0</v>
      </c>
      <c r="N130" s="125">
        <f t="shared" si="11"/>
        <v>21656.09</v>
      </c>
      <c r="O130" s="125">
        <f>Valores!$C$16</f>
        <v>46403.78</v>
      </c>
      <c r="P130" s="125">
        <f>Valores!$D$5</f>
        <v>27451.439999999999</v>
      </c>
      <c r="Q130" s="125">
        <v>0</v>
      </c>
      <c r="R130" s="125">
        <f>IF($F$4="NO",Valores!$C$43,Valores!$C$43/2)</f>
        <v>17995.759999999998</v>
      </c>
      <c r="S130" s="125">
        <f>Valores!$C$20</f>
        <v>25282.84</v>
      </c>
      <c r="T130" s="125">
        <f t="shared" si="17"/>
        <v>31603.55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37591.14</v>
      </c>
      <c r="AA130" s="125">
        <f>Valores!$C$25</f>
        <v>1122.78</v>
      </c>
      <c r="AB130" s="214">
        <v>0</v>
      </c>
      <c r="AC130" s="125">
        <f t="shared" si="12"/>
        <v>0</v>
      </c>
      <c r="AD130" s="125">
        <f>Valores!$C$26</f>
        <v>1122.78</v>
      </c>
      <c r="AE130" s="192">
        <v>0</v>
      </c>
      <c r="AF130" s="125">
        <f>ROUND(AE130*Valores!$C$2,2)</f>
        <v>0</v>
      </c>
      <c r="AG130" s="125">
        <f>ROUND(IF($F$4="NO",Valores!$C$63,Valores!$C$63/2),2)</f>
        <v>12836.3</v>
      </c>
      <c r="AH130" s="125">
        <f t="shared" si="15"/>
        <v>266412.21999999997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-29305.344199999996</v>
      </c>
      <c r="AO130" s="125">
        <f>AH130*-Valores!$C$72</f>
        <v>0</v>
      </c>
      <c r="AP130" s="125">
        <f>AH130*Valores!$C$73</f>
        <v>-11988.549899999998</v>
      </c>
      <c r="AQ130" s="125">
        <f>Valores!$C$100</f>
        <v>-554.86</v>
      </c>
      <c r="AR130" s="125">
        <f>IF($F$5=0,Valores!$C$101,(Valores!$C$101+$F$5*(Valores!$C$101)))</f>
        <v>-852</v>
      </c>
      <c r="AS130" s="125">
        <f t="shared" si="16"/>
        <v>223711.46589999998</v>
      </c>
      <c r="AT130" s="125">
        <f t="shared" si="10"/>
        <v>-29305.344199999996</v>
      </c>
      <c r="AU130" s="125">
        <f>AH130*Valores!$C$74</f>
        <v>-7193.1299399999989</v>
      </c>
      <c r="AV130" s="125">
        <f>AH130*Valores!$C$75</f>
        <v>-799.23665999999992</v>
      </c>
      <c r="AW130" s="125">
        <f t="shared" si="14"/>
        <v>229114.50919999997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68628.600000000006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0</v>
      </c>
      <c r="N131" s="125">
        <f t="shared" si="11"/>
        <v>21924.71</v>
      </c>
      <c r="O131" s="125">
        <f>Valores!$C$16</f>
        <v>46403.78</v>
      </c>
      <c r="P131" s="125">
        <f>Valores!$D$5</f>
        <v>27451.439999999999</v>
      </c>
      <c r="Q131" s="125">
        <f>Valores!$C$22</f>
        <v>24491.06</v>
      </c>
      <c r="R131" s="125">
        <f>IF($F$4="NO",Valores!$C$44,Valores!$C$44/2)</f>
        <v>19070.25</v>
      </c>
      <c r="S131" s="125">
        <f>Valores!$C$20</f>
        <v>25282.84</v>
      </c>
      <c r="T131" s="125">
        <f t="shared" si="17"/>
        <v>31603.55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37591.14</v>
      </c>
      <c r="AA131" s="125">
        <f>Valores!$C$25</f>
        <v>1122.78</v>
      </c>
      <c r="AB131" s="214">
        <v>0</v>
      </c>
      <c r="AC131" s="125">
        <f t="shared" si="12"/>
        <v>0</v>
      </c>
      <c r="AD131" s="125">
        <f>Valores!$C$26</f>
        <v>1122.78</v>
      </c>
      <c r="AE131" s="192">
        <v>0</v>
      </c>
      <c r="AF131" s="125">
        <f>ROUND(AE131*Valores!$C$2,2)</f>
        <v>0</v>
      </c>
      <c r="AG131" s="125">
        <f>ROUND(IF($F$4="NO",Valores!$C$63,Valores!$C$63/2),2)</f>
        <v>12836.3</v>
      </c>
      <c r="AH131" s="125">
        <f t="shared" si="15"/>
        <v>292246.39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-32147.102900000002</v>
      </c>
      <c r="AO131" s="125">
        <f>AH131*-Valores!$C$72</f>
        <v>0</v>
      </c>
      <c r="AP131" s="125">
        <f>AH131*Valores!$C$73</f>
        <v>-13151.08755</v>
      </c>
      <c r="AQ131" s="125">
        <f>Valores!$C$100</f>
        <v>-554.86</v>
      </c>
      <c r="AR131" s="125">
        <f>IF($F$5=0,Valores!$C$101,(Valores!$C$101+$F$5*(Valores!$C$101)))</f>
        <v>-852</v>
      </c>
      <c r="AS131" s="125">
        <f t="shared" si="16"/>
        <v>245541.33955</v>
      </c>
      <c r="AT131" s="125">
        <f t="shared" si="10"/>
        <v>-32147.102900000002</v>
      </c>
      <c r="AU131" s="125">
        <f>AH131*Valores!$C$74</f>
        <v>-7890.6525300000003</v>
      </c>
      <c r="AV131" s="125">
        <f>AH131*Valores!$C$75</f>
        <v>-876.73917000000006</v>
      </c>
      <c r="AW131" s="125">
        <f t="shared" si="14"/>
        <v>251331.89540000001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68628.600000000006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0</v>
      </c>
      <c r="N132" s="125">
        <f t="shared" si="11"/>
        <v>21924.71</v>
      </c>
      <c r="O132" s="125">
        <f>Valores!$C$16</f>
        <v>46403.78</v>
      </c>
      <c r="P132" s="125">
        <f>Valores!$D$5</f>
        <v>27451.439999999999</v>
      </c>
      <c r="Q132" s="125">
        <f>Valores!$C$22</f>
        <v>24491.06</v>
      </c>
      <c r="R132" s="125">
        <f>IF($F$4="NO",Valores!$C$44,Valores!$C$44/2)</f>
        <v>19070.25</v>
      </c>
      <c r="S132" s="125">
        <f>Valores!$C$19</f>
        <v>25544</v>
      </c>
      <c r="T132" s="125">
        <f t="shared" si="17"/>
        <v>31930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37591.14</v>
      </c>
      <c r="AA132" s="125">
        <f>Valores!$C$25</f>
        <v>1122.78</v>
      </c>
      <c r="AB132" s="214">
        <v>0</v>
      </c>
      <c r="AC132" s="125">
        <f t="shared" si="12"/>
        <v>0</v>
      </c>
      <c r="AD132" s="125">
        <f>Valores!$C$26</f>
        <v>1122.78</v>
      </c>
      <c r="AE132" s="192">
        <v>94</v>
      </c>
      <c r="AF132" s="125">
        <f>ROUND(AE132*Valores!$C$2,2)</f>
        <v>5047.8</v>
      </c>
      <c r="AG132" s="125">
        <f>ROUND(IF($F$4="NO",Valores!$C$63,Valores!$C$63/2),2)</f>
        <v>12836.3</v>
      </c>
      <c r="AH132" s="125">
        <f t="shared" si="15"/>
        <v>297620.64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-32738.270400000001</v>
      </c>
      <c r="AO132" s="125">
        <f>AH132*-Valores!$C$72</f>
        <v>0</v>
      </c>
      <c r="AP132" s="125">
        <f>AH132*Valores!$C$73</f>
        <v>-13392.9288</v>
      </c>
      <c r="AQ132" s="125">
        <f>Valores!$C$100</f>
        <v>-554.86</v>
      </c>
      <c r="AR132" s="125">
        <f>IF($F$5=0,Valores!$C$101,(Valores!$C$101+$F$5*(Valores!$C$101)))</f>
        <v>-852</v>
      </c>
      <c r="AS132" s="125">
        <f t="shared" si="16"/>
        <v>250082.5808</v>
      </c>
      <c r="AT132" s="125">
        <f t="shared" si="10"/>
        <v>-32738.270400000001</v>
      </c>
      <c r="AU132" s="125">
        <f>AH132*Valores!$C$74</f>
        <v>-8035.7572800000007</v>
      </c>
      <c r="AV132" s="125">
        <f>AH132*Valores!$C$75</f>
        <v>-892.86192000000005</v>
      </c>
      <c r="AW132" s="125">
        <f t="shared" si="14"/>
        <v>255953.75040000002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50263.199999999997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0</v>
      </c>
      <c r="N133" s="125">
        <f t="shared" si="11"/>
        <v>17064.740000000002</v>
      </c>
      <c r="O133" s="125">
        <f>Valores!$C$16</f>
        <v>46403.78</v>
      </c>
      <c r="P133" s="125">
        <f>Valores!$D$5</f>
        <v>27451.439999999999</v>
      </c>
      <c r="Q133" s="125">
        <f>Valores!$C$23</f>
        <v>22794.65</v>
      </c>
      <c r="R133" s="125">
        <f>IF($F$4="NO",Valores!$C$43,Valores!$C$43/2)</f>
        <v>17995.759999999998</v>
      </c>
      <c r="S133" s="125">
        <f>Valores!$C$20</f>
        <v>25282.84</v>
      </c>
      <c r="T133" s="125">
        <f t="shared" si="17"/>
        <v>31603.55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37591.14</v>
      </c>
      <c r="AA133" s="125">
        <f>Valores!$C$25</f>
        <v>1122.78</v>
      </c>
      <c r="AB133" s="214">
        <v>0</v>
      </c>
      <c r="AC133" s="125">
        <f t="shared" si="12"/>
        <v>0</v>
      </c>
      <c r="AD133" s="125">
        <f>Valores!$C$26</f>
        <v>1122.78</v>
      </c>
      <c r="AE133" s="192">
        <v>94</v>
      </c>
      <c r="AF133" s="125">
        <f>ROUND(AE133*Valores!$C$2,2)</f>
        <v>5047.8</v>
      </c>
      <c r="AG133" s="125">
        <f>ROUND(IF($F$4="NO",Valores!$C$63,Valores!$C$63/2),2)</f>
        <v>12836.3</v>
      </c>
      <c r="AH133" s="125">
        <f t="shared" si="15"/>
        <v>271297.91999999998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-29842.771199999999</v>
      </c>
      <c r="AO133" s="125">
        <f>AH133*-Valores!$C$72</f>
        <v>0</v>
      </c>
      <c r="AP133" s="125">
        <f>AH133*Valores!$C$73</f>
        <v>-12208.406399999998</v>
      </c>
      <c r="AQ133" s="125">
        <f>Valores!$C$100</f>
        <v>-554.86</v>
      </c>
      <c r="AR133" s="125">
        <f>IF($F$5=0,Valores!$C$101,(Valores!$C$101+$F$5*(Valores!$C$101)))</f>
        <v>-852</v>
      </c>
      <c r="AS133" s="125">
        <f t="shared" si="16"/>
        <v>227839.8824</v>
      </c>
      <c r="AT133" s="125">
        <f t="shared" si="10"/>
        <v>-29842.771199999999</v>
      </c>
      <c r="AU133" s="125">
        <f>AH133*Valores!$C$74</f>
        <v>-7325.0438399999994</v>
      </c>
      <c r="AV133" s="125">
        <f>AH133*Valores!$C$75</f>
        <v>-813.89375999999993</v>
      </c>
      <c r="AW133" s="125">
        <f t="shared" si="14"/>
        <v>233316.21119999999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68628.600000000006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0</v>
      </c>
      <c r="N134" s="125">
        <f t="shared" si="11"/>
        <v>21656.09</v>
      </c>
      <c r="O134" s="125">
        <f>Valores!$C$8</f>
        <v>67306.67</v>
      </c>
      <c r="P134" s="125">
        <f>Valores!$D$5</f>
        <v>27451.439999999999</v>
      </c>
      <c r="Q134" s="125">
        <v>0</v>
      </c>
      <c r="R134" s="125">
        <f>IF($F$4="NO",Valores!$C$43,Valores!$C$43/2)</f>
        <v>17995.759999999998</v>
      </c>
      <c r="S134" s="125">
        <f>Valores!$C$20</f>
        <v>25282.84</v>
      </c>
      <c r="T134" s="125">
        <f t="shared" si="17"/>
        <v>31603.55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37591.14</v>
      </c>
      <c r="AA134" s="125">
        <f>Valores!$C$25</f>
        <v>1122.78</v>
      </c>
      <c r="AB134" s="214">
        <v>0</v>
      </c>
      <c r="AC134" s="125">
        <f t="shared" si="12"/>
        <v>0</v>
      </c>
      <c r="AD134" s="125">
        <f>Valores!$C$26</f>
        <v>1122.78</v>
      </c>
      <c r="AE134" s="192">
        <v>94</v>
      </c>
      <c r="AF134" s="125">
        <f>ROUND(AE134*Valores!$C$2,2)</f>
        <v>5047.8</v>
      </c>
      <c r="AG134" s="125">
        <f>ROUND(IF($F$4="NO",Valores!$C$63,Valores!$C$63/2),2)</f>
        <v>12836.3</v>
      </c>
      <c r="AH134" s="125">
        <f t="shared" si="15"/>
        <v>292362.91000000003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-32159.920100000003</v>
      </c>
      <c r="AO134" s="125">
        <f>AH134*-Valores!$C$72</f>
        <v>0</v>
      </c>
      <c r="AP134" s="125">
        <f>AH134*Valores!$C$73</f>
        <v>-13156.330950000001</v>
      </c>
      <c r="AQ134" s="125">
        <f>Valores!$C$100</f>
        <v>-554.86</v>
      </c>
      <c r="AR134" s="125">
        <f>IF($F$5=0,Valores!$C$101,(Valores!$C$101+$F$5*(Valores!$C$101)))</f>
        <v>-852</v>
      </c>
      <c r="AS134" s="125">
        <f t="shared" si="16"/>
        <v>245639.79895000003</v>
      </c>
      <c r="AT134" s="125">
        <f t="shared" ref="AT134:AT196" si="18">AN134</f>
        <v>-32159.920100000003</v>
      </c>
      <c r="AU134" s="125">
        <f>AH134*Valores!$C$74</f>
        <v>-7893.7985700000008</v>
      </c>
      <c r="AV134" s="125">
        <f>AH134*Valores!$C$75</f>
        <v>-877.08873000000017</v>
      </c>
      <c r="AW134" s="125">
        <f t="shared" si="14"/>
        <v>251432.10260000004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68628.600000000006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0</v>
      </c>
      <c r="N135" s="125">
        <f t="shared" si="11"/>
        <v>21924.71</v>
      </c>
      <c r="O135" s="125">
        <f>Valores!$C$8</f>
        <v>67306.67</v>
      </c>
      <c r="P135" s="125">
        <f>Valores!$D$5</f>
        <v>27451.439999999999</v>
      </c>
      <c r="Q135" s="125">
        <f>Valores!$C$22</f>
        <v>24491.06</v>
      </c>
      <c r="R135" s="125">
        <f>IF($F$4="NO",Valores!$C$44,Valores!$C$44/2)</f>
        <v>19070.25</v>
      </c>
      <c r="S135" s="125">
        <f>Valores!$C$19</f>
        <v>25544</v>
      </c>
      <c r="T135" s="125">
        <f t="shared" si="17"/>
        <v>31930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37591.14</v>
      </c>
      <c r="AA135" s="125">
        <f>Valores!$C$25</f>
        <v>1122.78</v>
      </c>
      <c r="AB135" s="214">
        <v>0</v>
      </c>
      <c r="AC135" s="125">
        <f t="shared" si="12"/>
        <v>0</v>
      </c>
      <c r="AD135" s="125">
        <f>Valores!$C$26</f>
        <v>1122.78</v>
      </c>
      <c r="AE135" s="192">
        <v>0</v>
      </c>
      <c r="AF135" s="125">
        <f>ROUND(AE135*Valores!$C$2,2)</f>
        <v>0</v>
      </c>
      <c r="AG135" s="125">
        <f>ROUND(IF($F$4="NO",Valores!$C$63,Valores!$C$63/2),2)</f>
        <v>12836.3</v>
      </c>
      <c r="AH135" s="125">
        <f t="shared" si="15"/>
        <v>313475.73000000004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-34482.330300000001</v>
      </c>
      <c r="AO135" s="125">
        <f>AH135*-Valores!$C$72</f>
        <v>0</v>
      </c>
      <c r="AP135" s="125">
        <f>AH135*Valores!$C$73</f>
        <v>-14106.407850000001</v>
      </c>
      <c r="AQ135" s="125">
        <f>Valores!$C$100</f>
        <v>-554.86</v>
      </c>
      <c r="AR135" s="125">
        <f>IF($F$5=0,Valores!$C$101,(Valores!$C$101+$F$5*(Valores!$C$101)))</f>
        <v>-852</v>
      </c>
      <c r="AS135" s="125">
        <f t="shared" si="16"/>
        <v>263480.13185000001</v>
      </c>
      <c r="AT135" s="125">
        <f t="shared" si="18"/>
        <v>-34482.330300000001</v>
      </c>
      <c r="AU135" s="125">
        <f>AH135*Valores!$C$74</f>
        <v>-8463.8447100000012</v>
      </c>
      <c r="AV135" s="125">
        <f>AH135*Valores!$C$75</f>
        <v>-940.42719000000011</v>
      </c>
      <c r="AW135" s="125">
        <f t="shared" si="14"/>
        <v>269589.12780000002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68628.600000000006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0</v>
      </c>
      <c r="N136" s="125">
        <f t="shared" ref="N136:N199" si="19">ROUND(SUM(F136,H136,J136,L136,X136,R136)*$H$2,2)</f>
        <v>21924.71</v>
      </c>
      <c r="O136" s="125">
        <f>Valores!$C$8</f>
        <v>67306.67</v>
      </c>
      <c r="P136" s="125">
        <f>Valores!$D$5</f>
        <v>27451.439999999999</v>
      </c>
      <c r="Q136" s="125">
        <f>Valores!$C$22</f>
        <v>24491.06</v>
      </c>
      <c r="R136" s="125">
        <f>IF($F$4="NO",Valores!$C$44,Valores!$C$44/2)</f>
        <v>19070.25</v>
      </c>
      <c r="S136" s="125">
        <f>Valores!$C$19</f>
        <v>25544</v>
      </c>
      <c r="T136" s="125">
        <f t="shared" si="17"/>
        <v>31930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37591.14</v>
      </c>
      <c r="AA136" s="125">
        <f>Valores!$C$25</f>
        <v>1122.78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1122.78</v>
      </c>
      <c r="AE136" s="192">
        <v>0</v>
      </c>
      <c r="AF136" s="125">
        <f>ROUND(AE136*Valores!$C$2,2)</f>
        <v>0</v>
      </c>
      <c r="AG136" s="125">
        <f>ROUND(IF($F$4="NO",Valores!$C$63,Valores!$C$63/2),2)</f>
        <v>12836.3</v>
      </c>
      <c r="AH136" s="125">
        <f t="shared" si="15"/>
        <v>313475.73000000004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-34482.330300000001</v>
      </c>
      <c r="AO136" s="125">
        <f>AH136*-Valores!$C$72</f>
        <v>0</v>
      </c>
      <c r="AP136" s="125">
        <f>AH136*Valores!$C$73</f>
        <v>-14106.407850000001</v>
      </c>
      <c r="AQ136" s="125">
        <f>Valores!$C$100</f>
        <v>-554.86</v>
      </c>
      <c r="AR136" s="125">
        <f>IF($F$5=0,Valores!$C$101,(Valores!$C$101+$F$5*(Valores!$C$101)))</f>
        <v>-852</v>
      </c>
      <c r="AS136" s="125">
        <f t="shared" si="16"/>
        <v>263480.13185000001</v>
      </c>
      <c r="AT136" s="125">
        <f t="shared" si="18"/>
        <v>-34482.330300000001</v>
      </c>
      <c r="AU136" s="125">
        <f>AH136*Valores!$C$74</f>
        <v>-8463.8447100000012</v>
      </c>
      <c r="AV136" s="125">
        <f>AH136*Valores!$C$75</f>
        <v>-940.42719000000011</v>
      </c>
      <c r="AW136" s="125">
        <f t="shared" ref="AW136:AW199" si="22">AH136+AM136+SUM(AT136:AV136)</f>
        <v>269589.12780000002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68628.600000000006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0</v>
      </c>
      <c r="N137" s="125">
        <f t="shared" si="19"/>
        <v>21924.71</v>
      </c>
      <c r="O137" s="125">
        <f>Valores!$C$16</f>
        <v>46403.78</v>
      </c>
      <c r="P137" s="125">
        <f>Valores!$D$5</f>
        <v>27451.439999999999</v>
      </c>
      <c r="Q137" s="125">
        <v>0</v>
      </c>
      <c r="R137" s="125">
        <f>IF($F$4="NO",Valores!$C$44,Valores!$C$44/2)</f>
        <v>19070.25</v>
      </c>
      <c r="S137" s="125">
        <f>Valores!$C$19</f>
        <v>25544</v>
      </c>
      <c r="T137" s="125">
        <f t="shared" si="17"/>
        <v>31930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37591.14</v>
      </c>
      <c r="AA137" s="125">
        <f>Valores!$C$25</f>
        <v>1122.78</v>
      </c>
      <c r="AB137" s="214">
        <v>0</v>
      </c>
      <c r="AC137" s="125">
        <f t="shared" si="20"/>
        <v>0</v>
      </c>
      <c r="AD137" s="125">
        <f>Valores!$C$26</f>
        <v>1122.78</v>
      </c>
      <c r="AE137" s="192">
        <v>0</v>
      </c>
      <c r="AF137" s="125">
        <f>ROUND(AE137*Valores!$C$2,2)</f>
        <v>0</v>
      </c>
      <c r="AG137" s="125">
        <f>ROUND(IF($F$4="NO",Valores!$C$63,Valores!$C$63/2),2)</f>
        <v>12836.3</v>
      </c>
      <c r="AH137" s="125">
        <f t="shared" ref="AH137:AH200" si="23">SUM(F137,H137,J137,L137,M137,N137,O137,P137,Q137,R137,T137,U137,V137,X137,Y137,Z137,AA137,AC137,AD137,AF137,AG137)</f>
        <v>268081.77999999997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-29488.995799999997</v>
      </c>
      <c r="AO137" s="125">
        <f>AH137*-Valores!$C$72</f>
        <v>0</v>
      </c>
      <c r="AP137" s="125">
        <f>AH137*Valores!$C$73</f>
        <v>-12063.680099999998</v>
      </c>
      <c r="AQ137" s="125">
        <f>Valores!$C$100</f>
        <v>-554.86</v>
      </c>
      <c r="AR137" s="125">
        <f>IF($F$5=0,Valores!$C$101,(Valores!$C$101+$F$5*(Valores!$C$101)))</f>
        <v>-852</v>
      </c>
      <c r="AS137" s="125">
        <f t="shared" ref="AS137:AS200" si="24">AH137+SUM(AM137:AR137)</f>
        <v>225122.24409999998</v>
      </c>
      <c r="AT137" s="125">
        <f t="shared" si="18"/>
        <v>-29488.995799999997</v>
      </c>
      <c r="AU137" s="125">
        <f>AH137*Valores!$C$74</f>
        <v>-7238.208059999999</v>
      </c>
      <c r="AV137" s="125">
        <f>AH137*Valores!$C$75</f>
        <v>-804.24533999999994</v>
      </c>
      <c r="AW137" s="125">
        <f t="shared" si="22"/>
        <v>230550.33079999997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33079.199999999997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0</v>
      </c>
      <c r="N138" s="125">
        <f t="shared" si="19"/>
        <v>13037.36</v>
      </c>
      <c r="O138" s="125">
        <f>Valores!$C$8</f>
        <v>67306.67</v>
      </c>
      <c r="P138" s="125">
        <f>Valores!$D$5</f>
        <v>27451.439999999999</v>
      </c>
      <c r="Q138" s="125">
        <f>Valores!$C$22</f>
        <v>24491.06</v>
      </c>
      <c r="R138" s="125">
        <f>IF($F$4="NO",Valores!$C$44,Valores!$C$44/2)</f>
        <v>19070.25</v>
      </c>
      <c r="S138" s="125">
        <f>Valores!$C$19</f>
        <v>25544</v>
      </c>
      <c r="T138" s="125">
        <f t="shared" si="17"/>
        <v>31930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37591.14</v>
      </c>
      <c r="AA138" s="125">
        <f>Valores!$C$25</f>
        <v>1122.78</v>
      </c>
      <c r="AB138" s="214">
        <v>0</v>
      </c>
      <c r="AC138" s="125">
        <f t="shared" si="20"/>
        <v>0</v>
      </c>
      <c r="AD138" s="125">
        <f>Valores!$C$26</f>
        <v>1122.78</v>
      </c>
      <c r="AE138" s="192">
        <v>0</v>
      </c>
      <c r="AF138" s="125">
        <f>ROUND(AE138*Valores!$C$2,2)</f>
        <v>0</v>
      </c>
      <c r="AG138" s="125">
        <f>ROUND(IF($F$4="NO",Valores!$C$63,Valores!$C$63/2),2)</f>
        <v>12836.3</v>
      </c>
      <c r="AH138" s="125">
        <f t="shared" si="23"/>
        <v>269038.98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-29594.287799999998</v>
      </c>
      <c r="AO138" s="125">
        <f>AH138*-Valores!$C$72</f>
        <v>0</v>
      </c>
      <c r="AP138" s="125">
        <f>AH138*Valores!$C$73</f>
        <v>-12106.754099999998</v>
      </c>
      <c r="AQ138" s="125">
        <f>Valores!$C$100</f>
        <v>-554.86</v>
      </c>
      <c r="AR138" s="125">
        <f>IF($F$5=0,Valores!$C$101,(Valores!$C$101+$F$5*(Valores!$C$101)))</f>
        <v>-852</v>
      </c>
      <c r="AS138" s="125">
        <f t="shared" si="24"/>
        <v>225931.07809999998</v>
      </c>
      <c r="AT138" s="125">
        <f t="shared" si="18"/>
        <v>-29594.287799999998</v>
      </c>
      <c r="AU138" s="125">
        <f>AH138*Valores!$C$74</f>
        <v>-7264.052459999999</v>
      </c>
      <c r="AV138" s="125">
        <f>AH138*Valores!$C$75</f>
        <v>-807.11694</v>
      </c>
      <c r="AW138" s="125">
        <f t="shared" si="22"/>
        <v>231373.52279999998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68628.600000000006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0</v>
      </c>
      <c r="N139" s="125">
        <f t="shared" si="19"/>
        <v>21924.71</v>
      </c>
      <c r="O139" s="125">
        <f>Valores!$C$16</f>
        <v>46403.78</v>
      </c>
      <c r="P139" s="125">
        <f>Valores!$D$5</f>
        <v>27451.439999999999</v>
      </c>
      <c r="Q139" s="125">
        <v>0</v>
      </c>
      <c r="R139" s="125">
        <f>IF($F$4="NO",Valores!$C$44,Valores!$C$44/2)</f>
        <v>19070.25</v>
      </c>
      <c r="S139" s="125">
        <f>Valores!$C$20</f>
        <v>25282.84</v>
      </c>
      <c r="T139" s="125">
        <f t="shared" ref="T139:T202" si="25">ROUND(S139*(1+$H$2),2)</f>
        <v>31603.55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37591.14</v>
      </c>
      <c r="AA139" s="125">
        <f>Valores!$C$25</f>
        <v>1122.78</v>
      </c>
      <c r="AB139" s="214">
        <v>0</v>
      </c>
      <c r="AC139" s="125">
        <f t="shared" si="20"/>
        <v>0</v>
      </c>
      <c r="AD139" s="125">
        <f>Valores!$C$26</f>
        <v>1122.78</v>
      </c>
      <c r="AE139" s="192">
        <v>0</v>
      </c>
      <c r="AF139" s="125">
        <f>ROUND(AE139*Valores!$C$2,2)</f>
        <v>0</v>
      </c>
      <c r="AG139" s="125">
        <f>ROUND(IF($F$4="NO",Valores!$C$63,Valores!$C$63/2),2)</f>
        <v>12836.3</v>
      </c>
      <c r="AH139" s="125">
        <f t="shared" si="23"/>
        <v>267755.32999999996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-29453.086299999995</v>
      </c>
      <c r="AO139" s="125">
        <f>AH139*-Valores!$C$72</f>
        <v>0</v>
      </c>
      <c r="AP139" s="125">
        <f>AH139*Valores!$C$73</f>
        <v>-12048.989849999998</v>
      </c>
      <c r="AQ139" s="125">
        <f>Valores!$C$100</f>
        <v>-554.86</v>
      </c>
      <c r="AR139" s="125">
        <f>IF($F$5=0,Valores!$C$101,(Valores!$C$101+$F$5*(Valores!$C$101)))</f>
        <v>-852</v>
      </c>
      <c r="AS139" s="125">
        <f t="shared" si="24"/>
        <v>224846.39384999996</v>
      </c>
      <c r="AT139" s="125">
        <f t="shared" si="18"/>
        <v>-29453.086299999995</v>
      </c>
      <c r="AU139" s="125">
        <f>AH139*Valores!$C$74</f>
        <v>-7229.3939099999989</v>
      </c>
      <c r="AV139" s="125">
        <f>AH139*Valores!$C$75</f>
        <v>-803.26598999999987</v>
      </c>
      <c r="AW139" s="125">
        <f t="shared" si="22"/>
        <v>230269.58379999996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106487.1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0</v>
      </c>
      <c r="N140" s="125">
        <f t="shared" si="19"/>
        <v>31389.34</v>
      </c>
      <c r="O140" s="125">
        <f>Valores!$C$8</f>
        <v>67306.67</v>
      </c>
      <c r="P140" s="125">
        <f>Valores!$D$5</f>
        <v>27451.439999999999</v>
      </c>
      <c r="Q140" s="125">
        <f>Valores!$C$22</f>
        <v>24491.06</v>
      </c>
      <c r="R140" s="125">
        <f>IF($F$4="NO",Valores!$C$44,Valores!$C$44/2)</f>
        <v>19070.25</v>
      </c>
      <c r="S140" s="125">
        <f>Valores!$C$19</f>
        <v>25544</v>
      </c>
      <c r="T140" s="125">
        <f t="shared" si="25"/>
        <v>31930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37591.14</v>
      </c>
      <c r="AA140" s="125">
        <f>Valores!$C$25</f>
        <v>1122.78</v>
      </c>
      <c r="AB140" s="214">
        <v>0</v>
      </c>
      <c r="AC140" s="125">
        <f t="shared" si="20"/>
        <v>0</v>
      </c>
      <c r="AD140" s="125">
        <f>Valores!$C$26</f>
        <v>1122.78</v>
      </c>
      <c r="AE140" s="192">
        <v>94</v>
      </c>
      <c r="AF140" s="125">
        <f>ROUND(AE140*Valores!$C$2,2)</f>
        <v>5047.8</v>
      </c>
      <c r="AG140" s="125">
        <f>ROUND(IF($F$4="NO",Valores!$C$63,Valores!$C$63/2),2)</f>
        <v>12836.3</v>
      </c>
      <c r="AH140" s="125">
        <f t="shared" si="23"/>
        <v>365846.66000000003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-40243.132600000004</v>
      </c>
      <c r="AO140" s="125">
        <f>AH140*-Valores!$C$72</f>
        <v>0</v>
      </c>
      <c r="AP140" s="125">
        <f>AH140*Valores!$C$73</f>
        <v>-16463.099700000002</v>
      </c>
      <c r="AQ140" s="125">
        <f>Valores!$C$100</f>
        <v>-554.86</v>
      </c>
      <c r="AR140" s="125">
        <f>IF($F$5=0,Valores!$C$101,(Valores!$C$101+$F$5*(Valores!$C$101)))</f>
        <v>-852</v>
      </c>
      <c r="AS140" s="125">
        <f t="shared" si="24"/>
        <v>307733.56770000001</v>
      </c>
      <c r="AT140" s="125">
        <f t="shared" si="18"/>
        <v>-40243.132600000004</v>
      </c>
      <c r="AU140" s="125">
        <f>AH140*Valores!$C$74</f>
        <v>-9877.8598200000015</v>
      </c>
      <c r="AV140" s="125">
        <f>AH140*Valores!$C$75</f>
        <v>-1097.53998</v>
      </c>
      <c r="AW140" s="125">
        <f t="shared" si="22"/>
        <v>314628.12760000001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73998.600000000006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0</v>
      </c>
      <c r="N141" s="125">
        <f t="shared" si="19"/>
        <v>23267.21</v>
      </c>
      <c r="O141" s="125">
        <f>Valores!$C$16</f>
        <v>46403.78</v>
      </c>
      <c r="P141" s="125">
        <f>Valores!$D$5</f>
        <v>27451.439999999999</v>
      </c>
      <c r="Q141" s="125">
        <f>Valores!$C$22</f>
        <v>24491.06</v>
      </c>
      <c r="R141" s="125">
        <f>IF($F$4="NO",Valores!$C$44,Valores!$C$44/2)</f>
        <v>19070.25</v>
      </c>
      <c r="S141" s="125">
        <f>Valores!$C$20</f>
        <v>25282.84</v>
      </c>
      <c r="T141" s="125">
        <f t="shared" si="25"/>
        <v>31603.55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37591.14</v>
      </c>
      <c r="AA141" s="125">
        <f>Valores!$C$25</f>
        <v>1122.78</v>
      </c>
      <c r="AB141" s="214">
        <v>0</v>
      </c>
      <c r="AC141" s="125">
        <f t="shared" si="20"/>
        <v>0</v>
      </c>
      <c r="AD141" s="125">
        <f>Valores!$C$26</f>
        <v>1122.78</v>
      </c>
      <c r="AE141" s="192">
        <v>0</v>
      </c>
      <c r="AF141" s="125">
        <f>ROUND(AE141*Valores!$C$2,2)</f>
        <v>0</v>
      </c>
      <c r="AG141" s="125">
        <f>ROUND(IF($F$4="NO",Valores!$C$63,Valores!$C$63/2),2)</f>
        <v>12836.3</v>
      </c>
      <c r="AH141" s="125">
        <f t="shared" si="23"/>
        <v>298958.89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-32885.477900000005</v>
      </c>
      <c r="AO141" s="125">
        <f>AH141*-Valores!$C$72</f>
        <v>0</v>
      </c>
      <c r="AP141" s="125">
        <f>AH141*Valores!$C$73</f>
        <v>-13453.15005</v>
      </c>
      <c r="AQ141" s="125">
        <f>Valores!$C$100</f>
        <v>-554.86</v>
      </c>
      <c r="AR141" s="125">
        <f>IF($F$5=0,Valores!$C$101,(Valores!$C$101+$F$5*(Valores!$C$101)))</f>
        <v>-852</v>
      </c>
      <c r="AS141" s="125">
        <f t="shared" si="24"/>
        <v>251213.40205</v>
      </c>
      <c r="AT141" s="125">
        <f t="shared" si="18"/>
        <v>-32885.477900000005</v>
      </c>
      <c r="AU141" s="125">
        <f>AH141*Valores!$C$74</f>
        <v>-8071.8900300000005</v>
      </c>
      <c r="AV141" s="125">
        <f>AH141*Valores!$C$75</f>
        <v>-896.8766700000001</v>
      </c>
      <c r="AW141" s="125">
        <f t="shared" si="22"/>
        <v>257104.64540000001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68628.600000000006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0</v>
      </c>
      <c r="N142" s="125">
        <f t="shared" si="19"/>
        <v>21924.71</v>
      </c>
      <c r="O142" s="125">
        <f>Valores!$C$16</f>
        <v>46403.78</v>
      </c>
      <c r="P142" s="125">
        <f>Valores!$D$5</f>
        <v>27451.439999999999</v>
      </c>
      <c r="Q142" s="125">
        <f>Valores!$C$22</f>
        <v>24491.06</v>
      </c>
      <c r="R142" s="125">
        <f>IF($F$4="NO",Valores!$C$44,Valores!$C$44/2)</f>
        <v>19070.25</v>
      </c>
      <c r="S142" s="125">
        <f>Valores!$C$19</f>
        <v>25544</v>
      </c>
      <c r="T142" s="125">
        <f t="shared" si="25"/>
        <v>31930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37591.14</v>
      </c>
      <c r="AA142" s="125">
        <f>Valores!$C$25</f>
        <v>1122.78</v>
      </c>
      <c r="AB142" s="214">
        <v>0</v>
      </c>
      <c r="AC142" s="125">
        <f t="shared" si="20"/>
        <v>0</v>
      </c>
      <c r="AD142" s="125">
        <f>Valores!$C$26</f>
        <v>1122.78</v>
      </c>
      <c r="AE142" s="192">
        <v>0</v>
      </c>
      <c r="AF142" s="125">
        <f>ROUND(AE142*Valores!$C$2,2)</f>
        <v>0</v>
      </c>
      <c r="AG142" s="125">
        <f>ROUND(IF($F$4="NO",Valores!$C$63,Valores!$C$63/2),2)</f>
        <v>12836.3</v>
      </c>
      <c r="AH142" s="125">
        <f t="shared" si="23"/>
        <v>292572.84000000003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-32183.012400000003</v>
      </c>
      <c r="AO142" s="125">
        <f>AH142*-Valores!$C$72</f>
        <v>0</v>
      </c>
      <c r="AP142" s="125">
        <f>AH142*Valores!$C$73</f>
        <v>-13165.7778</v>
      </c>
      <c r="AQ142" s="125">
        <f>Valores!$C$100</f>
        <v>-554.86</v>
      </c>
      <c r="AR142" s="125">
        <f>IF($F$5=0,Valores!$C$101,(Valores!$C$101+$F$5*(Valores!$C$101)))</f>
        <v>-852</v>
      </c>
      <c r="AS142" s="125">
        <f t="shared" si="24"/>
        <v>245817.18980000002</v>
      </c>
      <c r="AT142" s="125">
        <f t="shared" si="18"/>
        <v>-32183.012400000003</v>
      </c>
      <c r="AU142" s="125">
        <f>AH142*Valores!$C$74</f>
        <v>-7899.4666800000005</v>
      </c>
      <c r="AV142" s="125">
        <f>AH142*Valores!$C$75</f>
        <v>-877.71852000000013</v>
      </c>
      <c r="AW142" s="125">
        <f t="shared" si="22"/>
        <v>251612.64240000001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68628.600000000006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0</v>
      </c>
      <c r="N143" s="125">
        <f t="shared" si="19"/>
        <v>21924.71</v>
      </c>
      <c r="O143" s="125">
        <f>Valores!$C$16</f>
        <v>46403.78</v>
      </c>
      <c r="P143" s="125">
        <f>Valores!$D$5</f>
        <v>27451.439999999999</v>
      </c>
      <c r="Q143" s="125">
        <f>Valores!$C$22</f>
        <v>24491.06</v>
      </c>
      <c r="R143" s="125">
        <f>IF($F$4="NO",Valores!$C$44,Valores!$C$44/2)</f>
        <v>19070.25</v>
      </c>
      <c r="S143" s="125">
        <f>Valores!$C$19</f>
        <v>25544</v>
      </c>
      <c r="T143" s="125">
        <f t="shared" si="25"/>
        <v>31930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37591.14</v>
      </c>
      <c r="AA143" s="125">
        <f>Valores!$C$25</f>
        <v>1122.78</v>
      </c>
      <c r="AB143" s="214">
        <v>0</v>
      </c>
      <c r="AC143" s="125">
        <f t="shared" si="20"/>
        <v>0</v>
      </c>
      <c r="AD143" s="125">
        <f>Valores!$C$26</f>
        <v>1122.78</v>
      </c>
      <c r="AE143" s="192">
        <v>0</v>
      </c>
      <c r="AF143" s="125">
        <f>ROUND(AE143*Valores!$C$2,2)</f>
        <v>0</v>
      </c>
      <c r="AG143" s="125">
        <f>ROUND(IF($F$4="NO",Valores!$C$63,Valores!$C$63/2),2)</f>
        <v>12836.3</v>
      </c>
      <c r="AH143" s="125">
        <f t="shared" si="23"/>
        <v>292572.84000000003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-32183.012400000003</v>
      </c>
      <c r="AO143" s="125">
        <f>AH143*-Valores!$C$72</f>
        <v>0</v>
      </c>
      <c r="AP143" s="125">
        <f>AH143*Valores!$C$73</f>
        <v>-13165.7778</v>
      </c>
      <c r="AQ143" s="125">
        <f>Valores!$C$100</f>
        <v>-554.86</v>
      </c>
      <c r="AR143" s="125">
        <f>IF($F$5=0,Valores!$C$101,(Valores!$C$101+$F$5*(Valores!$C$101)))</f>
        <v>-852</v>
      </c>
      <c r="AS143" s="125">
        <f t="shared" si="24"/>
        <v>245817.18980000002</v>
      </c>
      <c r="AT143" s="125">
        <f t="shared" si="18"/>
        <v>-32183.012400000003</v>
      </c>
      <c r="AU143" s="125">
        <f>AH143*Valores!$C$74</f>
        <v>-7899.4666800000005</v>
      </c>
      <c r="AV143" s="125">
        <f>AH143*Valores!$C$75</f>
        <v>-877.71852000000013</v>
      </c>
      <c r="AW143" s="125">
        <f t="shared" si="22"/>
        <v>251612.64240000001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68628.600000000006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0</v>
      </c>
      <c r="N144" s="125">
        <f t="shared" si="19"/>
        <v>21924.71</v>
      </c>
      <c r="O144" s="125">
        <f>Valores!$C$16</f>
        <v>46403.78</v>
      </c>
      <c r="P144" s="125">
        <f>Valores!$D$5</f>
        <v>27451.439999999999</v>
      </c>
      <c r="Q144" s="125">
        <f>Valores!$C$22</f>
        <v>24491.06</v>
      </c>
      <c r="R144" s="125">
        <f>IF($F$4="NO",Valores!$C$44,Valores!$C$44/2)</f>
        <v>19070.25</v>
      </c>
      <c r="S144" s="125">
        <f>Valores!$C$19</f>
        <v>25544</v>
      </c>
      <c r="T144" s="125">
        <f t="shared" si="25"/>
        <v>31930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37591.14</v>
      </c>
      <c r="AA144" s="125">
        <f>Valores!$C$25</f>
        <v>1122.78</v>
      </c>
      <c r="AB144" s="214">
        <v>0</v>
      </c>
      <c r="AC144" s="125">
        <f t="shared" si="20"/>
        <v>0</v>
      </c>
      <c r="AD144" s="125">
        <f>Valores!$C$26</f>
        <v>1122.78</v>
      </c>
      <c r="AE144" s="192">
        <v>0</v>
      </c>
      <c r="AF144" s="125">
        <f>ROUND(AE144*Valores!$C$2,2)</f>
        <v>0</v>
      </c>
      <c r="AG144" s="125">
        <f>ROUND(IF($F$4="NO",Valores!$C$63,Valores!$C$63/2),2)</f>
        <v>12836.3</v>
      </c>
      <c r="AH144" s="125">
        <f t="shared" si="23"/>
        <v>292572.84000000003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-32183.012400000003</v>
      </c>
      <c r="AO144" s="125">
        <f>AH144*-Valores!$C$72</f>
        <v>0</v>
      </c>
      <c r="AP144" s="125">
        <f>AH144*Valores!$C$73</f>
        <v>-13165.7778</v>
      </c>
      <c r="AQ144" s="125">
        <f>Valores!$C$100</f>
        <v>-554.86</v>
      </c>
      <c r="AR144" s="125">
        <f>IF($F$5=0,Valores!$C$101,(Valores!$C$101+$F$5*(Valores!$C$101)))</f>
        <v>-852</v>
      </c>
      <c r="AS144" s="125">
        <f t="shared" si="24"/>
        <v>245817.18980000002</v>
      </c>
      <c r="AT144" s="125">
        <f t="shared" si="18"/>
        <v>-32183.012400000003</v>
      </c>
      <c r="AU144" s="125">
        <f>AH144*Valores!$C$74</f>
        <v>-7899.4666800000005</v>
      </c>
      <c r="AV144" s="125">
        <f>AH144*Valores!$C$75</f>
        <v>-877.71852000000013</v>
      </c>
      <c r="AW144" s="125">
        <f t="shared" si="22"/>
        <v>251612.64240000001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68628.600000000006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0</v>
      </c>
      <c r="N145" s="125">
        <f t="shared" si="19"/>
        <v>21924.71</v>
      </c>
      <c r="O145" s="125">
        <f>Valores!$C$16</f>
        <v>46403.78</v>
      </c>
      <c r="P145" s="125">
        <f>Valores!$D$5</f>
        <v>27451.439999999999</v>
      </c>
      <c r="Q145" s="125">
        <f>Valores!$C$22</f>
        <v>24491.06</v>
      </c>
      <c r="R145" s="125">
        <f>IF($F$4="NO",Valores!$C$44,Valores!$C$44/2)</f>
        <v>19070.25</v>
      </c>
      <c r="S145" s="125">
        <f>Valores!$C$19</f>
        <v>25544</v>
      </c>
      <c r="T145" s="125">
        <f t="shared" si="25"/>
        <v>31930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37591.14</v>
      </c>
      <c r="AA145" s="125">
        <f>Valores!$C$25</f>
        <v>1122.78</v>
      </c>
      <c r="AB145" s="214">
        <v>0</v>
      </c>
      <c r="AC145" s="125">
        <f t="shared" si="20"/>
        <v>0</v>
      </c>
      <c r="AD145" s="125">
        <f>Valores!$C$26</f>
        <v>1122.78</v>
      </c>
      <c r="AE145" s="192">
        <v>94</v>
      </c>
      <c r="AF145" s="125">
        <f>ROUND(AE145*Valores!$C$2,2)</f>
        <v>5047.8</v>
      </c>
      <c r="AG145" s="125">
        <f>ROUND(IF($F$4="NO",Valores!$C$63,Valores!$C$63/2),2)</f>
        <v>12836.3</v>
      </c>
      <c r="AH145" s="125">
        <f t="shared" si="23"/>
        <v>297620.64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-32738.270400000001</v>
      </c>
      <c r="AO145" s="125">
        <f>AH145*-Valores!$C$72</f>
        <v>0</v>
      </c>
      <c r="AP145" s="125">
        <f>AH145*Valores!$C$73</f>
        <v>-13392.9288</v>
      </c>
      <c r="AQ145" s="125">
        <f>Valores!$C$100</f>
        <v>-554.86</v>
      </c>
      <c r="AR145" s="125">
        <f>IF($F$5=0,Valores!$C$101,(Valores!$C$101+$F$5*(Valores!$C$101)))</f>
        <v>-852</v>
      </c>
      <c r="AS145" s="125">
        <f t="shared" si="24"/>
        <v>250082.5808</v>
      </c>
      <c r="AT145" s="125">
        <f t="shared" si="18"/>
        <v>-32738.270400000001</v>
      </c>
      <c r="AU145" s="125">
        <f>AH145*Valores!$C$74</f>
        <v>-8035.7572800000007</v>
      </c>
      <c r="AV145" s="125">
        <f>AH145*Valores!$C$75</f>
        <v>-892.86192000000005</v>
      </c>
      <c r="AW145" s="125">
        <f t="shared" si="22"/>
        <v>255953.75040000002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68628.600000000006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0</v>
      </c>
      <c r="N146" s="125">
        <f t="shared" si="19"/>
        <v>21924.71</v>
      </c>
      <c r="O146" s="125">
        <f>Valores!$C$16</f>
        <v>46403.78</v>
      </c>
      <c r="P146" s="125">
        <f>Valores!$D$5</f>
        <v>27451.439999999999</v>
      </c>
      <c r="Q146" s="125">
        <f>Valores!$C$22</f>
        <v>24491.06</v>
      </c>
      <c r="R146" s="125">
        <f>IF($F$4="NO",Valores!$C$44,Valores!$C$44/2)</f>
        <v>19070.25</v>
      </c>
      <c r="S146" s="125">
        <f>Valores!$C$19</f>
        <v>25544</v>
      </c>
      <c r="T146" s="125">
        <f t="shared" si="25"/>
        <v>31930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37591.14</v>
      </c>
      <c r="AA146" s="125">
        <f>Valores!$C$25</f>
        <v>1122.78</v>
      </c>
      <c r="AB146" s="214">
        <v>0</v>
      </c>
      <c r="AC146" s="125">
        <f t="shared" si="20"/>
        <v>0</v>
      </c>
      <c r="AD146" s="125">
        <f>Valores!$C$26</f>
        <v>1122.78</v>
      </c>
      <c r="AE146" s="192">
        <v>0</v>
      </c>
      <c r="AF146" s="125">
        <f>ROUND(AE146*Valores!$C$2,2)</f>
        <v>0</v>
      </c>
      <c r="AG146" s="125">
        <f>ROUND(IF($F$4="NO",Valores!$C$63,Valores!$C$63/2),2)</f>
        <v>12836.3</v>
      </c>
      <c r="AH146" s="125">
        <f t="shared" si="23"/>
        <v>292572.84000000003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-32183.012400000003</v>
      </c>
      <c r="AO146" s="125">
        <f>AH146*-Valores!$C$72</f>
        <v>0</v>
      </c>
      <c r="AP146" s="125">
        <f>AH146*Valores!$C$73</f>
        <v>-13165.7778</v>
      </c>
      <c r="AQ146" s="125">
        <f>Valores!$C$100</f>
        <v>-554.86</v>
      </c>
      <c r="AR146" s="125">
        <f>IF($F$5=0,Valores!$C$101,(Valores!$C$101+$F$5*(Valores!$C$101)))</f>
        <v>-852</v>
      </c>
      <c r="AS146" s="125">
        <f t="shared" si="24"/>
        <v>245817.18980000002</v>
      </c>
      <c r="AT146" s="125">
        <f t="shared" si="18"/>
        <v>-32183.012400000003</v>
      </c>
      <c r="AU146" s="125">
        <f>AH146*Valores!$C$74</f>
        <v>-7899.4666800000005</v>
      </c>
      <c r="AV146" s="125">
        <f>AH146*Valores!$C$75</f>
        <v>-877.71852000000013</v>
      </c>
      <c r="AW146" s="125">
        <f t="shared" si="22"/>
        <v>251612.64240000001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68628.600000000006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0</v>
      </c>
      <c r="N147" s="125">
        <f t="shared" si="19"/>
        <v>21924.71</v>
      </c>
      <c r="O147" s="125">
        <f>Valores!$C$16</f>
        <v>46403.78</v>
      </c>
      <c r="P147" s="125">
        <f>Valores!$D$5</f>
        <v>27451.439999999999</v>
      </c>
      <c r="Q147" s="125">
        <v>0</v>
      </c>
      <c r="R147" s="125">
        <f>IF($F$4="NO",Valores!$C$44,Valores!$C$44/2)</f>
        <v>19070.25</v>
      </c>
      <c r="S147" s="125">
        <f>Valores!$C$20</f>
        <v>25282.84</v>
      </c>
      <c r="T147" s="125">
        <f t="shared" si="25"/>
        <v>31603.55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37591.14</v>
      </c>
      <c r="AA147" s="125">
        <f>Valores!$C$25</f>
        <v>1122.78</v>
      </c>
      <c r="AB147" s="214">
        <v>0</v>
      </c>
      <c r="AC147" s="125">
        <f t="shared" si="20"/>
        <v>0</v>
      </c>
      <c r="AD147" s="125">
        <f>Valores!$C$26</f>
        <v>1122.78</v>
      </c>
      <c r="AE147" s="192">
        <v>0</v>
      </c>
      <c r="AF147" s="125">
        <f>ROUND(AE147*Valores!$C$2,2)</f>
        <v>0</v>
      </c>
      <c r="AG147" s="125">
        <f>ROUND(IF($F$4="NO",Valores!$C$63,Valores!$C$63/2),2)</f>
        <v>12836.3</v>
      </c>
      <c r="AH147" s="125">
        <f t="shared" si="23"/>
        <v>267755.32999999996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-29453.086299999995</v>
      </c>
      <c r="AO147" s="125">
        <f>AH147*-Valores!$C$72</f>
        <v>0</v>
      </c>
      <c r="AP147" s="125">
        <f>AH147*Valores!$C$73</f>
        <v>-12048.989849999998</v>
      </c>
      <c r="AQ147" s="125">
        <f>Valores!$C$100</f>
        <v>-554.86</v>
      </c>
      <c r="AR147" s="125">
        <f>IF($F$5=0,Valores!$C$101,(Valores!$C$101+$F$5*(Valores!$C$101)))</f>
        <v>-852</v>
      </c>
      <c r="AS147" s="125">
        <f t="shared" si="24"/>
        <v>224846.39384999996</v>
      </c>
      <c r="AT147" s="125">
        <f t="shared" si="18"/>
        <v>-29453.086299999995</v>
      </c>
      <c r="AU147" s="125">
        <f>AH147*Valores!$C$74</f>
        <v>-7229.3939099999989</v>
      </c>
      <c r="AV147" s="125">
        <f>AH147*Valores!$C$75</f>
        <v>-803.26598999999987</v>
      </c>
      <c r="AW147" s="125">
        <f t="shared" si="22"/>
        <v>230269.58379999996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68628.600000000006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0</v>
      </c>
      <c r="N148" s="125">
        <f t="shared" si="19"/>
        <v>21924.71</v>
      </c>
      <c r="O148" s="125">
        <f>Valores!$C$16</f>
        <v>46403.78</v>
      </c>
      <c r="P148" s="125">
        <f>Valores!$D$5</f>
        <v>27451.439999999999</v>
      </c>
      <c r="Q148" s="125">
        <v>0</v>
      </c>
      <c r="R148" s="125">
        <f>IF($F$4="NO",Valores!$C$44,Valores!$C$44/2)</f>
        <v>19070.25</v>
      </c>
      <c r="S148" s="125">
        <f>Valores!$C$20</f>
        <v>25282.84</v>
      </c>
      <c r="T148" s="125">
        <f t="shared" si="25"/>
        <v>31603.55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37591.14</v>
      </c>
      <c r="AA148" s="125">
        <f>Valores!$C$25</f>
        <v>1122.78</v>
      </c>
      <c r="AB148" s="214">
        <v>0</v>
      </c>
      <c r="AC148" s="125">
        <f t="shared" si="20"/>
        <v>0</v>
      </c>
      <c r="AD148" s="125">
        <f>Valores!$C$26</f>
        <v>1122.78</v>
      </c>
      <c r="AE148" s="192">
        <v>0</v>
      </c>
      <c r="AF148" s="125">
        <f>ROUND(AE148*Valores!$C$2,2)</f>
        <v>0</v>
      </c>
      <c r="AG148" s="125">
        <f>ROUND(IF($F$4="NO",Valores!$C$63,Valores!$C$63/2),2)</f>
        <v>12836.3</v>
      </c>
      <c r="AH148" s="125">
        <f t="shared" si="23"/>
        <v>267755.32999999996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-29453.086299999995</v>
      </c>
      <c r="AO148" s="125">
        <f>AH148*-Valores!$C$72</f>
        <v>0</v>
      </c>
      <c r="AP148" s="125">
        <f>AH148*Valores!$C$73</f>
        <v>-12048.989849999998</v>
      </c>
      <c r="AQ148" s="125">
        <f>Valores!$C$100</f>
        <v>-554.86</v>
      </c>
      <c r="AR148" s="125">
        <f>IF($F$5=0,Valores!$C$101,(Valores!$C$101+$F$5*(Valores!$C$101)))</f>
        <v>-852</v>
      </c>
      <c r="AS148" s="125">
        <f t="shared" si="24"/>
        <v>224846.39384999996</v>
      </c>
      <c r="AT148" s="125">
        <f t="shared" si="18"/>
        <v>-29453.086299999995</v>
      </c>
      <c r="AU148" s="125">
        <f>AH148*Valores!$C$74</f>
        <v>-7229.3939099999989</v>
      </c>
      <c r="AV148" s="125">
        <f>AH148*Valores!$C$75</f>
        <v>-803.26598999999987</v>
      </c>
      <c r="AW148" s="125">
        <f t="shared" si="22"/>
        <v>230269.58379999996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56922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0</v>
      </c>
      <c r="N149" s="125">
        <f t="shared" si="19"/>
        <v>18998.060000000001</v>
      </c>
      <c r="O149" s="125">
        <f>Valores!$C$16</f>
        <v>46403.78</v>
      </c>
      <c r="P149" s="125">
        <f>Valores!$D$5</f>
        <v>27451.439999999999</v>
      </c>
      <c r="Q149" s="125">
        <f>Valores!$C$22</f>
        <v>24491.06</v>
      </c>
      <c r="R149" s="125">
        <f>IF($F$4="NO",Valores!$C$44,Valores!$C$44/2)</f>
        <v>19070.25</v>
      </c>
      <c r="S149" s="125">
        <f>Valores!$C$19</f>
        <v>25544</v>
      </c>
      <c r="T149" s="125">
        <f t="shared" si="25"/>
        <v>31930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37591.14</v>
      </c>
      <c r="AA149" s="125">
        <f>Valores!$C$25</f>
        <v>1122.78</v>
      </c>
      <c r="AB149" s="214">
        <v>0</v>
      </c>
      <c r="AC149" s="125">
        <f t="shared" si="20"/>
        <v>0</v>
      </c>
      <c r="AD149" s="125">
        <f>Valores!$C$26</f>
        <v>1122.78</v>
      </c>
      <c r="AE149" s="192">
        <v>0</v>
      </c>
      <c r="AF149" s="125">
        <f>ROUND(AE149*Valores!$C$2,2)</f>
        <v>0</v>
      </c>
      <c r="AG149" s="125">
        <f>ROUND(IF($F$4="NO",Valores!$C$63,Valores!$C$63/2),2)</f>
        <v>12836.3</v>
      </c>
      <c r="AH149" s="125">
        <f t="shared" si="23"/>
        <v>277939.59000000003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-30573.354900000002</v>
      </c>
      <c r="AO149" s="125">
        <f>AH149*-Valores!$C$72</f>
        <v>0</v>
      </c>
      <c r="AP149" s="125">
        <f>AH149*Valores!$C$73</f>
        <v>-12507.281550000002</v>
      </c>
      <c r="AQ149" s="125">
        <f>Valores!$C$100</f>
        <v>-554.86</v>
      </c>
      <c r="AR149" s="125">
        <f>IF($F$5=0,Valores!$C$101,(Valores!$C$101+$F$5*(Valores!$C$101)))</f>
        <v>-852</v>
      </c>
      <c r="AS149" s="125">
        <f t="shared" si="24"/>
        <v>233452.09355000002</v>
      </c>
      <c r="AT149" s="125">
        <f t="shared" si="18"/>
        <v>-30573.354900000002</v>
      </c>
      <c r="AU149" s="125">
        <f>AH149*Valores!$C$74</f>
        <v>-7504.3689300000005</v>
      </c>
      <c r="AV149" s="125">
        <f>AH149*Valores!$C$75</f>
        <v>-833.81877000000009</v>
      </c>
      <c r="AW149" s="125">
        <f t="shared" si="22"/>
        <v>239028.04740000004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68628.600000000006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0</v>
      </c>
      <c r="N150" s="125">
        <f t="shared" si="19"/>
        <v>21924.71</v>
      </c>
      <c r="O150" s="125">
        <f>Valores!$C$16</f>
        <v>46403.78</v>
      </c>
      <c r="P150" s="125">
        <f>Valores!$D$5</f>
        <v>27451.439999999999</v>
      </c>
      <c r="Q150" s="125">
        <f>Valores!$C$22</f>
        <v>24491.06</v>
      </c>
      <c r="R150" s="125">
        <f>IF($F$4="NO",Valores!$C$44,Valores!$C$44/2)</f>
        <v>19070.25</v>
      </c>
      <c r="S150" s="125">
        <f>Valores!$C$20</f>
        <v>25282.84</v>
      </c>
      <c r="T150" s="125">
        <f t="shared" si="25"/>
        <v>31603.55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37591.14</v>
      </c>
      <c r="AA150" s="125">
        <f>Valores!$C$25</f>
        <v>1122.78</v>
      </c>
      <c r="AB150" s="214">
        <v>0</v>
      </c>
      <c r="AC150" s="125">
        <f t="shared" si="20"/>
        <v>0</v>
      </c>
      <c r="AD150" s="125">
        <f>Valores!$C$26</f>
        <v>1122.78</v>
      </c>
      <c r="AE150" s="192">
        <v>0</v>
      </c>
      <c r="AF150" s="125">
        <f>ROUND(AE150*Valores!$C$2,2)</f>
        <v>0</v>
      </c>
      <c r="AG150" s="125">
        <f>ROUND(IF($F$4="NO",Valores!$C$63,Valores!$C$63/2),2)</f>
        <v>12836.3</v>
      </c>
      <c r="AH150" s="125">
        <f t="shared" si="23"/>
        <v>292246.39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-32147.102900000002</v>
      </c>
      <c r="AO150" s="125">
        <f>AH150*-Valores!$C$72</f>
        <v>0</v>
      </c>
      <c r="AP150" s="125">
        <f>AH150*Valores!$C$73</f>
        <v>-13151.08755</v>
      </c>
      <c r="AQ150" s="125">
        <f>Valores!$C$100</f>
        <v>-554.86</v>
      </c>
      <c r="AR150" s="125">
        <f>IF($F$5=0,Valores!$C$101,(Valores!$C$101+$F$5*(Valores!$C$101)))</f>
        <v>-852</v>
      </c>
      <c r="AS150" s="125">
        <f t="shared" si="24"/>
        <v>245541.33955</v>
      </c>
      <c r="AT150" s="125">
        <f t="shared" si="18"/>
        <v>-32147.102900000002</v>
      </c>
      <c r="AU150" s="125">
        <f>AH150*Valores!$C$74</f>
        <v>-7890.6525300000003</v>
      </c>
      <c r="AV150" s="125">
        <f>AH150*Valores!$C$75</f>
        <v>-876.73917000000006</v>
      </c>
      <c r="AW150" s="125">
        <f t="shared" si="22"/>
        <v>251331.89540000001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68628.600000000006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0</v>
      </c>
      <c r="N151" s="125">
        <f t="shared" si="19"/>
        <v>21924.71</v>
      </c>
      <c r="O151" s="125">
        <f>Valores!$C$16</f>
        <v>46403.78</v>
      </c>
      <c r="P151" s="125">
        <f>Valores!$D$5</f>
        <v>27451.439999999999</v>
      </c>
      <c r="Q151" s="125">
        <f>Valores!$C$22</f>
        <v>24491.06</v>
      </c>
      <c r="R151" s="125">
        <f>IF($F$4="NO",Valores!$C$44,Valores!$C$44/2)</f>
        <v>19070.25</v>
      </c>
      <c r="S151" s="125">
        <f>Valores!$C$19</f>
        <v>25544</v>
      </c>
      <c r="T151" s="125">
        <f t="shared" si="25"/>
        <v>31930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37591.14</v>
      </c>
      <c r="AA151" s="125">
        <f>Valores!$C$25</f>
        <v>1122.78</v>
      </c>
      <c r="AB151" s="214">
        <v>0</v>
      </c>
      <c r="AC151" s="125">
        <f t="shared" si="20"/>
        <v>0</v>
      </c>
      <c r="AD151" s="125">
        <f>Valores!$C$26</f>
        <v>1122.78</v>
      </c>
      <c r="AE151" s="192">
        <v>0</v>
      </c>
      <c r="AF151" s="125">
        <f>ROUND(AE151*Valores!$C$2,2)</f>
        <v>0</v>
      </c>
      <c r="AG151" s="125">
        <f>ROUND(IF($F$4="NO",Valores!$C$63,Valores!$C$63/2),2)</f>
        <v>12836.3</v>
      </c>
      <c r="AH151" s="125">
        <f t="shared" si="23"/>
        <v>292572.84000000003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-32183.012400000003</v>
      </c>
      <c r="AO151" s="125">
        <f>AH151*-Valores!$C$72</f>
        <v>0</v>
      </c>
      <c r="AP151" s="125">
        <f>AH151*Valores!$C$73</f>
        <v>-13165.7778</v>
      </c>
      <c r="AQ151" s="125">
        <f>Valores!$C$100</f>
        <v>-554.86</v>
      </c>
      <c r="AR151" s="125">
        <f>IF($F$5=0,Valores!$C$101,(Valores!$C$101+$F$5*(Valores!$C$101)))</f>
        <v>-852</v>
      </c>
      <c r="AS151" s="125">
        <f t="shared" si="24"/>
        <v>245817.18980000002</v>
      </c>
      <c r="AT151" s="125">
        <f t="shared" si="18"/>
        <v>-32183.012400000003</v>
      </c>
      <c r="AU151" s="125">
        <f>AH151*Valores!$C$74</f>
        <v>-7899.4666800000005</v>
      </c>
      <c r="AV151" s="125">
        <f>AH151*Valores!$C$75</f>
        <v>-877.71852000000013</v>
      </c>
      <c r="AW151" s="125">
        <f t="shared" si="22"/>
        <v>251612.64240000001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57190.5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0</v>
      </c>
      <c r="N152" s="125">
        <f t="shared" si="19"/>
        <v>18796.57</v>
      </c>
      <c r="O152" s="125">
        <f>Valores!$C$16</f>
        <v>46403.78</v>
      </c>
      <c r="P152" s="125">
        <f>Valores!$D$5</f>
        <v>27451.439999999999</v>
      </c>
      <c r="Q152" s="125">
        <f>Valores!$C$23</f>
        <v>22794.65</v>
      </c>
      <c r="R152" s="125">
        <f>IF($F$4="NO",Valores!$C$43,Valores!$C$43/2)</f>
        <v>17995.759999999998</v>
      </c>
      <c r="S152" s="125">
        <f>Valores!$C$19</f>
        <v>25544</v>
      </c>
      <c r="T152" s="125">
        <f t="shared" si="25"/>
        <v>31930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37591.14</v>
      </c>
      <c r="AA152" s="125">
        <f>Valores!$C$25</f>
        <v>1122.78</v>
      </c>
      <c r="AB152" s="214">
        <v>0</v>
      </c>
      <c r="AC152" s="125">
        <f t="shared" si="20"/>
        <v>0</v>
      </c>
      <c r="AD152" s="125">
        <f>Valores!$C$26</f>
        <v>1122.78</v>
      </c>
      <c r="AE152" s="192">
        <v>0</v>
      </c>
      <c r="AF152" s="125">
        <f>ROUND(AE152*Valores!$C$2,2)</f>
        <v>0</v>
      </c>
      <c r="AG152" s="125">
        <f>ROUND(IF($F$4="NO",Valores!$C$63,Valores!$C$63/2),2)</f>
        <v>12836.3</v>
      </c>
      <c r="AH152" s="125">
        <f t="shared" si="23"/>
        <v>275235.7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-30275.927</v>
      </c>
      <c r="AO152" s="125">
        <f>AH152*-Valores!$C$72</f>
        <v>0</v>
      </c>
      <c r="AP152" s="125">
        <f>AH152*Valores!$C$73</f>
        <v>-12385.6065</v>
      </c>
      <c r="AQ152" s="125">
        <f>Valores!$C$100</f>
        <v>-554.86</v>
      </c>
      <c r="AR152" s="125">
        <f>IF($F$5=0,Valores!$C$101,(Valores!$C$101+$F$5*(Valores!$C$101)))</f>
        <v>-852</v>
      </c>
      <c r="AS152" s="125">
        <f t="shared" si="24"/>
        <v>231167.30650000001</v>
      </c>
      <c r="AT152" s="125">
        <f t="shared" si="18"/>
        <v>-30275.927</v>
      </c>
      <c r="AU152" s="125">
        <f>AH152*Valores!$C$74</f>
        <v>-7431.3639000000003</v>
      </c>
      <c r="AV152" s="125">
        <f>AH152*Valores!$C$75</f>
        <v>-825.70710000000008</v>
      </c>
      <c r="AW152" s="125">
        <f t="shared" si="22"/>
        <v>236702.70200000002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50853.9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0</v>
      </c>
      <c r="N153" s="125">
        <f t="shared" si="19"/>
        <v>17212.419999999998</v>
      </c>
      <c r="O153" s="125">
        <f>Valores!$C$16</f>
        <v>46403.78</v>
      </c>
      <c r="P153" s="125">
        <f>Valores!$D$5</f>
        <v>27451.439999999999</v>
      </c>
      <c r="Q153" s="125">
        <f>Valores!$C$23</f>
        <v>22794.65</v>
      </c>
      <c r="R153" s="125">
        <f>IF($F$4="NO",Valores!$C$43,Valores!$C$43/2)</f>
        <v>17995.759999999998</v>
      </c>
      <c r="S153" s="125">
        <f>Valores!$C$19</f>
        <v>25544</v>
      </c>
      <c r="T153" s="125">
        <f t="shared" si="25"/>
        <v>31930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37591.14</v>
      </c>
      <c r="AA153" s="125">
        <f>Valores!$C$25</f>
        <v>1122.78</v>
      </c>
      <c r="AB153" s="214">
        <v>0</v>
      </c>
      <c r="AC153" s="125">
        <f t="shared" si="20"/>
        <v>0</v>
      </c>
      <c r="AD153" s="125">
        <f>Valores!$C$26</f>
        <v>1122.78</v>
      </c>
      <c r="AE153" s="192">
        <v>0</v>
      </c>
      <c r="AF153" s="125">
        <f>ROUND(AE153*Valores!$C$2,2)</f>
        <v>0</v>
      </c>
      <c r="AG153" s="125">
        <f>ROUND(IF($F$4="NO",Valores!$C$63,Valores!$C$63/2),2)</f>
        <v>12836.3</v>
      </c>
      <c r="AH153" s="125">
        <f t="shared" si="23"/>
        <v>267314.95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-29404.644500000002</v>
      </c>
      <c r="AO153" s="125">
        <f>AH153*-Valores!$C$72</f>
        <v>0</v>
      </c>
      <c r="AP153" s="125">
        <f>AH153*Valores!$C$73</f>
        <v>-12029.17275</v>
      </c>
      <c r="AQ153" s="125">
        <f>Valores!$C$100</f>
        <v>-554.86</v>
      </c>
      <c r="AR153" s="125">
        <f>IF($F$5=0,Valores!$C$101,(Valores!$C$101+$F$5*(Valores!$C$101)))</f>
        <v>-852</v>
      </c>
      <c r="AS153" s="125">
        <f t="shared" si="24"/>
        <v>224474.27275</v>
      </c>
      <c r="AT153" s="125">
        <f t="shared" si="18"/>
        <v>-29404.644500000002</v>
      </c>
      <c r="AU153" s="125">
        <f>AH153*Valores!$C$74</f>
        <v>-7217.5036500000006</v>
      </c>
      <c r="AV153" s="125">
        <f>AH153*Valores!$C$75</f>
        <v>-801.94485000000009</v>
      </c>
      <c r="AW153" s="125">
        <f t="shared" si="22"/>
        <v>229890.85700000002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96660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0</v>
      </c>
      <c r="N154" s="125">
        <f t="shared" si="19"/>
        <v>31339.46</v>
      </c>
      <c r="O154" s="125">
        <f>Valores!$C$8</f>
        <v>67306.67</v>
      </c>
      <c r="P154" s="125">
        <f>Valores!$D$5</f>
        <v>27451.439999999999</v>
      </c>
      <c r="Q154" s="125">
        <f>Valores!$C$22</f>
        <v>24491.06</v>
      </c>
      <c r="R154" s="125">
        <f>IF($F$4="NO",Valores!$C$47,Valores!$C$47/2)</f>
        <v>28697.84</v>
      </c>
      <c r="S154" s="125">
        <f>Valores!$C$19</f>
        <v>25544</v>
      </c>
      <c r="T154" s="125">
        <f t="shared" si="25"/>
        <v>31930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75182.289999999994</v>
      </c>
      <c r="AA154" s="125">
        <f>Valores!$C$25</f>
        <v>1122.78</v>
      </c>
      <c r="AB154" s="214">
        <v>0</v>
      </c>
      <c r="AC154" s="125">
        <f t="shared" si="20"/>
        <v>0</v>
      </c>
      <c r="AD154" s="125">
        <f>Valores!$C$26</f>
        <v>1122.78</v>
      </c>
      <c r="AE154" s="192">
        <v>0</v>
      </c>
      <c r="AF154" s="125">
        <f>ROUND(AE154*Valores!$C$2,2)</f>
        <v>0</v>
      </c>
      <c r="AG154" s="125">
        <f>ROUND(IF($F$4="NO",Valores!$C$63,Valores!$C$63/2),2)</f>
        <v>12836.3</v>
      </c>
      <c r="AH154" s="125">
        <f t="shared" si="23"/>
        <v>398140.62000000005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-43795.468200000003</v>
      </c>
      <c r="AO154" s="125">
        <f>AH154*-Valores!$C$72</f>
        <v>0</v>
      </c>
      <c r="AP154" s="125">
        <f>AH154*Valores!$C$73</f>
        <v>-17916.3279</v>
      </c>
      <c r="AQ154" s="125">
        <f>Valores!$C$100</f>
        <v>-554.86</v>
      </c>
      <c r="AR154" s="125">
        <f>IF($F$5=0,Valores!$C$101,(Valores!$C$101+$F$5*(Valores!$C$101)))</f>
        <v>-852</v>
      </c>
      <c r="AS154" s="125">
        <f t="shared" si="24"/>
        <v>335021.96390000003</v>
      </c>
      <c r="AT154" s="125">
        <f t="shared" si="18"/>
        <v>-43795.468200000003</v>
      </c>
      <c r="AU154" s="125">
        <f>AH154*Valores!$C$74</f>
        <v>-10749.796740000002</v>
      </c>
      <c r="AV154" s="125">
        <f>AH154*Valores!$C$75</f>
        <v>-1194.4218600000002</v>
      </c>
      <c r="AW154" s="125">
        <f t="shared" si="22"/>
        <v>342400.93320000003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68628.600000000006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0</v>
      </c>
      <c r="N155" s="125">
        <f t="shared" si="19"/>
        <v>21924.71</v>
      </c>
      <c r="O155" s="125">
        <f>Valores!$C$8</f>
        <v>67306.67</v>
      </c>
      <c r="P155" s="125">
        <f>Valores!$D$5</f>
        <v>27451.439999999999</v>
      </c>
      <c r="Q155" s="125">
        <f>Valores!$C$22</f>
        <v>24491.06</v>
      </c>
      <c r="R155" s="125">
        <f>IF($F$4="NO",Valores!$C$44,Valores!$C$44/2)</f>
        <v>19070.25</v>
      </c>
      <c r="S155" s="125">
        <f>Valores!$C$19</f>
        <v>25544</v>
      </c>
      <c r="T155" s="125">
        <f t="shared" si="25"/>
        <v>31930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37591.14</v>
      </c>
      <c r="AA155" s="125">
        <f>Valores!$C$25</f>
        <v>1122.78</v>
      </c>
      <c r="AB155" s="214">
        <v>0</v>
      </c>
      <c r="AC155" s="125">
        <f t="shared" si="20"/>
        <v>0</v>
      </c>
      <c r="AD155" s="125">
        <f>Valores!$C$26</f>
        <v>1122.78</v>
      </c>
      <c r="AE155" s="192">
        <v>0</v>
      </c>
      <c r="AF155" s="125">
        <f>ROUND(AE155*Valores!$C$2,2)</f>
        <v>0</v>
      </c>
      <c r="AG155" s="125">
        <f>ROUND(IF($F$4="NO",Valores!$C$63,Valores!$C$63/2),2)</f>
        <v>12836.3</v>
      </c>
      <c r="AH155" s="125">
        <f t="shared" si="23"/>
        <v>313475.73000000004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-34482.330300000001</v>
      </c>
      <c r="AO155" s="125">
        <f>AH155*-Valores!$C$72</f>
        <v>0</v>
      </c>
      <c r="AP155" s="125">
        <f>AH155*Valores!$C$73</f>
        <v>-14106.407850000001</v>
      </c>
      <c r="AQ155" s="125">
        <f>Valores!$C$100</f>
        <v>-554.86</v>
      </c>
      <c r="AR155" s="125">
        <f>IF($F$5=0,Valores!$C$101,(Valores!$C$101+$F$5*(Valores!$C$101)))</f>
        <v>-852</v>
      </c>
      <c r="AS155" s="125">
        <f t="shared" si="24"/>
        <v>263480.13185000001</v>
      </c>
      <c r="AT155" s="125">
        <f t="shared" si="18"/>
        <v>-34482.330300000001</v>
      </c>
      <c r="AU155" s="125">
        <f>AH155*Valores!$C$74</f>
        <v>-8463.8447100000012</v>
      </c>
      <c r="AV155" s="125">
        <f>AH155*Valores!$C$75</f>
        <v>-940.42719000000011</v>
      </c>
      <c r="AW155" s="125">
        <f t="shared" si="22"/>
        <v>269589.12780000002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65191.8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0</v>
      </c>
      <c r="N156" s="125">
        <f t="shared" si="19"/>
        <v>21065.51</v>
      </c>
      <c r="O156" s="125">
        <f>Valores!$C$16</f>
        <v>46403.78</v>
      </c>
      <c r="P156" s="125">
        <f>Valores!$D$5</f>
        <v>27451.439999999999</v>
      </c>
      <c r="Q156" s="125">
        <f>Valores!$C$22</f>
        <v>24491.06</v>
      </c>
      <c r="R156" s="125">
        <f>IF($F$4="NO",Valores!$C$44,Valores!$C$44/2)</f>
        <v>19070.25</v>
      </c>
      <c r="S156" s="125">
        <f>Valores!$C$19</f>
        <v>25544</v>
      </c>
      <c r="T156" s="125">
        <f t="shared" si="25"/>
        <v>31930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37591.14</v>
      </c>
      <c r="AA156" s="125">
        <f>Valores!$C$25</f>
        <v>1122.78</v>
      </c>
      <c r="AB156" s="214">
        <v>0</v>
      </c>
      <c r="AC156" s="125">
        <f t="shared" si="20"/>
        <v>0</v>
      </c>
      <c r="AD156" s="125">
        <f>Valores!$C$26</f>
        <v>1122.78</v>
      </c>
      <c r="AE156" s="192">
        <v>0</v>
      </c>
      <c r="AF156" s="125">
        <f>ROUND(AE156*Valores!$C$2,2)</f>
        <v>0</v>
      </c>
      <c r="AG156" s="125">
        <f>ROUND(IF($F$4="NO",Valores!$C$63,Valores!$C$63/2),2)</f>
        <v>12836.3</v>
      </c>
      <c r="AH156" s="125">
        <f t="shared" si="23"/>
        <v>288276.84000000003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-31710.452400000002</v>
      </c>
      <c r="AO156" s="125">
        <f>AH156*-Valores!$C$72</f>
        <v>0</v>
      </c>
      <c r="AP156" s="125">
        <f>AH156*Valores!$C$73</f>
        <v>-12972.4578</v>
      </c>
      <c r="AQ156" s="125">
        <f>Valores!$C$100</f>
        <v>-554.86</v>
      </c>
      <c r="AR156" s="125">
        <f>IF($F$5=0,Valores!$C$101,(Valores!$C$101+$F$5*(Valores!$C$101)))</f>
        <v>-852</v>
      </c>
      <c r="AS156" s="125">
        <f t="shared" si="24"/>
        <v>242187.06980000003</v>
      </c>
      <c r="AT156" s="125">
        <f t="shared" si="18"/>
        <v>-31710.452400000002</v>
      </c>
      <c r="AU156" s="125">
        <f>AH156*Valores!$C$74</f>
        <v>-7783.4746800000003</v>
      </c>
      <c r="AV156" s="125">
        <f>AH156*Valores!$C$75</f>
        <v>-864.83052000000009</v>
      </c>
      <c r="AW156" s="125">
        <f t="shared" si="22"/>
        <v>247918.08240000001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63580.800000000003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0</v>
      </c>
      <c r="N157" s="125">
        <f t="shared" si="19"/>
        <v>20662.759999999998</v>
      </c>
      <c r="O157" s="125">
        <f>Valores!$C$16</f>
        <v>46403.78</v>
      </c>
      <c r="P157" s="125">
        <f>Valores!$D$5</f>
        <v>27451.439999999999</v>
      </c>
      <c r="Q157" s="125">
        <v>0</v>
      </c>
      <c r="R157" s="125">
        <f>IF($F$4="NO",Valores!$C$44,Valores!$C$44/2)</f>
        <v>19070.25</v>
      </c>
      <c r="S157" s="125">
        <f>Valores!$C$20</f>
        <v>25282.84</v>
      </c>
      <c r="T157" s="125">
        <f t="shared" si="25"/>
        <v>31603.55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37591.14</v>
      </c>
      <c r="AA157" s="125">
        <f>Valores!$C$25</f>
        <v>1122.78</v>
      </c>
      <c r="AB157" s="214">
        <v>0</v>
      </c>
      <c r="AC157" s="125">
        <f t="shared" si="20"/>
        <v>0</v>
      </c>
      <c r="AD157" s="125">
        <f>Valores!$C$26</f>
        <v>1122.78</v>
      </c>
      <c r="AE157" s="192">
        <v>0</v>
      </c>
      <c r="AF157" s="125">
        <f>ROUND(AE157*Valores!$C$2,2)</f>
        <v>0</v>
      </c>
      <c r="AG157" s="125">
        <f>ROUND(IF($F$4="NO",Valores!$C$63,Valores!$C$63/2),2)</f>
        <v>12836.3</v>
      </c>
      <c r="AH157" s="125">
        <f t="shared" si="23"/>
        <v>261445.57999999996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-28759.013799999997</v>
      </c>
      <c r="AO157" s="125">
        <f>AH157*-Valores!$C$72</f>
        <v>0</v>
      </c>
      <c r="AP157" s="125">
        <f>AH157*Valores!$C$73</f>
        <v>-11765.051099999997</v>
      </c>
      <c r="AQ157" s="125">
        <f>Valores!$C$100</f>
        <v>-554.86</v>
      </c>
      <c r="AR157" s="125">
        <f>IF($F$5=0,Valores!$C$101,(Valores!$C$101+$F$5*(Valores!$C$101)))</f>
        <v>-852</v>
      </c>
      <c r="AS157" s="125">
        <f t="shared" si="24"/>
        <v>219514.65509999997</v>
      </c>
      <c r="AT157" s="125">
        <f t="shared" si="18"/>
        <v>-28759.013799999997</v>
      </c>
      <c r="AU157" s="125">
        <f>AH157*Valores!$C$74</f>
        <v>-7059.0306599999985</v>
      </c>
      <c r="AV157" s="125">
        <f>AH157*Valores!$C$75</f>
        <v>-784.33673999999985</v>
      </c>
      <c r="AW157" s="125">
        <f t="shared" si="22"/>
        <v>224843.19879999995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52142.7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0</v>
      </c>
      <c r="N158" s="125">
        <f t="shared" si="19"/>
        <v>17534.62</v>
      </c>
      <c r="O158" s="125">
        <f>Valores!$C$16</f>
        <v>46403.78</v>
      </c>
      <c r="P158" s="125">
        <f>Valores!$D$5</f>
        <v>27451.439999999999</v>
      </c>
      <c r="Q158" s="125">
        <f>Valores!$C$23</f>
        <v>22794.65</v>
      </c>
      <c r="R158" s="125">
        <f>IF($F$4="NO",Valores!$C$43,Valores!$C$43/2)</f>
        <v>17995.759999999998</v>
      </c>
      <c r="S158" s="125">
        <f>Valores!$C$19</f>
        <v>25544</v>
      </c>
      <c r="T158" s="125">
        <f t="shared" si="25"/>
        <v>31930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37591.14</v>
      </c>
      <c r="AA158" s="125">
        <f>Valores!$C$25</f>
        <v>1122.78</v>
      </c>
      <c r="AB158" s="214">
        <v>0</v>
      </c>
      <c r="AC158" s="125">
        <f t="shared" si="20"/>
        <v>0</v>
      </c>
      <c r="AD158" s="125">
        <f>Valores!$C$25</f>
        <v>1122.78</v>
      </c>
      <c r="AE158" s="192">
        <v>0</v>
      </c>
      <c r="AF158" s="125">
        <f>ROUND(AE158*Valores!$C$2,2)</f>
        <v>0</v>
      </c>
      <c r="AG158" s="125">
        <f>ROUND(IF($F$4="NO",Valores!$C$63,Valores!$C$63/2),2)</f>
        <v>12836.3</v>
      </c>
      <c r="AH158" s="125">
        <f t="shared" si="23"/>
        <v>268925.94999999995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-29581.854499999994</v>
      </c>
      <c r="AO158" s="125">
        <f>AH158*-Valores!$C$72</f>
        <v>0</v>
      </c>
      <c r="AP158" s="125">
        <f>AH158*Valores!$C$73</f>
        <v>-12101.667749999997</v>
      </c>
      <c r="AQ158" s="125">
        <f>Valores!$C$100</f>
        <v>-554.86</v>
      </c>
      <c r="AR158" s="125">
        <f>IF($F$5=0,Valores!$C$101,(Valores!$C$101+$F$5*(Valores!$C$101)))</f>
        <v>-852</v>
      </c>
      <c r="AS158" s="125">
        <f t="shared" si="24"/>
        <v>225835.56774999996</v>
      </c>
      <c r="AT158" s="125">
        <f t="shared" si="18"/>
        <v>-29581.854499999994</v>
      </c>
      <c r="AU158" s="125">
        <f>AH158*Valores!$C$74</f>
        <v>-7261.000649999999</v>
      </c>
      <c r="AV158" s="125">
        <f>AH158*Valores!$C$75</f>
        <v>-806.77784999999983</v>
      </c>
      <c r="AW158" s="125">
        <f t="shared" si="22"/>
        <v>231276.31699999995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52142.7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0</v>
      </c>
      <c r="N159" s="125">
        <f t="shared" si="19"/>
        <v>25580.14</v>
      </c>
      <c r="O159" s="125">
        <f>Valores!$C$16</f>
        <v>46403.78</v>
      </c>
      <c r="P159" s="125">
        <f>Valores!$D$5</f>
        <v>27451.439999999999</v>
      </c>
      <c r="Q159" s="125">
        <f>Valores!$C$23</f>
        <v>22794.65</v>
      </c>
      <c r="R159" s="125">
        <f>IF($F$4="NO",Valores!$C$47,Valores!$C$47/2)</f>
        <v>28697.84</v>
      </c>
      <c r="S159" s="125">
        <f>Valores!$C$19</f>
        <v>25544</v>
      </c>
      <c r="T159" s="125">
        <f t="shared" si="25"/>
        <v>31930</v>
      </c>
      <c r="U159" s="125">
        <v>0</v>
      </c>
      <c r="V159" s="125">
        <v>0</v>
      </c>
      <c r="W159" s="192">
        <v>400</v>
      </c>
      <c r="X159" s="125">
        <f>ROUND(W159*Valores!$C$2,2)</f>
        <v>21480</v>
      </c>
      <c r="Y159" s="125">
        <f>ROUND(SUM(J159,H159,F159,R159)*Valores!$C$3,2)</f>
        <v>12126.08</v>
      </c>
      <c r="Z159" s="125">
        <f>Valores!$C$94</f>
        <v>37591.14</v>
      </c>
      <c r="AA159" s="125">
        <f>Valores!$C$25</f>
        <v>1122.78</v>
      </c>
      <c r="AB159" s="214">
        <v>0</v>
      </c>
      <c r="AC159" s="125">
        <f t="shared" si="20"/>
        <v>0</v>
      </c>
      <c r="AD159" s="125">
        <f>Valores!$C$25</f>
        <v>1122.78</v>
      </c>
      <c r="AE159" s="192">
        <v>94</v>
      </c>
      <c r="AF159" s="125">
        <f>ROUND(AE159*Valores!$C$2,2)</f>
        <v>5047.8</v>
      </c>
      <c r="AG159" s="125">
        <f>ROUND(IF($F$4="NO",Valores!$C$63,Valores!$C$63/2),2)</f>
        <v>12836.3</v>
      </c>
      <c r="AH159" s="125">
        <f t="shared" si="23"/>
        <v>326327.43000000005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-35896.017300000007</v>
      </c>
      <c r="AO159" s="125">
        <f>AH159*-Valores!$C$72</f>
        <v>0</v>
      </c>
      <c r="AP159" s="125">
        <f>AH159*Valores!$C$73</f>
        <v>-14684.734350000002</v>
      </c>
      <c r="AQ159" s="125">
        <f>Valores!$C$100</f>
        <v>-554.86</v>
      </c>
      <c r="AR159" s="125">
        <f>IF($F$5=0,Valores!$C$101,(Valores!$C$101+$F$5*(Valores!$C$101)))</f>
        <v>-852</v>
      </c>
      <c r="AS159" s="125">
        <f t="shared" si="24"/>
        <v>274339.81835000007</v>
      </c>
      <c r="AT159" s="125">
        <f t="shared" si="18"/>
        <v>-35896.017300000007</v>
      </c>
      <c r="AU159" s="125">
        <f>AH159*Valores!$C$74</f>
        <v>-8810.8406100000011</v>
      </c>
      <c r="AV159" s="125">
        <f>AH159*Valores!$C$75</f>
        <v>-978.98229000000015</v>
      </c>
      <c r="AW159" s="125">
        <f t="shared" si="22"/>
        <v>280641.58980000007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43497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0</v>
      </c>
      <c r="N160" s="125">
        <f t="shared" si="19"/>
        <v>15373.19</v>
      </c>
      <c r="O160" s="125">
        <f>Valores!$C$16</f>
        <v>46403.78</v>
      </c>
      <c r="P160" s="125">
        <f>Valores!$D$5</f>
        <v>27451.439999999999</v>
      </c>
      <c r="Q160" s="125">
        <f>Valores!$C$23</f>
        <v>22794.65</v>
      </c>
      <c r="R160" s="125">
        <f>IF($F$4="NO",Valores!$C$43,Valores!$C$43/2)</f>
        <v>17995.759999999998</v>
      </c>
      <c r="S160" s="125">
        <f>Valores!$C$20</f>
        <v>25282.84</v>
      </c>
      <c r="T160" s="125">
        <f t="shared" si="25"/>
        <v>31603.55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37591.14</v>
      </c>
      <c r="AA160" s="125">
        <f>Valores!$C$25</f>
        <v>1122.78</v>
      </c>
      <c r="AB160" s="214">
        <v>0</v>
      </c>
      <c r="AC160" s="125">
        <f t="shared" si="20"/>
        <v>0</v>
      </c>
      <c r="AD160" s="125">
        <f>Valores!$C$26</f>
        <v>1122.78</v>
      </c>
      <c r="AE160" s="192">
        <v>0</v>
      </c>
      <c r="AF160" s="125">
        <f>ROUND(AE160*Valores!$C$2,2)</f>
        <v>0</v>
      </c>
      <c r="AG160" s="125">
        <f>ROUND(IF($F$4="NO",Valores!$C$63,Valores!$C$63/2),2)</f>
        <v>12836.3</v>
      </c>
      <c r="AH160" s="125">
        <f t="shared" si="23"/>
        <v>257792.37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-28357.1607</v>
      </c>
      <c r="AO160" s="125">
        <f>AH160*-Valores!$C$72</f>
        <v>0</v>
      </c>
      <c r="AP160" s="125">
        <f>AH160*Valores!$C$73</f>
        <v>-11600.656649999999</v>
      </c>
      <c r="AQ160" s="125">
        <f>Valores!$C$100</f>
        <v>-554.86</v>
      </c>
      <c r="AR160" s="125">
        <f>IF($F$5=0,Valores!$C$101,(Valores!$C$101+$F$5*(Valores!$C$101)))</f>
        <v>-852</v>
      </c>
      <c r="AS160" s="125">
        <f t="shared" si="24"/>
        <v>216427.69264999998</v>
      </c>
      <c r="AT160" s="125">
        <f t="shared" si="18"/>
        <v>-28357.1607</v>
      </c>
      <c r="AU160" s="125">
        <f>AH160*Valores!$C$74</f>
        <v>-6960.3939899999996</v>
      </c>
      <c r="AV160" s="125">
        <f>AH160*Valores!$C$75</f>
        <v>-773.37711000000002</v>
      </c>
      <c r="AW160" s="125">
        <f t="shared" si="22"/>
        <v>221701.4382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57190.5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0</v>
      </c>
      <c r="N161" s="125">
        <f t="shared" si="19"/>
        <v>18796.57</v>
      </c>
      <c r="O161" s="125">
        <f>Valores!$C$16</f>
        <v>46403.78</v>
      </c>
      <c r="P161" s="125">
        <f>Valores!$D$5</f>
        <v>27451.439999999999</v>
      </c>
      <c r="Q161" s="125">
        <f>Valores!$C$23</f>
        <v>22794.65</v>
      </c>
      <c r="R161" s="125">
        <f>IF($F$4="NO",Valores!$C$43,Valores!$C$43/2)</f>
        <v>17995.759999999998</v>
      </c>
      <c r="S161" s="125">
        <f>Valores!$C$19</f>
        <v>25544</v>
      </c>
      <c r="T161" s="125">
        <f t="shared" si="25"/>
        <v>31930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37591.14</v>
      </c>
      <c r="AA161" s="125">
        <f>Valores!$C$25</f>
        <v>1122.78</v>
      </c>
      <c r="AB161" s="214">
        <v>0</v>
      </c>
      <c r="AC161" s="125">
        <f t="shared" si="20"/>
        <v>0</v>
      </c>
      <c r="AD161" s="125">
        <f>Valores!$C$26</f>
        <v>1122.78</v>
      </c>
      <c r="AE161" s="192">
        <v>0</v>
      </c>
      <c r="AF161" s="125">
        <f>ROUND(AE161*Valores!$C$2,2)</f>
        <v>0</v>
      </c>
      <c r="AG161" s="125">
        <f>ROUND(IF($F$4="NO",Valores!$C$63,Valores!$C$63/2),2)</f>
        <v>12836.3</v>
      </c>
      <c r="AH161" s="125">
        <f t="shared" si="23"/>
        <v>275235.7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-30275.927</v>
      </c>
      <c r="AO161" s="125">
        <f>AH161*-Valores!$C$72</f>
        <v>0</v>
      </c>
      <c r="AP161" s="125">
        <f>AH161*Valores!$C$73</f>
        <v>-12385.6065</v>
      </c>
      <c r="AQ161" s="125">
        <f>Valores!$C$100</f>
        <v>-554.86</v>
      </c>
      <c r="AR161" s="125">
        <f>IF($F$5=0,Valores!$C$101,(Valores!$C$101+$F$5*(Valores!$C$101)))</f>
        <v>-852</v>
      </c>
      <c r="AS161" s="125">
        <f t="shared" si="24"/>
        <v>231167.30650000001</v>
      </c>
      <c r="AT161" s="125">
        <f t="shared" si="18"/>
        <v>-30275.927</v>
      </c>
      <c r="AU161" s="125">
        <f>AH161*Valores!$C$74</f>
        <v>-7431.3639000000003</v>
      </c>
      <c r="AV161" s="125">
        <f>AH161*Valores!$C$75</f>
        <v>-825.70710000000008</v>
      </c>
      <c r="AW161" s="125">
        <f t="shared" si="22"/>
        <v>236702.70200000002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57190.5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0</v>
      </c>
      <c r="N162" s="125">
        <f t="shared" si="19"/>
        <v>18796.57</v>
      </c>
      <c r="O162" s="125">
        <f>Valores!$C$16</f>
        <v>46403.78</v>
      </c>
      <c r="P162" s="125">
        <f>Valores!$D$5</f>
        <v>27451.439999999999</v>
      </c>
      <c r="Q162" s="125">
        <f>Valores!$C$23</f>
        <v>22794.65</v>
      </c>
      <c r="R162" s="125">
        <f>IF($F$4="NO",Valores!$C$43,Valores!$C$43/2)</f>
        <v>17995.759999999998</v>
      </c>
      <c r="S162" s="125">
        <f>Valores!$C$19</f>
        <v>25544</v>
      </c>
      <c r="T162" s="125">
        <f t="shared" si="25"/>
        <v>31930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37591.14</v>
      </c>
      <c r="AA162" s="125">
        <f>Valores!$C$25</f>
        <v>1122.78</v>
      </c>
      <c r="AB162" s="214">
        <v>0</v>
      </c>
      <c r="AC162" s="125">
        <f t="shared" si="20"/>
        <v>0</v>
      </c>
      <c r="AD162" s="125">
        <f>Valores!$C$26</f>
        <v>1122.78</v>
      </c>
      <c r="AE162" s="192">
        <v>94</v>
      </c>
      <c r="AF162" s="125">
        <f>ROUND(AE162*Valores!$C$2,2)</f>
        <v>5047.8</v>
      </c>
      <c r="AG162" s="125">
        <f>ROUND(IF($F$4="NO",Valores!$C$63,Valores!$C$63/2),2)</f>
        <v>12836.3</v>
      </c>
      <c r="AH162" s="125">
        <f t="shared" si="23"/>
        <v>280283.5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-30831.185000000001</v>
      </c>
      <c r="AO162" s="125">
        <f>AH162*-Valores!$C$72</f>
        <v>0</v>
      </c>
      <c r="AP162" s="125">
        <f>AH162*Valores!$C$73</f>
        <v>-12612.7575</v>
      </c>
      <c r="AQ162" s="125">
        <f>Valores!$C$100</f>
        <v>-554.86</v>
      </c>
      <c r="AR162" s="125">
        <f>IF($F$5=0,Valores!$C$101,(Valores!$C$101+$F$5*(Valores!$C$101)))</f>
        <v>-852</v>
      </c>
      <c r="AS162" s="125">
        <f t="shared" si="24"/>
        <v>235432.69750000001</v>
      </c>
      <c r="AT162" s="125">
        <f t="shared" si="18"/>
        <v>-30831.185000000001</v>
      </c>
      <c r="AU162" s="125">
        <f>AH162*Valores!$C$74</f>
        <v>-7567.6544999999996</v>
      </c>
      <c r="AV162" s="125">
        <f>AH162*Valores!$C$75</f>
        <v>-840.85050000000001</v>
      </c>
      <c r="AW162" s="125">
        <f t="shared" si="22"/>
        <v>241043.81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5262.6</v>
      </c>
      <c r="G163" s="192">
        <v>2686</v>
      </c>
      <c r="H163" s="125">
        <f>ROUND(G163*Valores!$C$2,2)</f>
        <v>144238.20000000001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0</v>
      </c>
      <c r="N163" s="125">
        <f t="shared" si="19"/>
        <v>53947.16</v>
      </c>
      <c r="O163" s="125">
        <f>Valores!$C$8</f>
        <v>67306.67</v>
      </c>
      <c r="P163" s="125">
        <f>Valores!$D$5</f>
        <v>27451.439999999999</v>
      </c>
      <c r="Q163" s="125">
        <f>Valores!$C$22</f>
        <v>24491.06</v>
      </c>
      <c r="R163" s="125">
        <f>IF($F$4="NO",Valores!$C$47,Valores!$C$47/2)</f>
        <v>28697.84</v>
      </c>
      <c r="S163" s="125">
        <f>Valores!$C$19</f>
        <v>25544</v>
      </c>
      <c r="T163" s="125">
        <f t="shared" si="25"/>
        <v>31930</v>
      </c>
      <c r="U163" s="125">
        <v>0</v>
      </c>
      <c r="V163" s="125">
        <v>0</v>
      </c>
      <c r="W163" s="192">
        <v>700</v>
      </c>
      <c r="X163" s="125">
        <f>ROUND(W163*Valores!$C$2,2)</f>
        <v>37590</v>
      </c>
      <c r="Y163" s="125">
        <f>ROUND(SUM(J163,H163,F163,R163)*Valores!$C$3,2)</f>
        <v>26729.8</v>
      </c>
      <c r="Z163" s="125">
        <f>Valores!$C$96</f>
        <v>75182.289999999994</v>
      </c>
      <c r="AA163" s="125">
        <f>Valores!$C$25</f>
        <v>1122.78</v>
      </c>
      <c r="AB163" s="214">
        <v>0</v>
      </c>
      <c r="AC163" s="125">
        <f t="shared" si="20"/>
        <v>0</v>
      </c>
      <c r="AD163" s="125">
        <f>Valores!$C$26</f>
        <v>1122.78</v>
      </c>
      <c r="AE163" s="192">
        <v>94</v>
      </c>
      <c r="AF163" s="125">
        <f>ROUND(AE163*Valores!$C$2,2)</f>
        <v>5047.8</v>
      </c>
      <c r="AG163" s="125">
        <f>ROUND(IF($F$4="NO",Valores!$C$63,Valores!$C$63/2),2)</f>
        <v>12836.3</v>
      </c>
      <c r="AH163" s="125">
        <f t="shared" si="23"/>
        <v>542956.72000000009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-59725.239200000011</v>
      </c>
      <c r="AO163" s="125">
        <f>AH163*-Valores!$C$72</f>
        <v>0</v>
      </c>
      <c r="AP163" s="125">
        <f>AH163*Valores!$C$73</f>
        <v>-24433.052400000004</v>
      </c>
      <c r="AQ163" s="125">
        <f>Valores!$C$100</f>
        <v>-554.86</v>
      </c>
      <c r="AR163" s="125">
        <f>IF($F$5=0,Valores!$C$101,(Valores!$C$101+$F$5*(Valores!$C$101)))</f>
        <v>-852</v>
      </c>
      <c r="AS163" s="125">
        <f t="shared" si="24"/>
        <v>457391.56840000011</v>
      </c>
      <c r="AT163" s="125">
        <f t="shared" si="18"/>
        <v>-59725.239200000011</v>
      </c>
      <c r="AU163" s="125">
        <f>AH163*Valores!$C$74</f>
        <v>-14659.831440000002</v>
      </c>
      <c r="AV163" s="125">
        <f>AH163*Valores!$C$75</f>
        <v>-1628.8701600000004</v>
      </c>
      <c r="AW163" s="125">
        <f t="shared" si="22"/>
        <v>466942.77920000005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4994.1000000000004</v>
      </c>
      <c r="G164" s="192">
        <v>2547</v>
      </c>
      <c r="H164" s="125">
        <f>ROUND(G164*Valores!$C$2,2)</f>
        <v>136773.9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0</v>
      </c>
      <c r="N164" s="125">
        <f t="shared" si="19"/>
        <v>52013.96</v>
      </c>
      <c r="O164" s="125">
        <f>Valores!$C$16</f>
        <v>46403.78</v>
      </c>
      <c r="P164" s="125">
        <f>Valores!$D$5</f>
        <v>27451.439999999999</v>
      </c>
      <c r="Q164" s="125">
        <f>Valores!$C$22</f>
        <v>24491.06</v>
      </c>
      <c r="R164" s="125">
        <f>IF($F$4="NO",Valores!$C$47,Valores!$C$47/2)</f>
        <v>28697.84</v>
      </c>
      <c r="S164" s="125">
        <f>Valores!$C$19</f>
        <v>25544</v>
      </c>
      <c r="T164" s="125">
        <f t="shared" si="25"/>
        <v>31930</v>
      </c>
      <c r="U164" s="125">
        <v>0</v>
      </c>
      <c r="V164" s="125">
        <v>0</v>
      </c>
      <c r="W164" s="192">
        <v>700</v>
      </c>
      <c r="X164" s="125">
        <f>ROUND(W164*Valores!$C$2,2)</f>
        <v>37590</v>
      </c>
      <c r="Y164" s="125">
        <f>ROUND(SUM(J164,H164,F164,R164)*Valores!$C$3,2)</f>
        <v>25569.88</v>
      </c>
      <c r="Z164" s="125">
        <f>Valores!$C$96</f>
        <v>75182.289999999994</v>
      </c>
      <c r="AA164" s="125">
        <f>Valores!$C$25</f>
        <v>1122.78</v>
      </c>
      <c r="AB164" s="214">
        <v>0</v>
      </c>
      <c r="AC164" s="125">
        <f t="shared" si="20"/>
        <v>0</v>
      </c>
      <c r="AD164" s="125">
        <f>Valores!$C$26</f>
        <v>1122.78</v>
      </c>
      <c r="AE164" s="192">
        <v>94</v>
      </c>
      <c r="AF164" s="125">
        <f>ROUND(AE164*Valores!$C$2,2)</f>
        <v>5047.8</v>
      </c>
      <c r="AG164" s="125">
        <f>ROUND(IF($F$4="NO",Valores!$C$63,Valores!$C$63/2),2)</f>
        <v>12836.3</v>
      </c>
      <c r="AH164" s="125">
        <f t="shared" si="23"/>
        <v>511227.91000000003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-56235.070100000004</v>
      </c>
      <c r="AO164" s="125">
        <f>AH164*-Valores!$C$72</f>
        <v>0</v>
      </c>
      <c r="AP164" s="125">
        <f>AH164*Valores!$C$73</f>
        <v>-23005.255949999999</v>
      </c>
      <c r="AQ164" s="125">
        <f>Valores!$C$100</f>
        <v>-554.86</v>
      </c>
      <c r="AR164" s="125">
        <f>IF($F$5=0,Valores!$C$101,(Valores!$C$101+$F$5*(Valores!$C$101)))</f>
        <v>-852</v>
      </c>
      <c r="AS164" s="125">
        <f t="shared" si="24"/>
        <v>430580.72395000001</v>
      </c>
      <c r="AT164" s="125">
        <f t="shared" si="18"/>
        <v>-56235.070100000004</v>
      </c>
      <c r="AU164" s="125">
        <f>AH164*Valores!$C$74</f>
        <v>-13803.15357</v>
      </c>
      <c r="AV164" s="125">
        <f>AH164*Valores!$C$75</f>
        <v>-1533.6837300000002</v>
      </c>
      <c r="AW164" s="125">
        <f t="shared" si="22"/>
        <v>439656.00260000001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4779.3</v>
      </c>
      <c r="G165" s="192">
        <v>2251</v>
      </c>
      <c r="H165" s="125">
        <f>ROUND(G165*Valores!$C$2,2)</f>
        <v>120878.7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0</v>
      </c>
      <c r="N165" s="125">
        <f t="shared" si="19"/>
        <v>47986.46</v>
      </c>
      <c r="O165" s="125">
        <f>Valores!$C$16</f>
        <v>46403.78</v>
      </c>
      <c r="P165" s="125">
        <f>Valores!$D$5</f>
        <v>27451.439999999999</v>
      </c>
      <c r="Q165" s="125">
        <f>Valores!$C$22</f>
        <v>24491.06</v>
      </c>
      <c r="R165" s="125">
        <f>IF($F$4="NO",Valores!$C$47,Valores!$C$47/2)</f>
        <v>28697.84</v>
      </c>
      <c r="S165" s="125">
        <f>Valores!$C$19</f>
        <v>25544</v>
      </c>
      <c r="T165" s="125">
        <f t="shared" si="25"/>
        <v>31930</v>
      </c>
      <c r="U165" s="125">
        <v>0</v>
      </c>
      <c r="V165" s="125">
        <v>0</v>
      </c>
      <c r="W165" s="192">
        <v>700</v>
      </c>
      <c r="X165" s="125">
        <f>ROUND(W165*Valores!$C$2,2)</f>
        <v>37590</v>
      </c>
      <c r="Y165" s="125">
        <f>ROUND(SUM(J165,H165,F165,R165)*Valores!$C$3,2)</f>
        <v>23153.38</v>
      </c>
      <c r="Z165" s="125">
        <f>Valores!$C$96</f>
        <v>75182.289999999994</v>
      </c>
      <c r="AA165" s="125">
        <f>Valores!$C$25</f>
        <v>1122.78</v>
      </c>
      <c r="AB165" s="214">
        <v>0</v>
      </c>
      <c r="AC165" s="125">
        <f t="shared" si="20"/>
        <v>0</v>
      </c>
      <c r="AD165" s="125">
        <f>Valores!$C$26</f>
        <v>1122.78</v>
      </c>
      <c r="AE165" s="192">
        <v>94</v>
      </c>
      <c r="AF165" s="125">
        <f>ROUND(AE165*Valores!$C$2,2)</f>
        <v>5047.8</v>
      </c>
      <c r="AG165" s="125">
        <f>ROUND(IF($F$4="NO",Valores!$C$63,Valores!$C$63/2),2)</f>
        <v>12836.3</v>
      </c>
      <c r="AH165" s="125">
        <f t="shared" si="23"/>
        <v>488673.91000000003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-53754.130100000002</v>
      </c>
      <c r="AO165" s="125">
        <f>AH165*-Valores!$C$72</f>
        <v>0</v>
      </c>
      <c r="AP165" s="125">
        <f>AH165*Valores!$C$73</f>
        <v>-21990.325950000002</v>
      </c>
      <c r="AQ165" s="125">
        <f>Valores!$C$100</f>
        <v>-554.86</v>
      </c>
      <c r="AR165" s="125">
        <f>IF($F$5=0,Valores!$C$101,(Valores!$C$101+$F$5*(Valores!$C$101)))</f>
        <v>-852</v>
      </c>
      <c r="AS165" s="125">
        <f t="shared" si="24"/>
        <v>411522.59395000001</v>
      </c>
      <c r="AT165" s="125">
        <f t="shared" si="18"/>
        <v>-53754.130100000002</v>
      </c>
      <c r="AU165" s="125">
        <f>AH165*Valores!$C$74</f>
        <v>-13194.19557</v>
      </c>
      <c r="AV165" s="125">
        <f>AH165*Valores!$C$75</f>
        <v>-1466.0217300000002</v>
      </c>
      <c r="AW165" s="125">
        <f t="shared" si="22"/>
        <v>420259.56260000006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4457.1000000000004</v>
      </c>
      <c r="G166" s="192">
        <v>2352</v>
      </c>
      <c r="H166" s="125">
        <f>ROUND(G166*Valores!$C$2,2)</f>
        <v>126302.39999999999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0</v>
      </c>
      <c r="N166" s="125">
        <f t="shared" si="19"/>
        <v>49261.84</v>
      </c>
      <c r="O166" s="125">
        <f>Valores!$C$16</f>
        <v>46403.78</v>
      </c>
      <c r="P166" s="125">
        <f>Valores!$D$5</f>
        <v>27451.439999999999</v>
      </c>
      <c r="Q166" s="125">
        <v>0</v>
      </c>
      <c r="R166" s="125">
        <f>IF($F$4="NO",Valores!$C$47,Valores!$C$47/2)</f>
        <v>28697.84</v>
      </c>
      <c r="S166" s="125">
        <f>Valores!$C$19</f>
        <v>25544</v>
      </c>
      <c r="T166" s="125">
        <f t="shared" si="25"/>
        <v>31930</v>
      </c>
      <c r="U166" s="125">
        <v>0</v>
      </c>
      <c r="V166" s="125">
        <v>0</v>
      </c>
      <c r="W166" s="192">
        <v>700</v>
      </c>
      <c r="X166" s="125">
        <f>ROUND(W166*Valores!$C$2,2)</f>
        <v>37590</v>
      </c>
      <c r="Y166" s="125">
        <f>ROUND(SUM(J166,H166,F166,R166)*Valores!$C$3,2)</f>
        <v>23918.6</v>
      </c>
      <c r="Z166" s="125">
        <f>Valores!$C$96</f>
        <v>75182.289999999994</v>
      </c>
      <c r="AA166" s="125">
        <f>Valores!$C$25</f>
        <v>1122.78</v>
      </c>
      <c r="AB166" s="214">
        <v>0</v>
      </c>
      <c r="AC166" s="125">
        <f t="shared" si="20"/>
        <v>0</v>
      </c>
      <c r="AD166" s="125">
        <f>Valores!$C$26</f>
        <v>1122.78</v>
      </c>
      <c r="AE166" s="192">
        <v>94</v>
      </c>
      <c r="AF166" s="125">
        <f>ROUND(AE166*Valores!$C$2,2)</f>
        <v>5047.8</v>
      </c>
      <c r="AG166" s="125">
        <f>ROUND(IF($F$4="NO",Valores!$C$63,Valores!$C$63/2),2)</f>
        <v>12836.3</v>
      </c>
      <c r="AH166" s="125">
        <f t="shared" si="23"/>
        <v>471324.95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-51845.744500000001</v>
      </c>
      <c r="AO166" s="125">
        <f>AH166*-Valores!$C$72</f>
        <v>0</v>
      </c>
      <c r="AP166" s="125">
        <f>AH166*Valores!$C$73</f>
        <v>-21209.622749999999</v>
      </c>
      <c r="AQ166" s="125">
        <f>Valores!$C$100</f>
        <v>-554.86</v>
      </c>
      <c r="AR166" s="125">
        <f>IF($F$5=0,Valores!$C$101,(Valores!$C$101+$F$5*(Valores!$C$101)))</f>
        <v>-852</v>
      </c>
      <c r="AS166" s="125">
        <f t="shared" si="24"/>
        <v>396862.72275000002</v>
      </c>
      <c r="AT166" s="125">
        <f t="shared" si="18"/>
        <v>-51845.744500000001</v>
      </c>
      <c r="AU166" s="125">
        <f>AH166*Valores!$C$74</f>
        <v>-12725.773650000001</v>
      </c>
      <c r="AV166" s="125">
        <f>AH166*Valores!$C$75</f>
        <v>-1413.9748500000001</v>
      </c>
      <c r="AW166" s="125">
        <f t="shared" si="22"/>
        <v>405339.45699999999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4457.1000000000004</v>
      </c>
      <c r="G167" s="192">
        <v>2092</v>
      </c>
      <c r="H167" s="125">
        <f>ROUND(G167*Valores!$C$2,2)</f>
        <v>112340.4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0</v>
      </c>
      <c r="N167" s="125">
        <f t="shared" si="19"/>
        <v>45771.34</v>
      </c>
      <c r="O167" s="125">
        <f>Valores!$C$16</f>
        <v>46403.78</v>
      </c>
      <c r="P167" s="125">
        <f>Valores!$D$5</f>
        <v>27451.439999999999</v>
      </c>
      <c r="Q167" s="125">
        <v>0</v>
      </c>
      <c r="R167" s="125">
        <f>IF($F$4="NO",Valores!$C$47,Valores!$C$47/2)</f>
        <v>28697.84</v>
      </c>
      <c r="S167" s="125">
        <f>Valores!$C$19</f>
        <v>25544</v>
      </c>
      <c r="T167" s="125">
        <f t="shared" si="25"/>
        <v>31930</v>
      </c>
      <c r="U167" s="125">
        <v>0</v>
      </c>
      <c r="V167" s="125">
        <v>0</v>
      </c>
      <c r="W167" s="192">
        <v>700</v>
      </c>
      <c r="X167" s="125">
        <f>ROUND(W167*Valores!$C$2,2)</f>
        <v>37590</v>
      </c>
      <c r="Y167" s="125">
        <f>ROUND(SUM(J167,H167,F167,R167)*Valores!$C$3,2)</f>
        <v>21824.3</v>
      </c>
      <c r="Z167" s="125">
        <f>Valores!$C$96</f>
        <v>75182.289999999994</v>
      </c>
      <c r="AA167" s="125">
        <f>Valores!$C$25</f>
        <v>1122.78</v>
      </c>
      <c r="AB167" s="214">
        <v>0</v>
      </c>
      <c r="AC167" s="125">
        <f t="shared" si="20"/>
        <v>0</v>
      </c>
      <c r="AD167" s="125">
        <f>Valores!$C$26</f>
        <v>1122.78</v>
      </c>
      <c r="AE167" s="192">
        <v>94</v>
      </c>
      <c r="AF167" s="125">
        <f>ROUND(AE167*Valores!$C$2,2)</f>
        <v>5047.8</v>
      </c>
      <c r="AG167" s="125">
        <f>ROUND(IF($F$4="NO",Valores!$C$63,Valores!$C$63/2),2)</f>
        <v>12836.3</v>
      </c>
      <c r="AH167" s="125">
        <f t="shared" si="23"/>
        <v>451778.15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-49695.5965</v>
      </c>
      <c r="AO167" s="125">
        <f>AH167*-Valores!$C$72</f>
        <v>0</v>
      </c>
      <c r="AP167" s="125">
        <f>AH167*Valores!$C$73</f>
        <v>-20330.016749999999</v>
      </c>
      <c r="AQ167" s="125">
        <f>Valores!$C$100</f>
        <v>-554.86</v>
      </c>
      <c r="AR167" s="125">
        <f>IF($F$5=0,Valores!$C$101,(Valores!$C$101+$F$5*(Valores!$C$101)))</f>
        <v>-852</v>
      </c>
      <c r="AS167" s="125">
        <f t="shared" si="24"/>
        <v>380345.67675000004</v>
      </c>
      <c r="AT167" s="125">
        <f t="shared" si="18"/>
        <v>-49695.5965</v>
      </c>
      <c r="AU167" s="125">
        <f>AH167*Valores!$C$74</f>
        <v>-12198.010050000001</v>
      </c>
      <c r="AV167" s="125">
        <f>AH167*Valores!$C$75</f>
        <v>-1355.3344500000001</v>
      </c>
      <c r="AW167" s="125">
        <f t="shared" si="22"/>
        <v>388529.20900000003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4403.3999999999996</v>
      </c>
      <c r="G168" s="192">
        <v>1941</v>
      </c>
      <c r="H168" s="125">
        <f>ROUND(G168*Valores!$C$2,2)</f>
        <v>104231.7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0</v>
      </c>
      <c r="N168" s="125">
        <f t="shared" si="19"/>
        <v>43730.74</v>
      </c>
      <c r="O168" s="125">
        <f>Valores!$C$16</f>
        <v>46403.78</v>
      </c>
      <c r="P168" s="125">
        <f>Valores!$D$5</f>
        <v>27451.439999999999</v>
      </c>
      <c r="Q168" s="125">
        <v>0</v>
      </c>
      <c r="R168" s="125">
        <f>IF($F$4="NO",Valores!$C$47,Valores!$C$47/2)</f>
        <v>28697.84</v>
      </c>
      <c r="S168" s="125">
        <f>Valores!$C$19</f>
        <v>25544</v>
      </c>
      <c r="T168" s="125">
        <f t="shared" si="25"/>
        <v>31930</v>
      </c>
      <c r="U168" s="125">
        <v>0</v>
      </c>
      <c r="V168" s="125">
        <v>0</v>
      </c>
      <c r="W168" s="192">
        <v>700</v>
      </c>
      <c r="X168" s="125">
        <f>ROUND(W168*Valores!$C$2,2)</f>
        <v>37590</v>
      </c>
      <c r="Y168" s="125">
        <f>ROUND(SUM(J168,H168,F168,R168)*Valores!$C$3,2)</f>
        <v>20599.939999999999</v>
      </c>
      <c r="Z168" s="125">
        <f>Valores!$C$96</f>
        <v>75182.289999999994</v>
      </c>
      <c r="AA168" s="125">
        <f>Valores!$C$25</f>
        <v>1122.78</v>
      </c>
      <c r="AB168" s="214">
        <v>0</v>
      </c>
      <c r="AC168" s="125">
        <f t="shared" si="20"/>
        <v>0</v>
      </c>
      <c r="AD168" s="125">
        <f>Valores!$C$26</f>
        <v>1122.78</v>
      </c>
      <c r="AE168" s="192">
        <v>94</v>
      </c>
      <c r="AF168" s="125">
        <f>ROUND(AE168*Valores!$C$2,2)</f>
        <v>5047.8</v>
      </c>
      <c r="AG168" s="125">
        <f>ROUND(IF($F$4="NO",Valores!$C$63,Valores!$C$63/2),2)</f>
        <v>12836.3</v>
      </c>
      <c r="AH168" s="125">
        <f t="shared" si="23"/>
        <v>440350.79000000004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-48438.586900000002</v>
      </c>
      <c r="AO168" s="125">
        <f>AH168*-Valores!$C$72</f>
        <v>0</v>
      </c>
      <c r="AP168" s="125">
        <f>AH168*Valores!$C$73</f>
        <v>-19815.785550000001</v>
      </c>
      <c r="AQ168" s="125">
        <f>Valores!$C$100</f>
        <v>-554.86</v>
      </c>
      <c r="AR168" s="125">
        <f>IF($F$5=0,Valores!$C$101,(Valores!$C$101+$F$5*(Valores!$C$101)))</f>
        <v>-852</v>
      </c>
      <c r="AS168" s="125">
        <f t="shared" si="24"/>
        <v>370689.55755000003</v>
      </c>
      <c r="AT168" s="125">
        <f t="shared" si="18"/>
        <v>-48438.586900000002</v>
      </c>
      <c r="AU168" s="125">
        <f>AH168*Valores!$C$74</f>
        <v>-11889.47133</v>
      </c>
      <c r="AV168" s="125">
        <f>AH168*Valores!$C$75</f>
        <v>-1321.0523700000001</v>
      </c>
      <c r="AW168" s="125">
        <f t="shared" si="22"/>
        <v>378701.67940000002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4242.3</v>
      </c>
      <c r="G169" s="192">
        <v>2161</v>
      </c>
      <c r="H169" s="125">
        <f>ROUND(G169*Valores!$C$2,2)</f>
        <v>116045.7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0</v>
      </c>
      <c r="N169" s="125">
        <f t="shared" si="19"/>
        <v>46643.96</v>
      </c>
      <c r="O169" s="125">
        <f>Valores!$C$16</f>
        <v>46403.78</v>
      </c>
      <c r="P169" s="125">
        <f>Valores!$D$5</f>
        <v>27451.439999999999</v>
      </c>
      <c r="Q169" s="125">
        <v>0</v>
      </c>
      <c r="R169" s="125">
        <f>IF($F$4="NO",Valores!$C$47,Valores!$C$47/2)</f>
        <v>28697.84</v>
      </c>
      <c r="S169" s="125">
        <f>Valores!$C$19</f>
        <v>25544</v>
      </c>
      <c r="T169" s="125">
        <f t="shared" si="25"/>
        <v>31930</v>
      </c>
      <c r="U169" s="125">
        <v>0</v>
      </c>
      <c r="V169" s="125">
        <v>0</v>
      </c>
      <c r="W169" s="192">
        <v>700</v>
      </c>
      <c r="X169" s="125">
        <f>ROUND(W169*Valores!$C$2,2)</f>
        <v>37590</v>
      </c>
      <c r="Y169" s="125">
        <f>ROUND(SUM(J169,H169,F169,R169)*Valores!$C$3,2)</f>
        <v>22347.88</v>
      </c>
      <c r="Z169" s="125">
        <f>Valores!$C$96</f>
        <v>75182.289999999994</v>
      </c>
      <c r="AA169" s="125">
        <f>Valores!$C$25</f>
        <v>1122.78</v>
      </c>
      <c r="AB169" s="214">
        <v>0</v>
      </c>
      <c r="AC169" s="125">
        <f t="shared" si="20"/>
        <v>0</v>
      </c>
      <c r="AD169" s="125">
        <f>Valores!$C$26</f>
        <v>1122.78</v>
      </c>
      <c r="AE169" s="192">
        <v>94</v>
      </c>
      <c r="AF169" s="125">
        <f>ROUND(AE169*Valores!$C$2,2)</f>
        <v>5047.8</v>
      </c>
      <c r="AG169" s="125">
        <f>ROUND(IF($F$4="NO",Valores!$C$63,Valores!$C$63/2),2)</f>
        <v>12836.3</v>
      </c>
      <c r="AH169" s="125">
        <f t="shared" si="23"/>
        <v>456664.85000000003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-50233.133500000004</v>
      </c>
      <c r="AO169" s="125">
        <f>AH169*-Valores!$C$72</f>
        <v>0</v>
      </c>
      <c r="AP169" s="125">
        <f>AH169*Valores!$C$73</f>
        <v>-20549.918250000002</v>
      </c>
      <c r="AQ169" s="125">
        <f>Valores!$C$100</f>
        <v>-554.86</v>
      </c>
      <c r="AR169" s="125">
        <f>IF($F$5=0,Valores!$C$101,(Valores!$C$101+$F$5*(Valores!$C$101)))</f>
        <v>-852</v>
      </c>
      <c r="AS169" s="125">
        <f t="shared" si="24"/>
        <v>384474.93825000001</v>
      </c>
      <c r="AT169" s="125">
        <f t="shared" si="18"/>
        <v>-50233.133500000004</v>
      </c>
      <c r="AU169" s="125">
        <f>AH169*Valores!$C$74</f>
        <v>-12329.95095</v>
      </c>
      <c r="AV169" s="125">
        <f>AH169*Valores!$C$75</f>
        <v>-1369.9945500000001</v>
      </c>
      <c r="AW169" s="125">
        <f t="shared" si="22"/>
        <v>392731.77100000001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5262.6</v>
      </c>
      <c r="G170" s="192">
        <v>2686</v>
      </c>
      <c r="H170" s="125">
        <f>ROUND(G170*Valores!$C$2,2)</f>
        <v>144238.20000000001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0</v>
      </c>
      <c r="N170" s="125">
        <f t="shared" si="19"/>
        <v>53947.16</v>
      </c>
      <c r="O170" s="125">
        <f>Valores!$C$16</f>
        <v>46403.78</v>
      </c>
      <c r="P170" s="125">
        <f>Valores!$D$5</f>
        <v>27451.439999999999</v>
      </c>
      <c r="Q170" s="125">
        <v>0</v>
      </c>
      <c r="R170" s="125">
        <f>IF($F$4="NO",Valores!$C$47,Valores!$C$47/2)</f>
        <v>28697.84</v>
      </c>
      <c r="S170" s="125">
        <f>Valores!$C$19</f>
        <v>25544</v>
      </c>
      <c r="T170" s="125">
        <f t="shared" si="25"/>
        <v>31930</v>
      </c>
      <c r="U170" s="125">
        <v>0</v>
      </c>
      <c r="V170" s="125">
        <v>0</v>
      </c>
      <c r="W170" s="192">
        <v>700</v>
      </c>
      <c r="X170" s="125">
        <f>ROUND(W170*Valores!$C$2,2)</f>
        <v>37590</v>
      </c>
      <c r="Y170" s="125">
        <f>ROUND(SUM(J170,H170,F170,R170)*Valores!$C$3,2)</f>
        <v>26729.8</v>
      </c>
      <c r="Z170" s="125">
        <f>Valores!$C$96</f>
        <v>75182.289999999994</v>
      </c>
      <c r="AA170" s="125">
        <f>Valores!$C$25</f>
        <v>1122.78</v>
      </c>
      <c r="AB170" s="214">
        <v>0</v>
      </c>
      <c r="AC170" s="125">
        <f t="shared" si="20"/>
        <v>0</v>
      </c>
      <c r="AD170" s="125">
        <f>Valores!$C$26</f>
        <v>1122.78</v>
      </c>
      <c r="AE170" s="192">
        <v>0</v>
      </c>
      <c r="AF170" s="125">
        <f>ROUND(AE170*Valores!$C$2,2)</f>
        <v>0</v>
      </c>
      <c r="AG170" s="125">
        <f>ROUND(IF($F$4="NO",Valores!$C$63,Valores!$C$63/2),2)</f>
        <v>12836.3</v>
      </c>
      <c r="AH170" s="125">
        <f t="shared" si="23"/>
        <v>492514.97000000003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-54176.646700000005</v>
      </c>
      <c r="AO170" s="125">
        <f>AH170*-Valores!$C$72</f>
        <v>0</v>
      </c>
      <c r="AP170" s="125">
        <f>AH170*Valores!$C$73</f>
        <v>-22163.173650000001</v>
      </c>
      <c r="AQ170" s="125">
        <f>Valores!$C$100</f>
        <v>-554.86</v>
      </c>
      <c r="AR170" s="125">
        <f>IF($F$5=0,Valores!$C$101,(Valores!$C$101+$F$5*(Valores!$C$101)))</f>
        <v>-852</v>
      </c>
      <c r="AS170" s="125">
        <f t="shared" si="24"/>
        <v>414768.28965000005</v>
      </c>
      <c r="AT170" s="125">
        <f t="shared" si="18"/>
        <v>-54176.646700000005</v>
      </c>
      <c r="AU170" s="125">
        <f>AH170*Valores!$C$74</f>
        <v>-13297.904190000001</v>
      </c>
      <c r="AV170" s="125">
        <f>AH170*Valores!$C$75</f>
        <v>-1477.5449100000001</v>
      </c>
      <c r="AW170" s="125">
        <f t="shared" si="22"/>
        <v>423562.87420000002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4994.1000000000004</v>
      </c>
      <c r="G171" s="192">
        <v>2547</v>
      </c>
      <c r="H171" s="125">
        <f>ROUND(G171*Valores!$C$2,2)</f>
        <v>136773.9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0</v>
      </c>
      <c r="N171" s="125">
        <f t="shared" si="19"/>
        <v>52013.96</v>
      </c>
      <c r="O171" s="125">
        <f>Valores!$C$16</f>
        <v>46403.78</v>
      </c>
      <c r="P171" s="125">
        <f>Valores!$D$5</f>
        <v>27451.439999999999</v>
      </c>
      <c r="Q171" s="125">
        <v>0</v>
      </c>
      <c r="R171" s="125">
        <f>IF($F$4="NO",Valores!$C$47,Valores!$C$47/2)</f>
        <v>28697.84</v>
      </c>
      <c r="S171" s="125">
        <f>Valores!$C$19</f>
        <v>25544</v>
      </c>
      <c r="T171" s="125">
        <f t="shared" si="25"/>
        <v>31930</v>
      </c>
      <c r="U171" s="125">
        <v>0</v>
      </c>
      <c r="V171" s="125">
        <v>0</v>
      </c>
      <c r="W171" s="192">
        <v>700</v>
      </c>
      <c r="X171" s="125">
        <f>ROUND(W171*Valores!$C$2,2)</f>
        <v>37590</v>
      </c>
      <c r="Y171" s="125">
        <f>ROUND(SUM(J171,H171,F171,R171)*Valores!$C$3,2)</f>
        <v>25569.88</v>
      </c>
      <c r="Z171" s="125">
        <f>Valores!$C$96</f>
        <v>75182.289999999994</v>
      </c>
      <c r="AA171" s="125">
        <f>Valores!$C$25</f>
        <v>1122.78</v>
      </c>
      <c r="AB171" s="214">
        <v>0</v>
      </c>
      <c r="AC171" s="125">
        <f t="shared" si="20"/>
        <v>0</v>
      </c>
      <c r="AD171" s="125">
        <f>Valores!$C$26</f>
        <v>1122.78</v>
      </c>
      <c r="AE171" s="192">
        <v>0</v>
      </c>
      <c r="AF171" s="125">
        <f>ROUND(AE171*Valores!$C$2,2)</f>
        <v>0</v>
      </c>
      <c r="AG171" s="125">
        <f>ROUND(IF($F$4="NO",Valores!$C$63,Valores!$C$63/2),2)</f>
        <v>12836.3</v>
      </c>
      <c r="AH171" s="125">
        <f t="shared" si="23"/>
        <v>481689.05000000005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-52985.795500000007</v>
      </c>
      <c r="AO171" s="125">
        <f>AH171*-Valores!$C$72</f>
        <v>0</v>
      </c>
      <c r="AP171" s="125">
        <f>AH171*Valores!$C$73</f>
        <v>-21676.007250000002</v>
      </c>
      <c r="AQ171" s="125">
        <f>Valores!$C$100</f>
        <v>-554.86</v>
      </c>
      <c r="AR171" s="125">
        <f>IF($F$5=0,Valores!$C$101,(Valores!$C$101+$F$5*(Valores!$C$101)))</f>
        <v>-852</v>
      </c>
      <c r="AS171" s="125">
        <f t="shared" si="24"/>
        <v>405620.38725000003</v>
      </c>
      <c r="AT171" s="125">
        <f t="shared" si="18"/>
        <v>-52985.795500000007</v>
      </c>
      <c r="AU171" s="125">
        <f>AH171*Valores!$C$74</f>
        <v>-13005.604350000001</v>
      </c>
      <c r="AV171" s="125">
        <f>AH171*Valores!$C$75</f>
        <v>-1445.0671500000001</v>
      </c>
      <c r="AW171" s="125">
        <f t="shared" si="22"/>
        <v>414252.58300000004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68628.600000000006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0</v>
      </c>
      <c r="N172" s="125">
        <f t="shared" si="19"/>
        <v>36414.11</v>
      </c>
      <c r="O172" s="125">
        <f>Valores!$C$16</f>
        <v>46403.78</v>
      </c>
      <c r="P172" s="125">
        <f>Valores!$D$5</f>
        <v>27451.439999999999</v>
      </c>
      <c r="Q172" s="125">
        <v>0</v>
      </c>
      <c r="R172" s="125">
        <f>IF($F$4="NO",Valores!$C$47,Valores!$C$47/2)</f>
        <v>28697.84</v>
      </c>
      <c r="S172" s="125">
        <f>Valores!$C$19</f>
        <v>25544</v>
      </c>
      <c r="T172" s="125">
        <f t="shared" si="25"/>
        <v>31930</v>
      </c>
      <c r="U172" s="125">
        <v>0</v>
      </c>
      <c r="V172" s="125">
        <v>0</v>
      </c>
      <c r="W172" s="192">
        <v>900</v>
      </c>
      <c r="X172" s="125">
        <f>ROUND(W172*Valores!$C$2,2)</f>
        <v>48330</v>
      </c>
      <c r="Y172" s="125">
        <f>ROUND(SUM(J172,H172,F172,R172)*Valores!$C$3,2)</f>
        <v>14598.97</v>
      </c>
      <c r="Z172" s="125">
        <f>Valores!$C$96</f>
        <v>75182.289999999994</v>
      </c>
      <c r="AA172" s="125">
        <f>Valores!$C$25</f>
        <v>1122.78</v>
      </c>
      <c r="AB172" s="214">
        <v>0</v>
      </c>
      <c r="AC172" s="125">
        <f t="shared" si="20"/>
        <v>0</v>
      </c>
      <c r="AD172" s="125">
        <f>Valores!$C$26</f>
        <v>1122.78</v>
      </c>
      <c r="AE172" s="192">
        <v>94</v>
      </c>
      <c r="AF172" s="125">
        <f>ROUND(AE172*Valores!$C$2,2)</f>
        <v>5047.8</v>
      </c>
      <c r="AG172" s="125">
        <f>ROUND(IF($F$4="NO",Valores!$C$63,Valores!$C$63/2),2)</f>
        <v>12836.3</v>
      </c>
      <c r="AH172" s="125">
        <f t="shared" si="23"/>
        <v>397766.69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-43754.335899999998</v>
      </c>
      <c r="AO172" s="125">
        <f>AH172*-Valores!$C$72</f>
        <v>0</v>
      </c>
      <c r="AP172" s="125">
        <f>AH172*Valores!$C$73</f>
        <v>-17899.501049999999</v>
      </c>
      <c r="AQ172" s="125">
        <f>Valores!$C$100</f>
        <v>-554.86</v>
      </c>
      <c r="AR172" s="125">
        <f>IF($F$5=0,Valores!$C$101,(Valores!$C$101+$F$5*(Valores!$C$101)))</f>
        <v>-852</v>
      </c>
      <c r="AS172" s="125">
        <f t="shared" si="24"/>
        <v>334705.99304999999</v>
      </c>
      <c r="AT172" s="125">
        <f t="shared" si="18"/>
        <v>-43754.335899999998</v>
      </c>
      <c r="AU172" s="125">
        <f>AH172*Valores!$C$74</f>
        <v>-10739.700629999999</v>
      </c>
      <c r="AV172" s="125">
        <f>AH172*Valores!$C$75</f>
        <v>-1193.30007</v>
      </c>
      <c r="AW172" s="125">
        <f t="shared" si="22"/>
        <v>342079.35340000002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11652.9</v>
      </c>
      <c r="G173" s="192">
        <f>2245</f>
        <v>2245</v>
      </c>
      <c r="H173" s="125">
        <f>ROUND(G173*Valores!$C$2,2)</f>
        <v>120556.5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69810</v>
      </c>
      <c r="M173" s="125">
        <f>ROUND(IF($H$2=0,IF(AND(A173&lt;&gt;"13-930",A173&lt;&gt;"13-940"),(SUM(F173,H173,J173,L173,X173,T173,R173)*Valores!$C$4),0),0),2)</f>
        <v>0</v>
      </c>
      <c r="N173" s="125">
        <f t="shared" si="19"/>
        <v>57679.31</v>
      </c>
      <c r="O173" s="125">
        <f>Valores!$C$9</f>
        <v>67480.59</v>
      </c>
      <c r="P173" s="125">
        <f>Valores!$D$5</f>
        <v>27451.439999999999</v>
      </c>
      <c r="Q173" s="125">
        <f>Valores!$C$22</f>
        <v>24491.06</v>
      </c>
      <c r="R173" s="125">
        <f>IF($F$4="NO",Valores!$C$47,Valores!$C$47/2)</f>
        <v>28697.84</v>
      </c>
      <c r="S173" s="125">
        <f>Valores!$C$19</f>
        <v>25544</v>
      </c>
      <c r="T173" s="125">
        <f t="shared" si="25"/>
        <v>31930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75182.289999999994</v>
      </c>
      <c r="AA173" s="125">
        <f>Valores!$C$25</f>
        <v>1122.78</v>
      </c>
      <c r="AB173" s="214">
        <v>0</v>
      </c>
      <c r="AC173" s="125">
        <f t="shared" si="20"/>
        <v>0</v>
      </c>
      <c r="AD173" s="125">
        <f>Valores!$C$26</f>
        <v>1122.78</v>
      </c>
      <c r="AE173" s="192">
        <v>0</v>
      </c>
      <c r="AF173" s="125">
        <f>ROUND(AE173*Valores!$C$2,2)</f>
        <v>0</v>
      </c>
      <c r="AG173" s="125">
        <f>ROUND(IF($F$4="NO",Valores!$C$63,Valores!$C$63/2),2)</f>
        <v>12836.3</v>
      </c>
      <c r="AH173" s="125">
        <f t="shared" si="23"/>
        <v>530013.79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-58301.516900000002</v>
      </c>
      <c r="AO173" s="125">
        <f>AH173*-Valores!$C$72</f>
        <v>0</v>
      </c>
      <c r="AP173" s="125">
        <f>AH173*Valores!$C$73</f>
        <v>-23850.62055</v>
      </c>
      <c r="AQ173" s="125">
        <f>Valores!$C$100</f>
        <v>-554.86</v>
      </c>
      <c r="AR173" s="125">
        <f>IF($F$5=0,Valores!$C$101,(Valores!$C$101+$F$5*(Valores!$C$101)))</f>
        <v>-852</v>
      </c>
      <c r="AS173" s="125">
        <f t="shared" si="24"/>
        <v>446454.79255000001</v>
      </c>
      <c r="AT173" s="125">
        <f t="shared" si="18"/>
        <v>-58301.516900000002</v>
      </c>
      <c r="AU173" s="125">
        <f>AH173*Valores!$C$74</f>
        <v>-14310.37233</v>
      </c>
      <c r="AV173" s="125">
        <f>AH173*Valores!$C$75</f>
        <v>-1590.0413700000001</v>
      </c>
      <c r="AW173" s="125">
        <f t="shared" si="22"/>
        <v>455811.85940000002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9934.5</v>
      </c>
      <c r="G174" s="192">
        <f>1835</f>
        <v>1835</v>
      </c>
      <c r="H174" s="125">
        <f>ROUND(G174*Valores!$C$2,2)</f>
        <v>98539.5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69810</v>
      </c>
      <c r="M174" s="125">
        <f>ROUND(IF($H$2=0,IF(AND(A174&lt;&gt;"13-930",A174&lt;&gt;"13-940"),(SUM(F174,H174,J174,L174,X174,T174,R174)*Valores!$C$4),0),0),2)</f>
        <v>0</v>
      </c>
      <c r="N174" s="125">
        <f t="shared" si="19"/>
        <v>51745.46</v>
      </c>
      <c r="O174" s="125">
        <f>Valores!$C$9</f>
        <v>67480.59</v>
      </c>
      <c r="P174" s="125">
        <f>Valores!$D$5</f>
        <v>27451.439999999999</v>
      </c>
      <c r="Q174" s="125">
        <f>Valores!$C$22</f>
        <v>24491.06</v>
      </c>
      <c r="R174" s="125">
        <f>IF($F$4="NO",Valores!$C$47,Valores!$C$47/2)</f>
        <v>28697.84</v>
      </c>
      <c r="S174" s="125">
        <f>Valores!$C$19</f>
        <v>25544</v>
      </c>
      <c r="T174" s="125">
        <f t="shared" si="25"/>
        <v>31930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75182.289999999994</v>
      </c>
      <c r="AA174" s="125">
        <f>Valores!$C$25</f>
        <v>1122.78</v>
      </c>
      <c r="AB174" s="214">
        <v>0</v>
      </c>
      <c r="AC174" s="125">
        <f t="shared" si="20"/>
        <v>0</v>
      </c>
      <c r="AD174" s="125">
        <f>Valores!$C$26</f>
        <v>1122.78</v>
      </c>
      <c r="AE174" s="192">
        <v>0</v>
      </c>
      <c r="AF174" s="125">
        <f>ROUND(AE174*Valores!$C$2,2)</f>
        <v>0</v>
      </c>
      <c r="AG174" s="125">
        <f>ROUND(IF($F$4="NO",Valores!$C$63,Valores!$C$63/2),2)</f>
        <v>12836.3</v>
      </c>
      <c r="AH174" s="125">
        <f t="shared" si="23"/>
        <v>500344.54000000004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-55037.899400000002</v>
      </c>
      <c r="AO174" s="125">
        <f>AH174*-Valores!$C$72</f>
        <v>0</v>
      </c>
      <c r="AP174" s="125">
        <f>AH174*Valores!$C$73</f>
        <v>-22515.504300000001</v>
      </c>
      <c r="AQ174" s="125">
        <f>Valores!$C$100</f>
        <v>-554.86</v>
      </c>
      <c r="AR174" s="125">
        <f>IF($F$5=0,Valores!$C$101,(Valores!$C$101+$F$5*(Valores!$C$101)))</f>
        <v>-852</v>
      </c>
      <c r="AS174" s="125">
        <f t="shared" si="24"/>
        <v>421384.27630000003</v>
      </c>
      <c r="AT174" s="125">
        <f t="shared" si="18"/>
        <v>-55037.899400000002</v>
      </c>
      <c r="AU174" s="125">
        <f>AH174*Valores!$C$74</f>
        <v>-13509.302580000001</v>
      </c>
      <c r="AV174" s="125">
        <f>AH174*Valores!$C$75</f>
        <v>-1501.0336200000002</v>
      </c>
      <c r="AW174" s="125">
        <f t="shared" si="22"/>
        <v>430296.30440000002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8592</v>
      </c>
      <c r="G175" s="192">
        <f>1484</f>
        <v>1484</v>
      </c>
      <c r="H175" s="125">
        <f>ROUND(G175*Valores!$C$2,2)</f>
        <v>79690.8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69810</v>
      </c>
      <c r="M175" s="125">
        <f>ROUND(IF($H$2=0,IF(AND(A175&lt;&gt;"13-930",A175&lt;&gt;"13-940"),(SUM(F175,H175,J175,L175,X175,T175,R175)*Valores!$C$4),0),0),2)</f>
        <v>0</v>
      </c>
      <c r="N175" s="125">
        <f t="shared" si="19"/>
        <v>46697.66</v>
      </c>
      <c r="O175" s="125">
        <f>Valores!$C$9</f>
        <v>67480.59</v>
      </c>
      <c r="P175" s="125">
        <f>Valores!$D$5</f>
        <v>27451.439999999999</v>
      </c>
      <c r="Q175" s="125">
        <f>Valores!$C$22</f>
        <v>24491.06</v>
      </c>
      <c r="R175" s="125">
        <f>IF($F$4="NO",Valores!$C$47,Valores!$C$47/2)</f>
        <v>28697.84</v>
      </c>
      <c r="S175" s="125">
        <f>Valores!$C$19</f>
        <v>25544</v>
      </c>
      <c r="T175" s="125">
        <f t="shared" si="25"/>
        <v>31930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75182.289999999994</v>
      </c>
      <c r="AA175" s="125">
        <f>Valores!$C$25</f>
        <v>1122.78</v>
      </c>
      <c r="AB175" s="214">
        <v>0</v>
      </c>
      <c r="AC175" s="125">
        <f t="shared" si="20"/>
        <v>0</v>
      </c>
      <c r="AD175" s="125">
        <f>Valores!$C$26</f>
        <v>1122.78</v>
      </c>
      <c r="AE175" s="192">
        <v>0</v>
      </c>
      <c r="AF175" s="125">
        <f>ROUND(AE175*Valores!$C$2,2)</f>
        <v>0</v>
      </c>
      <c r="AG175" s="125">
        <f>ROUND(IF($F$4="NO",Valores!$C$63,Valores!$C$63/2),2)</f>
        <v>12836.3</v>
      </c>
      <c r="AH175" s="125">
        <f t="shared" si="23"/>
        <v>475105.54000000004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-52261.609400000001</v>
      </c>
      <c r="AO175" s="125">
        <f>AH175*-Valores!$C$72</f>
        <v>0</v>
      </c>
      <c r="AP175" s="125">
        <f>AH175*Valores!$C$73</f>
        <v>-21379.749299999999</v>
      </c>
      <c r="AQ175" s="125">
        <f>Valores!$C$100</f>
        <v>-554.86</v>
      </c>
      <c r="AR175" s="125">
        <f>IF($F$5=0,Valores!$C$101,(Valores!$C$101+$F$5*(Valores!$C$101)))</f>
        <v>-852</v>
      </c>
      <c r="AS175" s="125">
        <f t="shared" si="24"/>
        <v>400057.32130000007</v>
      </c>
      <c r="AT175" s="125">
        <f t="shared" si="18"/>
        <v>-52261.609400000001</v>
      </c>
      <c r="AU175" s="125">
        <f>AH175*Valores!$C$74</f>
        <v>-12827.84958</v>
      </c>
      <c r="AV175" s="125">
        <f>AH175*Valores!$C$75</f>
        <v>-1425.3166200000001</v>
      </c>
      <c r="AW175" s="125">
        <f t="shared" si="22"/>
        <v>408590.76440000004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9558.6</v>
      </c>
      <c r="G176" s="192">
        <f>1842</f>
        <v>1842</v>
      </c>
      <c r="H176" s="125">
        <f>ROUND(G176*Valores!$C$2,2)</f>
        <v>98915.4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69810</v>
      </c>
      <c r="M176" s="125">
        <f>ROUND(IF($H$2=0,IF(AND(A176&lt;&gt;"13-930",A176&lt;&gt;"13-940"),(SUM(F176,H176,J176,L176,X176,T176,R176)*Valores!$C$4),0),0),2)</f>
        <v>0</v>
      </c>
      <c r="N176" s="125">
        <f t="shared" si="19"/>
        <v>51745.46</v>
      </c>
      <c r="O176" s="125">
        <f>Valores!$C$9</f>
        <v>67480.59</v>
      </c>
      <c r="P176" s="125">
        <f>Valores!$D$5</f>
        <v>27451.439999999999</v>
      </c>
      <c r="Q176" s="125">
        <f>Valores!$C$22</f>
        <v>24491.06</v>
      </c>
      <c r="R176" s="125">
        <f>IF($F$4="NO",Valores!$C$47,Valores!$C$47/2)</f>
        <v>28697.84</v>
      </c>
      <c r="S176" s="125">
        <f>Valores!$C$19</f>
        <v>25544</v>
      </c>
      <c r="T176" s="125">
        <f t="shared" si="25"/>
        <v>31930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75182.289999999994</v>
      </c>
      <c r="AA176" s="125">
        <f>Valores!$C$25</f>
        <v>1122.78</v>
      </c>
      <c r="AB176" s="214">
        <v>0</v>
      </c>
      <c r="AC176" s="125">
        <f t="shared" si="20"/>
        <v>0</v>
      </c>
      <c r="AD176" s="125">
        <f>Valores!$C$26</f>
        <v>1122.78</v>
      </c>
      <c r="AE176" s="192">
        <v>0</v>
      </c>
      <c r="AF176" s="125">
        <f>ROUND(AE176*Valores!$C$2,2)</f>
        <v>0</v>
      </c>
      <c r="AG176" s="125">
        <f>ROUND(IF($F$4="NO",Valores!$C$63,Valores!$C$63/2),2)</f>
        <v>12836.3</v>
      </c>
      <c r="AH176" s="125">
        <f t="shared" si="23"/>
        <v>500344.54000000004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-55037.899400000002</v>
      </c>
      <c r="AO176" s="125">
        <f>AH176*-Valores!$C$72</f>
        <v>0</v>
      </c>
      <c r="AP176" s="125">
        <f>AH176*Valores!$C$73</f>
        <v>-22515.504300000001</v>
      </c>
      <c r="AQ176" s="125">
        <f>Valores!$C$100</f>
        <v>-554.86</v>
      </c>
      <c r="AR176" s="125">
        <f>IF($F$5=0,Valores!$C$101,(Valores!$C$101+$F$5*(Valores!$C$101)))</f>
        <v>-852</v>
      </c>
      <c r="AS176" s="125">
        <f t="shared" si="24"/>
        <v>421384.27630000003</v>
      </c>
      <c r="AT176" s="125">
        <f t="shared" si="18"/>
        <v>-55037.899400000002</v>
      </c>
      <c r="AU176" s="125">
        <f>AH176*Valores!$C$74</f>
        <v>-13509.302580000001</v>
      </c>
      <c r="AV176" s="125">
        <f>AH176*Valores!$C$75</f>
        <v>-1501.0336200000002</v>
      </c>
      <c r="AW176" s="125">
        <f t="shared" si="22"/>
        <v>430296.30440000002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68628.600000000006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64440</v>
      </c>
      <c r="M177" s="125">
        <f>ROUND(IF($H$2=0,IF(AND(A177&lt;&gt;"13-930",A177&lt;&gt;"13-940"),(SUM(F177,H177,J177,L177,X177,T177,R177)*Valores!$C$4),0),0),2)</f>
        <v>0</v>
      </c>
      <c r="N177" s="125">
        <f t="shared" si="19"/>
        <v>40441.61</v>
      </c>
      <c r="O177" s="125">
        <f>Valores!$C$16</f>
        <v>46403.78</v>
      </c>
      <c r="P177" s="125">
        <f>Valores!$D$5</f>
        <v>27451.439999999999</v>
      </c>
      <c r="Q177" s="125">
        <f>Valores!$C$22</f>
        <v>24491.06</v>
      </c>
      <c r="R177" s="125">
        <f>IF($F$4="NO",Valores!$C$47,Valores!$C$47/2)</f>
        <v>28697.84</v>
      </c>
      <c r="S177" s="125">
        <f>Valores!$C$19</f>
        <v>25544</v>
      </c>
      <c r="T177" s="125">
        <f t="shared" si="25"/>
        <v>31930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75182.289999999994</v>
      </c>
      <c r="AA177" s="125">
        <f>Valores!$C$25</f>
        <v>1122.78</v>
      </c>
      <c r="AB177" s="214">
        <v>0</v>
      </c>
      <c r="AC177" s="125">
        <f t="shared" si="20"/>
        <v>0</v>
      </c>
      <c r="AD177" s="125">
        <f>Valores!$C$26</f>
        <v>1122.78</v>
      </c>
      <c r="AE177" s="192">
        <v>0</v>
      </c>
      <c r="AF177" s="125">
        <f>ROUND(AE177*Valores!$C$2,2)</f>
        <v>0</v>
      </c>
      <c r="AG177" s="125">
        <f>ROUND(IF($F$4="NO",Valores!$C$63,Valores!$C$63/2),2)</f>
        <v>12836.3</v>
      </c>
      <c r="AH177" s="125">
        <f t="shared" si="23"/>
        <v>422748.4800000001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-46502.332800000011</v>
      </c>
      <c r="AO177" s="125">
        <f>AH177*-Valores!$C$72</f>
        <v>0</v>
      </c>
      <c r="AP177" s="125">
        <f>AH177*Valores!$C$73</f>
        <v>-19023.681600000004</v>
      </c>
      <c r="AQ177" s="125">
        <f>Valores!$C$100</f>
        <v>-554.86</v>
      </c>
      <c r="AR177" s="125">
        <f>IF($F$5=0,Valores!$C$101,(Valores!$C$101+$F$5*(Valores!$C$101)))</f>
        <v>-852</v>
      </c>
      <c r="AS177" s="125">
        <f t="shared" si="24"/>
        <v>355815.60560000007</v>
      </c>
      <c r="AT177" s="125">
        <f t="shared" si="18"/>
        <v>-46502.332800000011</v>
      </c>
      <c r="AU177" s="125">
        <f>AH177*Valores!$C$74</f>
        <v>-11414.208960000002</v>
      </c>
      <c r="AV177" s="125">
        <f>AH177*Valores!$C$75</f>
        <v>-1268.2454400000004</v>
      </c>
      <c r="AW177" s="125">
        <f t="shared" si="22"/>
        <v>363563.69280000008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52142.7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35442</v>
      </c>
      <c r="M178" s="125">
        <f>ROUND(IF($H$2=0,IF(AND(A178&lt;&gt;"13-930",A178&lt;&gt;"13-940"),(SUM(F178,H178,J178,L178,X178,T178,R178)*Valores!$C$4),0),0),2)</f>
        <v>0</v>
      </c>
      <c r="N178" s="125">
        <f t="shared" si="19"/>
        <v>29070.639999999999</v>
      </c>
      <c r="O178" s="125">
        <f>Valores!$C$16</f>
        <v>46403.78</v>
      </c>
      <c r="P178" s="125">
        <f>Valores!$D$5</f>
        <v>27451.439999999999</v>
      </c>
      <c r="Q178" s="125">
        <f>Valores!$C$22</f>
        <v>24491.06</v>
      </c>
      <c r="R178" s="125">
        <f>IF($F$4="NO",Valores!$C$47,Valores!$C$47/2)</f>
        <v>28697.84</v>
      </c>
      <c r="S178" s="125">
        <f>Valores!$C$19</f>
        <v>25544</v>
      </c>
      <c r="T178" s="125">
        <f t="shared" si="25"/>
        <v>31930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75182.289999999994</v>
      </c>
      <c r="AA178" s="125">
        <f>Valores!$C$25</f>
        <v>1122.78</v>
      </c>
      <c r="AB178" s="214">
        <v>0</v>
      </c>
      <c r="AC178" s="125">
        <f t="shared" si="20"/>
        <v>0</v>
      </c>
      <c r="AD178" s="125">
        <f>Valores!$C$26</f>
        <v>1122.78</v>
      </c>
      <c r="AE178" s="192">
        <v>0</v>
      </c>
      <c r="AF178" s="125">
        <f>ROUND(AE178*Valores!$C$2,2)</f>
        <v>0</v>
      </c>
      <c r="AG178" s="125">
        <f>ROUND(IF($F$4="NO",Valores!$C$63,Valores!$C$63/2),2)</f>
        <v>12836.3</v>
      </c>
      <c r="AH178" s="125">
        <f t="shared" si="23"/>
        <v>365893.61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-40248.297099999996</v>
      </c>
      <c r="AO178" s="125">
        <f>AH178*-Valores!$C$72</f>
        <v>0</v>
      </c>
      <c r="AP178" s="125">
        <f>AH178*Valores!$C$73</f>
        <v>-16465.212449999999</v>
      </c>
      <c r="AQ178" s="125">
        <f>Valores!$C$100</f>
        <v>-554.86</v>
      </c>
      <c r="AR178" s="125">
        <f>IF($F$5=0,Valores!$C$101,(Valores!$C$101+$F$5*(Valores!$C$101)))</f>
        <v>-852</v>
      </c>
      <c r="AS178" s="125">
        <f t="shared" si="24"/>
        <v>307773.24044999998</v>
      </c>
      <c r="AT178" s="125">
        <f t="shared" si="18"/>
        <v>-40248.297099999996</v>
      </c>
      <c r="AU178" s="125">
        <f>AH178*Valores!$C$74</f>
        <v>-9879.1274699999994</v>
      </c>
      <c r="AV178" s="125">
        <f>AH178*Valores!$C$75</f>
        <v>-1097.68083</v>
      </c>
      <c r="AW178" s="125">
        <f t="shared" si="22"/>
        <v>314668.50459999999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11438.1</v>
      </c>
      <c r="G179" s="192">
        <f>1835</f>
        <v>1835</v>
      </c>
      <c r="H179" s="125">
        <f>ROUND(G179*Valores!$C$2,2)</f>
        <v>98539.5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69810</v>
      </c>
      <c r="M179" s="125">
        <f>ROUND(IF($H$2=0,IF(AND(A179&lt;&gt;"13-930",A179&lt;&gt;"13-940"),(SUM(F179,H179,J179,L179,X179,T179,R179)*Valores!$C$4),0),0),2)</f>
        <v>0</v>
      </c>
      <c r="N179" s="125">
        <f t="shared" si="19"/>
        <v>52121.36</v>
      </c>
      <c r="O179" s="125">
        <f>Valores!$C$9</f>
        <v>67480.59</v>
      </c>
      <c r="P179" s="125">
        <f>Valores!$D$5</f>
        <v>27451.439999999999</v>
      </c>
      <c r="Q179" s="125">
        <f>Valores!$C$22</f>
        <v>24491.06</v>
      </c>
      <c r="R179" s="125">
        <f>IF($F$4="NO",Valores!$C$47,Valores!$C$47/2)</f>
        <v>28697.84</v>
      </c>
      <c r="S179" s="125">
        <f>Valores!$C$19</f>
        <v>25544</v>
      </c>
      <c r="T179" s="125">
        <f t="shared" si="25"/>
        <v>31930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75182.289999999994</v>
      </c>
      <c r="AA179" s="125">
        <f>Valores!$C$25</f>
        <v>1122.78</v>
      </c>
      <c r="AB179" s="214">
        <v>0</v>
      </c>
      <c r="AC179" s="125">
        <f t="shared" si="20"/>
        <v>0</v>
      </c>
      <c r="AD179" s="125">
        <f>Valores!$C$26</f>
        <v>1122.78</v>
      </c>
      <c r="AE179" s="192">
        <v>0</v>
      </c>
      <c r="AF179" s="125">
        <f>ROUND(AE179*Valores!$C$2,2)</f>
        <v>0</v>
      </c>
      <c r="AG179" s="125">
        <f>ROUND(IF($F$4="NO",Valores!$C$63,Valores!$C$63/2),2)</f>
        <v>12836.3</v>
      </c>
      <c r="AH179" s="125">
        <f t="shared" si="23"/>
        <v>502224.0400000001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-55244.644400000012</v>
      </c>
      <c r="AO179" s="125">
        <f>AH179*-Valores!$C$72</f>
        <v>0</v>
      </c>
      <c r="AP179" s="125">
        <f>AH179*Valores!$C$73</f>
        <v>-22600.081800000004</v>
      </c>
      <c r="AQ179" s="125">
        <f>Valores!$C$100</f>
        <v>-554.86</v>
      </c>
      <c r="AR179" s="125">
        <f>IF($F$5=0,Valores!$C$101,(Valores!$C$101+$F$5*(Valores!$C$101)))</f>
        <v>-852</v>
      </c>
      <c r="AS179" s="125">
        <f t="shared" si="24"/>
        <v>422972.45380000008</v>
      </c>
      <c r="AT179" s="125">
        <f t="shared" si="18"/>
        <v>-55244.644400000012</v>
      </c>
      <c r="AU179" s="125">
        <f>AH179*Valores!$C$74</f>
        <v>-13560.049080000003</v>
      </c>
      <c r="AV179" s="125">
        <f>AH179*Valores!$C$75</f>
        <v>-1506.6721200000004</v>
      </c>
      <c r="AW179" s="125">
        <f t="shared" si="22"/>
        <v>431912.67440000008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9934.5</v>
      </c>
      <c r="G180" s="192">
        <f>1835</f>
        <v>1835</v>
      </c>
      <c r="H180" s="125">
        <f>ROUND(G180*Valores!$C$2,2)</f>
        <v>98539.5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69810</v>
      </c>
      <c r="M180" s="125">
        <f>ROUND(IF($H$2=0,IF(AND(A180&lt;&gt;"13-930",A180&lt;&gt;"13-940"),(SUM(F180,H180,J180,L180,X180,T180,R180)*Valores!$C$4),0),0),2)</f>
        <v>0</v>
      </c>
      <c r="N180" s="125">
        <f t="shared" si="19"/>
        <v>51745.46</v>
      </c>
      <c r="O180" s="125">
        <f>Valores!$C$9</f>
        <v>67480.59</v>
      </c>
      <c r="P180" s="125">
        <f>Valores!$D$5</f>
        <v>27451.439999999999</v>
      </c>
      <c r="Q180" s="125">
        <f>Valores!$C$22</f>
        <v>24491.06</v>
      </c>
      <c r="R180" s="125">
        <f>IF($F$4="NO",Valores!$C$47,Valores!$C$47/2)</f>
        <v>28697.84</v>
      </c>
      <c r="S180" s="125">
        <f>Valores!$C$19</f>
        <v>25544</v>
      </c>
      <c r="T180" s="125">
        <f t="shared" si="25"/>
        <v>31930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75182.289999999994</v>
      </c>
      <c r="AA180" s="125">
        <f>Valores!$C$25</f>
        <v>1122.78</v>
      </c>
      <c r="AB180" s="214">
        <v>0</v>
      </c>
      <c r="AC180" s="125">
        <f t="shared" si="20"/>
        <v>0</v>
      </c>
      <c r="AD180" s="125">
        <f>Valores!$C$26</f>
        <v>1122.78</v>
      </c>
      <c r="AE180" s="192">
        <v>0</v>
      </c>
      <c r="AF180" s="125">
        <f>ROUND(AE180*Valores!$C$2,2)</f>
        <v>0</v>
      </c>
      <c r="AG180" s="125">
        <f>ROUND(IF($F$4="NO",Valores!$C$63,Valores!$C$63/2),2)</f>
        <v>12836.3</v>
      </c>
      <c r="AH180" s="125">
        <f t="shared" si="23"/>
        <v>500344.54000000004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-55037.899400000002</v>
      </c>
      <c r="AO180" s="125">
        <f>AH180*-Valores!$C$72</f>
        <v>0</v>
      </c>
      <c r="AP180" s="125">
        <f>AH180*Valores!$C$73</f>
        <v>-22515.504300000001</v>
      </c>
      <c r="AQ180" s="125">
        <f>Valores!$C$100</f>
        <v>-554.86</v>
      </c>
      <c r="AR180" s="125">
        <f>IF($F$5=0,Valores!$C$101,(Valores!$C$101+$F$5*(Valores!$C$101)))</f>
        <v>-852</v>
      </c>
      <c r="AS180" s="125">
        <f t="shared" si="24"/>
        <v>421384.27630000003</v>
      </c>
      <c r="AT180" s="125">
        <f t="shared" si="18"/>
        <v>-55037.899400000002</v>
      </c>
      <c r="AU180" s="125">
        <f>AH180*Valores!$C$74</f>
        <v>-13509.302580000001</v>
      </c>
      <c r="AV180" s="125">
        <f>AH180*Valores!$C$75</f>
        <v>-1501.0336200000002</v>
      </c>
      <c r="AW180" s="125">
        <f t="shared" si="22"/>
        <v>430296.30440000002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8592</v>
      </c>
      <c r="G181" s="192">
        <f>1484</f>
        <v>1484</v>
      </c>
      <c r="H181" s="125">
        <f>ROUND(G181*Valores!$C$2,2)</f>
        <v>79690.8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69810</v>
      </c>
      <c r="M181" s="125">
        <f>ROUND(IF($H$2=0,IF(AND(A181&lt;&gt;"13-930",A181&lt;&gt;"13-940"),(SUM(F181,H181,J181,L181,X181,T181,R181)*Valores!$C$4),0),0),2)</f>
        <v>0</v>
      </c>
      <c r="N181" s="125">
        <f t="shared" si="19"/>
        <v>46697.66</v>
      </c>
      <c r="O181" s="125">
        <f>Valores!$C$9</f>
        <v>67480.59</v>
      </c>
      <c r="P181" s="125">
        <f>Valores!$D$5</f>
        <v>27451.439999999999</v>
      </c>
      <c r="Q181" s="125">
        <f>Valores!$C$22</f>
        <v>24491.06</v>
      </c>
      <c r="R181" s="125">
        <f>IF($F$4="NO",Valores!$C$47,Valores!$C$47/2)</f>
        <v>28697.84</v>
      </c>
      <c r="S181" s="125">
        <f>Valores!$C$19</f>
        <v>25544</v>
      </c>
      <c r="T181" s="125">
        <f t="shared" si="25"/>
        <v>31930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75182.289999999994</v>
      </c>
      <c r="AA181" s="125">
        <f>Valores!$C$25</f>
        <v>1122.78</v>
      </c>
      <c r="AB181" s="214">
        <v>0</v>
      </c>
      <c r="AC181" s="125">
        <f t="shared" si="20"/>
        <v>0</v>
      </c>
      <c r="AD181" s="125">
        <f>Valores!$C$26</f>
        <v>1122.78</v>
      </c>
      <c r="AE181" s="192">
        <v>0</v>
      </c>
      <c r="AF181" s="125">
        <f>ROUND(AE181*Valores!$C$2,2)</f>
        <v>0</v>
      </c>
      <c r="AG181" s="125">
        <f>ROUND(IF($F$4="NO",Valores!$C$63,Valores!$C$63/2),2)</f>
        <v>12836.3</v>
      </c>
      <c r="AH181" s="125">
        <f t="shared" si="23"/>
        <v>475105.54000000004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-52261.609400000001</v>
      </c>
      <c r="AO181" s="125">
        <f>AH181*-Valores!$C$72</f>
        <v>0</v>
      </c>
      <c r="AP181" s="125">
        <f>AH181*Valores!$C$73</f>
        <v>-21379.749299999999</v>
      </c>
      <c r="AQ181" s="125">
        <f>Valores!$C$100</f>
        <v>-554.86</v>
      </c>
      <c r="AR181" s="125">
        <f>IF($F$5=0,Valores!$C$101,(Valores!$C$101+$F$5*(Valores!$C$101)))</f>
        <v>-852</v>
      </c>
      <c r="AS181" s="125">
        <f t="shared" si="24"/>
        <v>400057.32130000007</v>
      </c>
      <c r="AT181" s="125">
        <f t="shared" si="18"/>
        <v>-52261.609400000001</v>
      </c>
      <c r="AU181" s="125">
        <f>AH181*Valores!$C$74</f>
        <v>-12827.84958</v>
      </c>
      <c r="AV181" s="125">
        <f>AH181*Valores!$C$75</f>
        <v>-1425.3166200000001</v>
      </c>
      <c r="AW181" s="125">
        <f t="shared" si="22"/>
        <v>408590.76440000004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68628.600000000006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64440</v>
      </c>
      <c r="M182" s="125">
        <f>ROUND(IF($H$2=0,IF(AND(A182&lt;&gt;"13-930",A182&lt;&gt;"13-940"),(SUM(F182,H182,J182,L182,X182,T182,R182)*Valores!$C$4),0),0),2)</f>
        <v>0</v>
      </c>
      <c r="N182" s="125">
        <f t="shared" si="19"/>
        <v>40441.61</v>
      </c>
      <c r="O182" s="125">
        <f>Valores!$C$16</f>
        <v>46403.78</v>
      </c>
      <c r="P182" s="125">
        <f>Valores!$D$5</f>
        <v>27451.439999999999</v>
      </c>
      <c r="Q182" s="125">
        <f>Valores!$C$22</f>
        <v>24491.06</v>
      </c>
      <c r="R182" s="125">
        <f>IF($F$4="NO",Valores!$C$47,Valores!$C$47/2)</f>
        <v>28697.84</v>
      </c>
      <c r="S182" s="125">
        <f>Valores!$C$19</f>
        <v>25544</v>
      </c>
      <c r="T182" s="125">
        <f t="shared" si="25"/>
        <v>31930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75182.289999999994</v>
      </c>
      <c r="AA182" s="125">
        <f>Valores!$C$25</f>
        <v>1122.78</v>
      </c>
      <c r="AB182" s="214">
        <v>0</v>
      </c>
      <c r="AC182" s="125">
        <f t="shared" si="20"/>
        <v>0</v>
      </c>
      <c r="AD182" s="125">
        <f>Valores!$C$26</f>
        <v>1122.78</v>
      </c>
      <c r="AE182" s="192">
        <v>0</v>
      </c>
      <c r="AF182" s="125">
        <f>ROUND(AE182*Valores!$C$2,2)</f>
        <v>0</v>
      </c>
      <c r="AG182" s="125">
        <f>ROUND(IF($F$4="NO",Valores!$C$63,Valores!$C$63/2),2)</f>
        <v>12836.3</v>
      </c>
      <c r="AH182" s="125">
        <f t="shared" si="23"/>
        <v>422748.4800000001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-46502.332800000011</v>
      </c>
      <c r="AO182" s="125">
        <f>AH182*-Valores!$C$72</f>
        <v>0</v>
      </c>
      <c r="AP182" s="125">
        <f>AH182*Valores!$C$73</f>
        <v>-19023.681600000004</v>
      </c>
      <c r="AQ182" s="125">
        <f>Valores!$C$100</f>
        <v>-554.86</v>
      </c>
      <c r="AR182" s="125">
        <f>IF($F$5=0,Valores!$C$101,(Valores!$C$101+$F$5*(Valores!$C$101)))</f>
        <v>-852</v>
      </c>
      <c r="AS182" s="125">
        <f t="shared" si="24"/>
        <v>355815.60560000007</v>
      </c>
      <c r="AT182" s="125">
        <f t="shared" si="18"/>
        <v>-46502.332800000011</v>
      </c>
      <c r="AU182" s="125">
        <f>AH182*Valores!$C$74</f>
        <v>-11414.208960000002</v>
      </c>
      <c r="AV182" s="125">
        <f>AH182*Valores!$C$75</f>
        <v>-1268.2454400000004</v>
      </c>
      <c r="AW182" s="125">
        <f t="shared" si="22"/>
        <v>363563.69280000008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52142.7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35442</v>
      </c>
      <c r="M183" s="125">
        <f>ROUND(IF($H$2=0,IF(AND(A183&lt;&gt;"13-930",A183&lt;&gt;"13-940"),(SUM(F183,H183,J183,L183,X183,T183,R183)*Valores!$C$4),0),0),2)</f>
        <v>0</v>
      </c>
      <c r="N183" s="125">
        <f t="shared" si="19"/>
        <v>29070.639999999999</v>
      </c>
      <c r="O183" s="125">
        <f>Valores!$C$16</f>
        <v>46403.78</v>
      </c>
      <c r="P183" s="125">
        <f>Valores!$D$5</f>
        <v>27451.439999999999</v>
      </c>
      <c r="Q183" s="125">
        <f>Valores!$C$23</f>
        <v>22794.65</v>
      </c>
      <c r="R183" s="125">
        <f>IF($F$4="NO",Valores!$C$47,Valores!$C$47/2)</f>
        <v>28697.84</v>
      </c>
      <c r="S183" s="125">
        <f>Valores!$C$19</f>
        <v>25544</v>
      </c>
      <c r="T183" s="125">
        <f t="shared" si="25"/>
        <v>31930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75182.289999999994</v>
      </c>
      <c r="AA183" s="125">
        <f>Valores!$C$25</f>
        <v>1122.78</v>
      </c>
      <c r="AB183" s="214">
        <v>0</v>
      </c>
      <c r="AC183" s="125">
        <f t="shared" si="20"/>
        <v>0</v>
      </c>
      <c r="AD183" s="125">
        <f>Valores!$C$26</f>
        <v>1122.78</v>
      </c>
      <c r="AE183" s="192">
        <v>0</v>
      </c>
      <c r="AF183" s="125">
        <f>ROUND(AE183*Valores!$C$2,2)</f>
        <v>0</v>
      </c>
      <c r="AG183" s="125">
        <f>ROUND(IF($F$4="NO",Valores!$C$63,Valores!$C$63/2),2)</f>
        <v>12836.3</v>
      </c>
      <c r="AH183" s="125">
        <f t="shared" si="23"/>
        <v>364197.2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-40061.692000000003</v>
      </c>
      <c r="AO183" s="125">
        <f>AH183*-Valores!$C$72</f>
        <v>0</v>
      </c>
      <c r="AP183" s="125">
        <f>AH183*Valores!$C$73</f>
        <v>-16388.874</v>
      </c>
      <c r="AQ183" s="125">
        <f>Valores!$C$100</f>
        <v>-554.86</v>
      </c>
      <c r="AR183" s="125">
        <f>IF($F$5=0,Valores!$C$101,(Valores!$C$101+$F$5*(Valores!$C$101)))</f>
        <v>-852</v>
      </c>
      <c r="AS183" s="125">
        <f t="shared" si="24"/>
        <v>306339.77399999998</v>
      </c>
      <c r="AT183" s="125">
        <f t="shared" si="18"/>
        <v>-40061.692000000003</v>
      </c>
      <c r="AU183" s="125">
        <f>AH183*Valores!$C$74</f>
        <v>-9833.3243999999995</v>
      </c>
      <c r="AV183" s="125">
        <f>AH183*Valores!$C$75</f>
        <v>-1092.5916</v>
      </c>
      <c r="AW183" s="125">
        <f t="shared" si="22"/>
        <v>313209.592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9612.2999999999993</v>
      </c>
      <c r="G184" s="192">
        <f>1323</f>
        <v>1323</v>
      </c>
      <c r="H184" s="125">
        <f>ROUND(G184*Valores!$C$2,2)</f>
        <v>71045.100000000006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69810</v>
      </c>
      <c r="M184" s="125">
        <f>ROUND(IF($H$2=0,IF(AND(A184&lt;&gt;"13-930",A184&lt;&gt;"13-940"),(SUM(F184,H184,J184,L184,X184,T184,R184)*Valores!$C$4),0),0),2)</f>
        <v>0</v>
      </c>
      <c r="N184" s="125">
        <f t="shared" si="19"/>
        <v>44791.31</v>
      </c>
      <c r="O184" s="125">
        <f>Valores!$C$9</f>
        <v>67480.59</v>
      </c>
      <c r="P184" s="125">
        <f>Valores!$D$5</f>
        <v>27451.439999999999</v>
      </c>
      <c r="Q184" s="125">
        <f>Valores!$C$22</f>
        <v>24491.06</v>
      </c>
      <c r="R184" s="125">
        <f>IF($F$4="NO",Valores!$C$47,Valores!$C$47/2)</f>
        <v>28697.84</v>
      </c>
      <c r="S184" s="125">
        <f>Valores!$C$19</f>
        <v>25544</v>
      </c>
      <c r="T184" s="125">
        <f t="shared" si="25"/>
        <v>31930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75182.289999999994</v>
      </c>
      <c r="AA184" s="125">
        <f>Valores!$C$25</f>
        <v>1122.78</v>
      </c>
      <c r="AB184" s="214">
        <v>0</v>
      </c>
      <c r="AC184" s="125">
        <f t="shared" si="20"/>
        <v>0</v>
      </c>
      <c r="AD184" s="125">
        <f>Valores!$C$26</f>
        <v>1122.78</v>
      </c>
      <c r="AE184" s="192">
        <v>0</v>
      </c>
      <c r="AF184" s="125">
        <f>ROUND(AE184*Valores!$C$2,2)</f>
        <v>0</v>
      </c>
      <c r="AG184" s="125">
        <f>ROUND(IF($F$4="NO",Valores!$C$63,Valores!$C$63/2),2)</f>
        <v>12836.3</v>
      </c>
      <c r="AH184" s="125">
        <f t="shared" si="23"/>
        <v>465573.7900000001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-51213.116900000008</v>
      </c>
      <c r="AO184" s="125">
        <f>AH184*-Valores!$C$72</f>
        <v>0</v>
      </c>
      <c r="AP184" s="125">
        <f>AH184*Valores!$C$73</f>
        <v>-20950.820550000004</v>
      </c>
      <c r="AQ184" s="125">
        <f>Valores!$C$100</f>
        <v>-554.86</v>
      </c>
      <c r="AR184" s="125">
        <f>IF($F$5=0,Valores!$C$101,(Valores!$C$101+$F$5*(Valores!$C$101)))</f>
        <v>-852</v>
      </c>
      <c r="AS184" s="125">
        <f t="shared" si="24"/>
        <v>392002.99255000008</v>
      </c>
      <c r="AT184" s="125">
        <f t="shared" si="18"/>
        <v>-51213.116900000008</v>
      </c>
      <c r="AU184" s="125">
        <f>AH184*Valores!$C$74</f>
        <v>-12570.492330000003</v>
      </c>
      <c r="AV184" s="125">
        <f>AH184*Valores!$C$75</f>
        <v>-1396.7213700000002</v>
      </c>
      <c r="AW184" s="125">
        <f t="shared" si="22"/>
        <v>400393.45940000011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3436.8</v>
      </c>
      <c r="G185" s="192">
        <v>1354</v>
      </c>
      <c r="H185" s="125">
        <f>ROUND(G185*Valores!$C$2,2)</f>
        <v>72709.8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64440</v>
      </c>
      <c r="M185" s="125">
        <f>ROUND(IF($H$2=0,IF(AND(A185&lt;&gt;"13-930",A185&lt;&gt;"13-940"),(SUM(F185,H185,J185,L185,X185,T185,R185)*Valores!$C$4),0),0),2)</f>
        <v>0</v>
      </c>
      <c r="N185" s="125">
        <f t="shared" si="19"/>
        <v>42321.11</v>
      </c>
      <c r="O185" s="125">
        <f>Valores!$C$14</f>
        <v>53474.37</v>
      </c>
      <c r="P185" s="125">
        <f>Valores!$D$5</f>
        <v>27451.439999999999</v>
      </c>
      <c r="Q185" s="125">
        <v>0</v>
      </c>
      <c r="R185" s="125">
        <f>IF($F$4="NO",Valores!$C$47,Valores!$C$47/2)</f>
        <v>28697.84</v>
      </c>
      <c r="S185" s="125">
        <f>Valores!$C$20</f>
        <v>25282.84</v>
      </c>
      <c r="T185" s="125">
        <f t="shared" si="25"/>
        <v>31603.55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75182.289999999994</v>
      </c>
      <c r="AA185" s="125">
        <f>Valores!$C$25</f>
        <v>1122.78</v>
      </c>
      <c r="AB185" s="214">
        <v>0</v>
      </c>
      <c r="AC185" s="125">
        <f t="shared" si="20"/>
        <v>0</v>
      </c>
      <c r="AD185" s="125">
        <f>Valores!$C$26</f>
        <v>1122.78</v>
      </c>
      <c r="AE185" s="192">
        <v>0</v>
      </c>
      <c r="AF185" s="125">
        <f>ROUND(AE185*Valores!$C$2,2)</f>
        <v>0</v>
      </c>
      <c r="AG185" s="125">
        <f>ROUND(IF($F$4="NO",Valores!$C$63,Valores!$C$63/2),2)</f>
        <v>12836.3</v>
      </c>
      <c r="AH185" s="125">
        <f t="shared" si="23"/>
        <v>414399.06000000006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-45583.896600000007</v>
      </c>
      <c r="AO185" s="125">
        <f>AH185*-Valores!$C$72</f>
        <v>0</v>
      </c>
      <c r="AP185" s="125">
        <f>AH185*Valores!$C$73</f>
        <v>-18647.957700000003</v>
      </c>
      <c r="AQ185" s="125">
        <f>Valores!$C$100</f>
        <v>-554.86</v>
      </c>
      <c r="AR185" s="125">
        <f>IF($F$5=0,Valores!$C$101,(Valores!$C$101+$F$5*(Valores!$C$101)))</f>
        <v>-852</v>
      </c>
      <c r="AS185" s="125">
        <f t="shared" si="24"/>
        <v>348760.34570000006</v>
      </c>
      <c r="AT185" s="125">
        <f t="shared" si="18"/>
        <v>-45583.896600000007</v>
      </c>
      <c r="AU185" s="125">
        <f>AH185*Valores!$C$74</f>
        <v>-11188.774620000002</v>
      </c>
      <c r="AV185" s="125">
        <f>AH185*Valores!$C$75</f>
        <v>-1243.1971800000001</v>
      </c>
      <c r="AW185" s="125">
        <f t="shared" si="22"/>
        <v>356383.19160000002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2953.5</v>
      </c>
      <c r="G186" s="192">
        <v>1279</v>
      </c>
      <c r="H186" s="125">
        <f>ROUND(G186*Valores!$C$2,2)</f>
        <v>68682.3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64440</v>
      </c>
      <c r="M186" s="125">
        <f>ROUND(IF($H$2=0,IF(AND(A186&lt;&gt;"13-930",A186&lt;&gt;"13-940"),(SUM(F186,H186,J186,L186,X186,T186,R186)*Valores!$C$4),0),0),2)</f>
        <v>0</v>
      </c>
      <c r="N186" s="125">
        <f t="shared" si="19"/>
        <v>41193.410000000003</v>
      </c>
      <c r="O186" s="125">
        <f>Valores!$C$16</f>
        <v>46403.78</v>
      </c>
      <c r="P186" s="125">
        <f>Valores!$D$5</f>
        <v>27451.439999999999</v>
      </c>
      <c r="Q186" s="125">
        <v>0</v>
      </c>
      <c r="R186" s="125">
        <f>IF($F$4="NO",Valores!$C$47,Valores!$C$47/2)</f>
        <v>28697.84</v>
      </c>
      <c r="S186" s="125">
        <f>Valores!$C$19</f>
        <v>25544</v>
      </c>
      <c r="T186" s="125">
        <f t="shared" si="25"/>
        <v>31930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75182.289999999994</v>
      </c>
      <c r="AA186" s="125">
        <f>Valores!$C$25</f>
        <v>1122.78</v>
      </c>
      <c r="AB186" s="214">
        <v>0</v>
      </c>
      <c r="AC186" s="125">
        <f t="shared" si="20"/>
        <v>0</v>
      </c>
      <c r="AD186" s="125">
        <f>Valores!$C$26</f>
        <v>1122.78</v>
      </c>
      <c r="AE186" s="192">
        <v>0</v>
      </c>
      <c r="AF186" s="125">
        <f>ROUND(AE186*Valores!$C$2,2)</f>
        <v>0</v>
      </c>
      <c r="AG186" s="125">
        <f>ROUND(IF($F$4="NO",Valores!$C$63,Valores!$C$63/2),2)</f>
        <v>12836.3</v>
      </c>
      <c r="AH186" s="125">
        <f t="shared" si="23"/>
        <v>402016.42000000004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-44221.806200000006</v>
      </c>
      <c r="AO186" s="125">
        <f>AH186*-Valores!$C$72</f>
        <v>0</v>
      </c>
      <c r="AP186" s="125">
        <f>AH186*Valores!$C$73</f>
        <v>-18090.7389</v>
      </c>
      <c r="AQ186" s="125">
        <f>Valores!$C$100</f>
        <v>-554.86</v>
      </c>
      <c r="AR186" s="125">
        <f>IF($F$5=0,Valores!$C$101,(Valores!$C$101+$F$5*(Valores!$C$101)))</f>
        <v>-852</v>
      </c>
      <c r="AS186" s="125">
        <f t="shared" si="24"/>
        <v>338297.01490000007</v>
      </c>
      <c r="AT186" s="125">
        <f t="shared" si="18"/>
        <v>-44221.806200000006</v>
      </c>
      <c r="AU186" s="125">
        <f>AH186*Valores!$C$74</f>
        <v>-10854.443340000002</v>
      </c>
      <c r="AV186" s="125">
        <f>AH186*Valores!$C$75</f>
        <v>-1206.0492600000002</v>
      </c>
      <c r="AW186" s="125">
        <f t="shared" si="22"/>
        <v>345734.12120000005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55149.9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64440</v>
      </c>
      <c r="M187" s="125">
        <f>ROUND(IF($H$2=0,IF(AND(A187&lt;&gt;"13-930",A187&lt;&gt;"13-940"),(SUM(F187,H187,J187,L187,X187,T187,R187)*Valores!$C$4),0),0),2)</f>
        <v>0</v>
      </c>
      <c r="N187" s="125">
        <f t="shared" si="19"/>
        <v>37071.94</v>
      </c>
      <c r="O187" s="125">
        <f>Valores!$C$16</f>
        <v>46403.78</v>
      </c>
      <c r="P187" s="125">
        <f>Valores!$D$5</f>
        <v>27451.439999999999</v>
      </c>
      <c r="Q187" s="125">
        <v>0</v>
      </c>
      <c r="R187" s="125">
        <f>IF($F$4="NO",Valores!$C$47,Valores!$C$47/2)</f>
        <v>28697.84</v>
      </c>
      <c r="S187" s="125">
        <f>Valores!$C$20</f>
        <v>25282.84</v>
      </c>
      <c r="T187" s="125">
        <f t="shared" si="25"/>
        <v>31603.55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75182.289999999994</v>
      </c>
      <c r="AA187" s="125">
        <f>Valores!$C$25</f>
        <v>1122.78</v>
      </c>
      <c r="AB187" s="214">
        <v>0</v>
      </c>
      <c r="AC187" s="125">
        <f t="shared" si="20"/>
        <v>0</v>
      </c>
      <c r="AD187" s="125">
        <f>Valores!$C$26</f>
        <v>1122.78</v>
      </c>
      <c r="AE187" s="192">
        <v>0</v>
      </c>
      <c r="AF187" s="125">
        <f>ROUND(AE187*Valores!$C$2,2)</f>
        <v>0</v>
      </c>
      <c r="AG187" s="125">
        <f>ROUND(IF($F$4="NO",Valores!$C$63,Valores!$C$63/2),2)</f>
        <v>12836.3</v>
      </c>
      <c r="AH187" s="125">
        <f t="shared" si="23"/>
        <v>381082.60000000003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-41919.086000000003</v>
      </c>
      <c r="AO187" s="125">
        <f>AH187*-Valores!$C$72</f>
        <v>0</v>
      </c>
      <c r="AP187" s="125">
        <f>AH187*Valores!$C$73</f>
        <v>-17148.717000000001</v>
      </c>
      <c r="AQ187" s="125">
        <f>Valores!$C$100</f>
        <v>-554.86</v>
      </c>
      <c r="AR187" s="125">
        <f>IF($F$5=0,Valores!$C$101,(Valores!$C$101+$F$5*(Valores!$C$101)))</f>
        <v>-852</v>
      </c>
      <c r="AS187" s="125">
        <f t="shared" si="24"/>
        <v>320607.93700000003</v>
      </c>
      <c r="AT187" s="125">
        <f t="shared" si="18"/>
        <v>-41919.086000000003</v>
      </c>
      <c r="AU187" s="125">
        <f>AH187*Valores!$C$74</f>
        <v>-10289.2302</v>
      </c>
      <c r="AV187" s="125">
        <f>AH187*Valores!$C$75</f>
        <v>-1143.2478000000001</v>
      </c>
      <c r="AW187" s="125">
        <f t="shared" si="22"/>
        <v>327731.03600000002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68628.600000000006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64440</v>
      </c>
      <c r="M188" s="125">
        <f>ROUND(IF($H$2=0,IF(AND(A188&lt;&gt;"13-930",A188&lt;&gt;"13-940"),(SUM(F188,H188,J188,L188,X188,T188,R188)*Valores!$C$4),0),0),2)</f>
        <v>0</v>
      </c>
      <c r="N188" s="125">
        <f t="shared" si="19"/>
        <v>40441.61</v>
      </c>
      <c r="O188" s="125">
        <f>Valores!$C$16</f>
        <v>46403.78</v>
      </c>
      <c r="P188" s="125">
        <f>Valores!$D$5</f>
        <v>27451.439999999999</v>
      </c>
      <c r="Q188" s="125">
        <f>Valores!$C$22</f>
        <v>24491.06</v>
      </c>
      <c r="R188" s="125">
        <f>IF($F$4="NO",Valores!$C$47,Valores!$C$47/2)</f>
        <v>28697.84</v>
      </c>
      <c r="S188" s="125">
        <f>Valores!$C$19</f>
        <v>25544</v>
      </c>
      <c r="T188" s="125">
        <f t="shared" si="25"/>
        <v>31930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75182.289999999994</v>
      </c>
      <c r="AA188" s="125">
        <f>Valores!$C$25</f>
        <v>1122.78</v>
      </c>
      <c r="AB188" s="214">
        <v>0</v>
      </c>
      <c r="AC188" s="125">
        <f t="shared" si="20"/>
        <v>0</v>
      </c>
      <c r="AD188" s="125">
        <f>Valores!$C$26</f>
        <v>1122.78</v>
      </c>
      <c r="AE188" s="192">
        <v>0</v>
      </c>
      <c r="AF188" s="125">
        <f>ROUND(AE188*Valores!$C$2,2)</f>
        <v>0</v>
      </c>
      <c r="AG188" s="125">
        <f>ROUND(IF($F$4="NO",Valores!$C$63,Valores!$C$63/2),2)</f>
        <v>12836.3</v>
      </c>
      <c r="AH188" s="125">
        <f t="shared" si="23"/>
        <v>422748.4800000001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-46502.332800000011</v>
      </c>
      <c r="AO188" s="125">
        <f>AH188*-Valores!$C$72</f>
        <v>0</v>
      </c>
      <c r="AP188" s="125">
        <f>AH188*Valores!$C$73</f>
        <v>-19023.681600000004</v>
      </c>
      <c r="AQ188" s="125">
        <f>Valores!$C$100</f>
        <v>-554.86</v>
      </c>
      <c r="AR188" s="125">
        <f>IF($F$5=0,Valores!$C$101,(Valores!$C$101+$F$5*(Valores!$C$101)))</f>
        <v>-852</v>
      </c>
      <c r="AS188" s="125">
        <f t="shared" si="24"/>
        <v>355815.60560000007</v>
      </c>
      <c r="AT188" s="125">
        <f t="shared" si="18"/>
        <v>-46502.332800000011</v>
      </c>
      <c r="AU188" s="125">
        <f>AH188*Valores!$C$74</f>
        <v>-11414.208960000002</v>
      </c>
      <c r="AV188" s="125">
        <f>AH188*Valores!$C$75</f>
        <v>-1268.2454400000004</v>
      </c>
      <c r="AW188" s="125">
        <f t="shared" si="22"/>
        <v>363563.69280000008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57190.5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32220</v>
      </c>
      <c r="M189" s="125">
        <f>ROUND(IF($H$2=0,IF(AND(A189&lt;&gt;"13-930",A189&lt;&gt;"13-940"),(SUM(F189,H189,J189,L189,X189,T189,R189)*Valores!$C$4),0),0),2)</f>
        <v>0</v>
      </c>
      <c r="N189" s="125">
        <f t="shared" si="19"/>
        <v>29527.09</v>
      </c>
      <c r="O189" s="125">
        <f>Valores!$C$16</f>
        <v>46403.78</v>
      </c>
      <c r="P189" s="125">
        <f>Valores!$D$5</f>
        <v>27451.439999999999</v>
      </c>
      <c r="Q189" s="125">
        <v>0</v>
      </c>
      <c r="R189" s="125">
        <f>IF($F$4="NO",Valores!$C$47,Valores!$C$47/2)</f>
        <v>28697.84</v>
      </c>
      <c r="S189" s="125">
        <f>Valores!$C$19</f>
        <v>25544</v>
      </c>
      <c r="T189" s="125">
        <f t="shared" si="25"/>
        <v>31930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75182.289999999994</v>
      </c>
      <c r="AA189" s="125">
        <f>Valores!$C$25</f>
        <v>1122.78</v>
      </c>
      <c r="AB189" s="214">
        <v>0</v>
      </c>
      <c r="AC189" s="125">
        <f t="shared" si="20"/>
        <v>0</v>
      </c>
      <c r="AD189" s="125">
        <f>Valores!$C$26</f>
        <v>1122.78</v>
      </c>
      <c r="AE189" s="192">
        <v>0</v>
      </c>
      <c r="AF189" s="125">
        <f>ROUND(AE189*Valores!$C$2,2)</f>
        <v>0</v>
      </c>
      <c r="AG189" s="125">
        <f>ROUND(IF($F$4="NO",Valores!$C$63,Valores!$C$63/2),2)</f>
        <v>12836.3</v>
      </c>
      <c r="AH189" s="125">
        <f t="shared" si="23"/>
        <v>343684.80000000005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-37805.328000000009</v>
      </c>
      <c r="AO189" s="125">
        <f>AH189*-Valores!$C$72</f>
        <v>0</v>
      </c>
      <c r="AP189" s="125">
        <f>AH189*Valores!$C$73</f>
        <v>-15465.816000000001</v>
      </c>
      <c r="AQ189" s="125">
        <f>Valores!$C$100</f>
        <v>-554.86</v>
      </c>
      <c r="AR189" s="125">
        <f>IF($F$5=0,Valores!$C$101,(Valores!$C$101+$F$5*(Valores!$C$101)))</f>
        <v>-852</v>
      </c>
      <c r="AS189" s="125">
        <f t="shared" si="24"/>
        <v>289006.79600000003</v>
      </c>
      <c r="AT189" s="125">
        <f t="shared" si="18"/>
        <v>-37805.328000000009</v>
      </c>
      <c r="AU189" s="125">
        <f>AH189*Valores!$C$74</f>
        <v>-9279.4896000000008</v>
      </c>
      <c r="AV189" s="125">
        <f>AH189*Valores!$C$75</f>
        <v>-1031.0544000000002</v>
      </c>
      <c r="AW189" s="125">
        <f t="shared" si="22"/>
        <v>295568.92800000001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52142.7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35442</v>
      </c>
      <c r="M190" s="125">
        <f>ROUND(IF($H$2=0,IF(AND(A190&lt;&gt;"13-930",A190&lt;&gt;"13-940"),(SUM(F190,H190,J190,L190,X190,T190,R190)*Valores!$C$4),0),0),2)</f>
        <v>0</v>
      </c>
      <c r="N190" s="125">
        <f t="shared" si="19"/>
        <v>26663.74</v>
      </c>
      <c r="O190" s="125">
        <f>Valores!$C$16</f>
        <v>46403.78</v>
      </c>
      <c r="P190" s="125">
        <f>Valores!$D$5</f>
        <v>27451.439999999999</v>
      </c>
      <c r="Q190" s="125">
        <f>Valores!$C$23</f>
        <v>22794.65</v>
      </c>
      <c r="R190" s="125">
        <f>IF($F$4="NO",Valores!$C$44,Valores!$C$44/2)</f>
        <v>19070.25</v>
      </c>
      <c r="S190" s="125">
        <f>Valores!$C$19</f>
        <v>25544</v>
      </c>
      <c r="T190" s="125">
        <f t="shared" si="25"/>
        <v>31930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37591.14</v>
      </c>
      <c r="AA190" s="125">
        <f>Valores!$C$25</f>
        <v>1122.78</v>
      </c>
      <c r="AB190" s="214">
        <v>0</v>
      </c>
      <c r="AC190" s="125">
        <f t="shared" si="20"/>
        <v>0</v>
      </c>
      <c r="AD190" s="125">
        <f>Valores!$C$26</f>
        <v>1122.78</v>
      </c>
      <c r="AE190" s="192">
        <v>0</v>
      </c>
      <c r="AF190" s="125">
        <f>ROUND(AE190*Valores!$C$2,2)</f>
        <v>0</v>
      </c>
      <c r="AG190" s="125">
        <f>ROUND(IF($F$4="NO",Valores!$C$63,Valores!$C$63/2),2)</f>
        <v>12836.3</v>
      </c>
      <c r="AH190" s="125">
        <f t="shared" si="23"/>
        <v>314571.56000000006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-34602.871600000006</v>
      </c>
      <c r="AO190" s="125">
        <f>AH190*-Valores!$C$72</f>
        <v>0</v>
      </c>
      <c r="AP190" s="125">
        <f>AH190*Valores!$C$73</f>
        <v>-14155.720200000002</v>
      </c>
      <c r="AQ190" s="125">
        <f>Valores!$C$100</f>
        <v>-554.86</v>
      </c>
      <c r="AR190" s="125">
        <f>IF($F$5=0,Valores!$C$101,(Valores!$C$101+$F$5*(Valores!$C$101)))</f>
        <v>-852</v>
      </c>
      <c r="AS190" s="125">
        <f t="shared" si="24"/>
        <v>264406.10820000002</v>
      </c>
      <c r="AT190" s="125">
        <f t="shared" si="18"/>
        <v>-34602.871600000006</v>
      </c>
      <c r="AU190" s="125">
        <f>AH190*Valores!$C$74</f>
        <v>-8493.4321200000013</v>
      </c>
      <c r="AV190" s="125">
        <f>AH190*Valores!$C$75</f>
        <v>-943.71468000000016</v>
      </c>
      <c r="AW190" s="125">
        <f t="shared" si="22"/>
        <v>270531.54160000006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5316.3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0</v>
      </c>
      <c r="N191" s="125">
        <f t="shared" si="19"/>
        <v>1568.89</v>
      </c>
      <c r="O191" s="125">
        <f>Valores!$C$7*B191</f>
        <v>1821.12</v>
      </c>
      <c r="P191" s="125">
        <f>ROUND(IF(B191&lt;15,(Valores!$E$5*B191),Valores!$D$5),2)</f>
        <v>1830.1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959.27</v>
      </c>
      <c r="S191" s="125">
        <f>Valores!$C$18*B191</f>
        <v>572.77</v>
      </c>
      <c r="T191" s="125">
        <f t="shared" si="25"/>
        <v>715.96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1748.57</v>
      </c>
      <c r="AA191" s="125">
        <f>IF((Valores!$C$28)*B191&gt;Valores!$F$28,Valores!$F$28,(Valores!$C$28)*B191)</f>
        <v>44.99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37.46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855.75</v>
      </c>
      <c r="AH191" s="125">
        <f t="shared" si="23"/>
        <v>14898.410000000002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-1638.8251000000002</v>
      </c>
      <c r="AO191" s="125">
        <f>AH191*-Valores!$C$72</f>
        <v>0</v>
      </c>
      <c r="AP191" s="125">
        <f>AH191*Valores!$C$73</f>
        <v>-670.42845</v>
      </c>
      <c r="AQ191" s="125">
        <f>Valores!$C$100</f>
        <v>-554.86</v>
      </c>
      <c r="AR191" s="125">
        <f>IF($F$5=0,Valores!$C$101,(Valores!$C$101+$F$5*(Valores!$C$101)))</f>
        <v>-852</v>
      </c>
      <c r="AS191" s="125">
        <f t="shared" si="24"/>
        <v>11182.296450000002</v>
      </c>
      <c r="AT191" s="125">
        <f t="shared" si="18"/>
        <v>-1638.8251000000002</v>
      </c>
      <c r="AU191" s="125">
        <f>AH191*Valores!$C$74</f>
        <v>-402.25707000000006</v>
      </c>
      <c r="AV191" s="125">
        <f>AH191*Valores!$C$75</f>
        <v>-44.695230000000009</v>
      </c>
      <c r="AW191" s="125">
        <f t="shared" si="22"/>
        <v>12812.632600000001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10632.6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0</v>
      </c>
      <c r="N192" s="125">
        <f t="shared" si="19"/>
        <v>3137.79</v>
      </c>
      <c r="O192" s="125">
        <f>Valores!$C$7*B192</f>
        <v>3642.24</v>
      </c>
      <c r="P192" s="125">
        <f>ROUND(IF(B192&lt;15,(Valores!$E$5*B192),Valores!$D$5),2)</f>
        <v>3660.2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1918.54</v>
      </c>
      <c r="S192" s="125">
        <f>Valores!$C$18*B192</f>
        <v>1145.54</v>
      </c>
      <c r="T192" s="125">
        <f t="shared" si="25"/>
        <v>1431.93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3497.14</v>
      </c>
      <c r="AA192" s="125">
        <f>IF((Valores!$C$28)*B192&gt;Valores!$F$28,Valores!$F$28,(Valores!$C$28)*B192)</f>
        <v>89.98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74.92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1711.5</v>
      </c>
      <c r="AH192" s="125">
        <f t="shared" si="23"/>
        <v>29796.839999999997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-3277.6523999999995</v>
      </c>
      <c r="AO192" s="125">
        <f>AH192*-Valores!$C$72</f>
        <v>0</v>
      </c>
      <c r="AP192" s="125">
        <f>AH192*Valores!$C$73</f>
        <v>-1340.8577999999998</v>
      </c>
      <c r="AQ192" s="125">
        <f>Valores!$C$100</f>
        <v>-554.86</v>
      </c>
      <c r="AR192" s="125">
        <f>IF($F$5=0,Valores!$C$101,(Valores!$C$101+$F$5*(Valores!$C$101)))</f>
        <v>-852</v>
      </c>
      <c r="AS192" s="125">
        <f t="shared" si="24"/>
        <v>23771.469799999999</v>
      </c>
      <c r="AT192" s="125">
        <f t="shared" si="18"/>
        <v>-3277.6523999999995</v>
      </c>
      <c r="AU192" s="125">
        <f>AH192*Valores!$C$74</f>
        <v>-804.51467999999988</v>
      </c>
      <c r="AV192" s="125">
        <f>AH192*Valores!$C$75</f>
        <v>-89.390519999999995</v>
      </c>
      <c r="AW192" s="125">
        <f t="shared" si="22"/>
        <v>25625.282399999996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15948.9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0</v>
      </c>
      <c r="N193" s="125">
        <f t="shared" si="19"/>
        <v>4706.68</v>
      </c>
      <c r="O193" s="125">
        <f>Valores!$C$7*B193</f>
        <v>5463.36</v>
      </c>
      <c r="P193" s="125">
        <f>ROUND(IF(B193&lt;15,(Valores!$E$5*B193),Valores!$D$5),2)</f>
        <v>5490.3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2877.81</v>
      </c>
      <c r="S193" s="125">
        <f>Valores!$C$18*B193</f>
        <v>1718.31</v>
      </c>
      <c r="T193" s="125">
        <f t="shared" si="25"/>
        <v>2147.89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5245.71</v>
      </c>
      <c r="AA193" s="125">
        <f>IF((Valores!$C$28)*B193&gt;Valores!$F$28,Valores!$F$28,(Valores!$C$28)*B193)</f>
        <v>134.97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112.38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2567.25</v>
      </c>
      <c r="AH193" s="125">
        <f t="shared" si="23"/>
        <v>44695.25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-4916.4775</v>
      </c>
      <c r="AO193" s="125">
        <f>AH193*-Valores!$C$72</f>
        <v>0</v>
      </c>
      <c r="AP193" s="125">
        <f>AH193*Valores!$C$73</f>
        <v>-2011.2862499999999</v>
      </c>
      <c r="AQ193" s="125">
        <f>Valores!$C$100</f>
        <v>-554.86</v>
      </c>
      <c r="AR193" s="125">
        <f>IF($F$5=0,Valores!$C$101,(Valores!$C$101+$F$5*(Valores!$C$101)))</f>
        <v>-852</v>
      </c>
      <c r="AS193" s="125">
        <f t="shared" si="24"/>
        <v>36360.626250000001</v>
      </c>
      <c r="AT193" s="125">
        <f t="shared" si="18"/>
        <v>-4916.4775</v>
      </c>
      <c r="AU193" s="125">
        <f>AH193*Valores!$C$74</f>
        <v>-1206.7717499999999</v>
      </c>
      <c r="AV193" s="125">
        <f>AH193*Valores!$C$75</f>
        <v>-134.08574999999999</v>
      </c>
      <c r="AW193" s="125">
        <f t="shared" si="22"/>
        <v>38437.915000000001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21265.200000000001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0</v>
      </c>
      <c r="N194" s="125">
        <f t="shared" si="19"/>
        <v>6275.57</v>
      </c>
      <c r="O194" s="125">
        <f>Valores!$C$7*B194</f>
        <v>7284.48</v>
      </c>
      <c r="P194" s="125">
        <f>ROUND(IF(B194&lt;15,(Valores!$E$5*B194),Valores!$D$5),2)</f>
        <v>7320.4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3837.08</v>
      </c>
      <c r="S194" s="125">
        <f>Valores!$C$18*B194</f>
        <v>2291.08</v>
      </c>
      <c r="T194" s="125">
        <f t="shared" si="25"/>
        <v>2863.85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6994.28</v>
      </c>
      <c r="AA194" s="125">
        <f>IF((Valores!$C$28)*B194&gt;Valores!$F$28,Valores!$F$28,(Valores!$C$28)*B194)</f>
        <v>179.96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149.84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3423</v>
      </c>
      <c r="AH194" s="125">
        <f t="shared" si="23"/>
        <v>59593.659999999996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-6555.3026</v>
      </c>
      <c r="AO194" s="125">
        <f>AH194*-Valores!$C$72</f>
        <v>0</v>
      </c>
      <c r="AP194" s="125">
        <f>AH194*Valores!$C$73</f>
        <v>-2681.7146999999995</v>
      </c>
      <c r="AQ194" s="125">
        <f>Valores!$C$100</f>
        <v>-554.86</v>
      </c>
      <c r="AR194" s="125">
        <f>IF($F$5=0,Valores!$C$101,(Valores!$C$101+$F$5*(Valores!$C$101)))</f>
        <v>-852</v>
      </c>
      <c r="AS194" s="125">
        <f t="shared" si="24"/>
        <v>48949.782699999996</v>
      </c>
      <c r="AT194" s="125">
        <f t="shared" si="18"/>
        <v>-6555.3026</v>
      </c>
      <c r="AU194" s="125">
        <f>AH194*Valores!$C$74</f>
        <v>-1609.0288199999998</v>
      </c>
      <c r="AV194" s="125">
        <f>AH194*Valores!$C$75</f>
        <v>-178.78098</v>
      </c>
      <c r="AW194" s="125">
        <f t="shared" si="22"/>
        <v>51250.547599999998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26581.5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0</v>
      </c>
      <c r="N195" s="125">
        <f t="shared" si="19"/>
        <v>7844.46</v>
      </c>
      <c r="O195" s="125">
        <f>Valores!$C$7*B195</f>
        <v>9105.5999999999985</v>
      </c>
      <c r="P195" s="125">
        <f>ROUND(IF(B195&lt;15,(Valores!$E$5*B195),Valores!$D$5),2)</f>
        <v>9150.5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4796.3500000000004</v>
      </c>
      <c r="S195" s="125">
        <f>Valores!$C$18*B195</f>
        <v>2863.85</v>
      </c>
      <c r="T195" s="125">
        <f t="shared" si="25"/>
        <v>3579.81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8742.85</v>
      </c>
      <c r="AA195" s="125">
        <f>IF((Valores!$C$28)*B195&gt;Valores!$F$28,Valores!$F$28,(Valores!$C$28)*B195)</f>
        <v>224.95000000000002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187.3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4278.75</v>
      </c>
      <c r="AH195" s="125">
        <f t="shared" si="23"/>
        <v>74492.069999999992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-8194.1276999999991</v>
      </c>
      <c r="AO195" s="125">
        <f>AH195*-Valores!$C$72</f>
        <v>0</v>
      </c>
      <c r="AP195" s="125">
        <f>AH195*Valores!$C$73</f>
        <v>-3352.1431499999994</v>
      </c>
      <c r="AQ195" s="125">
        <f>Valores!$C$100</f>
        <v>-554.86</v>
      </c>
      <c r="AR195" s="125">
        <f>IF($F$5=0,Valores!$C$101,(Valores!$C$101+$F$5*(Valores!$C$101)))</f>
        <v>-852</v>
      </c>
      <c r="AS195" s="125">
        <f t="shared" si="24"/>
        <v>61538.939149999991</v>
      </c>
      <c r="AT195" s="125">
        <f t="shared" si="18"/>
        <v>-8194.1276999999991</v>
      </c>
      <c r="AU195" s="125">
        <f>AH195*Valores!$C$74</f>
        <v>-2011.2858899999999</v>
      </c>
      <c r="AV195" s="125">
        <f>AH195*Valores!$C$75</f>
        <v>-223.47620999999998</v>
      </c>
      <c r="AW195" s="125">
        <f t="shared" si="22"/>
        <v>64063.180199999995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31897.8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0</v>
      </c>
      <c r="N196" s="125">
        <f t="shared" si="19"/>
        <v>9413.36</v>
      </c>
      <c r="O196" s="125">
        <f>Valores!$C$7*B196</f>
        <v>10926.72</v>
      </c>
      <c r="P196" s="125">
        <f>ROUND(IF(B196&lt;15,(Valores!$E$5*B196),Valores!$D$5),2)</f>
        <v>10980.6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5755.62</v>
      </c>
      <c r="S196" s="125">
        <f>Valores!$C$18*B196</f>
        <v>3436.62</v>
      </c>
      <c r="T196" s="125">
        <f t="shared" si="25"/>
        <v>4295.78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10491.42</v>
      </c>
      <c r="AA196" s="125">
        <f>IF((Valores!$C$28)*B196&gt;Valores!$F$28,Valores!$F$28,(Valores!$C$28)*B196)</f>
        <v>269.94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224.76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5134.5</v>
      </c>
      <c r="AH196" s="125">
        <f t="shared" si="23"/>
        <v>89390.5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-9832.9549999999999</v>
      </c>
      <c r="AO196" s="125">
        <f>AH196*-Valores!$C$72</f>
        <v>0</v>
      </c>
      <c r="AP196" s="125">
        <f>AH196*Valores!$C$73</f>
        <v>-4022.5724999999998</v>
      </c>
      <c r="AQ196" s="125">
        <f>Valores!$C$100</f>
        <v>-554.86</v>
      </c>
      <c r="AR196" s="125">
        <f>IF($F$5=0,Valores!$C$101,(Valores!$C$101+$F$5*(Valores!$C$101)))</f>
        <v>-852</v>
      </c>
      <c r="AS196" s="125">
        <f t="shared" si="24"/>
        <v>74128.112500000003</v>
      </c>
      <c r="AT196" s="125">
        <f t="shared" si="18"/>
        <v>-9832.9549999999999</v>
      </c>
      <c r="AU196" s="125">
        <f>AH196*Valores!$C$74</f>
        <v>-2413.5434999999998</v>
      </c>
      <c r="AV196" s="125">
        <f>AH196*Valores!$C$75</f>
        <v>-268.17149999999998</v>
      </c>
      <c r="AW196" s="125">
        <f t="shared" si="22"/>
        <v>76875.83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37214.1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0</v>
      </c>
      <c r="N197" s="125">
        <f t="shared" si="19"/>
        <v>10982.25</v>
      </c>
      <c r="O197" s="125">
        <f>Valores!$C$7*B197</f>
        <v>12747.84</v>
      </c>
      <c r="P197" s="125">
        <f>ROUND(IF(B197&lt;15,(Valores!$E$5*B197),Valores!$D$5),2)</f>
        <v>12810.7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6714.8899999999994</v>
      </c>
      <c r="S197" s="125">
        <f>Valores!$C$18*B197</f>
        <v>4009.39</v>
      </c>
      <c r="T197" s="125">
        <f t="shared" si="25"/>
        <v>5011.74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12239.99</v>
      </c>
      <c r="AA197" s="125">
        <f>IF((Valores!$C$28)*B197&gt;Valores!$F$28,Valores!$F$28,(Valores!$C$28)*B197)</f>
        <v>314.93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262.22000000000003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5990.25</v>
      </c>
      <c r="AH197" s="125">
        <f t="shared" si="23"/>
        <v>104288.91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-11471.7801</v>
      </c>
      <c r="AO197" s="125">
        <f>AH197*-Valores!$C$72</f>
        <v>0</v>
      </c>
      <c r="AP197" s="125">
        <f>AH197*Valores!$C$73</f>
        <v>-4693.0009499999996</v>
      </c>
      <c r="AQ197" s="125">
        <f>Valores!$C$100</f>
        <v>-554.86</v>
      </c>
      <c r="AR197" s="125">
        <f>IF($F$5=0,Valores!$C$101,(Valores!$C$101+$F$5*(Valores!$C$101)))</f>
        <v>-852</v>
      </c>
      <c r="AS197" s="125">
        <f t="shared" si="24"/>
        <v>86717.268949999998</v>
      </c>
      <c r="AT197" s="125">
        <f t="shared" ref="AT197:AT260" si="29">AN197</f>
        <v>-11471.7801</v>
      </c>
      <c r="AU197" s="125">
        <f>AH197*Valores!$C$74</f>
        <v>-2815.8005699999999</v>
      </c>
      <c r="AV197" s="125">
        <f>AH197*Valores!$C$75</f>
        <v>-312.86673000000002</v>
      </c>
      <c r="AW197" s="125">
        <f t="shared" si="22"/>
        <v>89688.462599999999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42530.400000000001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0</v>
      </c>
      <c r="N198" s="125">
        <f t="shared" si="19"/>
        <v>12551.14</v>
      </c>
      <c r="O198" s="125">
        <f>Valores!$C$7*B198</f>
        <v>14568.96</v>
      </c>
      <c r="P198" s="125">
        <f>ROUND(IF(B198&lt;15,(Valores!$E$5*B198),Valores!$D$5),2)</f>
        <v>14640.8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7674.16</v>
      </c>
      <c r="S198" s="125">
        <f>Valores!$C$18*B198</f>
        <v>4582.16</v>
      </c>
      <c r="T198" s="125">
        <f t="shared" si="25"/>
        <v>5727.7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13988.56</v>
      </c>
      <c r="AA198" s="125">
        <f>IF((Valores!$C$28)*B198&gt;Valores!$F$28,Valores!$F$28,(Valores!$C$28)*B198)</f>
        <v>359.92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299.68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6846</v>
      </c>
      <c r="AH198" s="125">
        <f t="shared" si="23"/>
        <v>119187.31999999999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-13110.6052</v>
      </c>
      <c r="AO198" s="125">
        <f>AH198*-Valores!$C$72</f>
        <v>0</v>
      </c>
      <c r="AP198" s="125">
        <f>AH198*Valores!$C$73</f>
        <v>-5363.4293999999991</v>
      </c>
      <c r="AQ198" s="125">
        <f>Valores!$C$100</f>
        <v>-554.86</v>
      </c>
      <c r="AR198" s="125">
        <f>IF($F$5=0,Valores!$C$101,(Valores!$C$101+$F$5*(Valores!$C$101)))</f>
        <v>-852</v>
      </c>
      <c r="AS198" s="125">
        <f t="shared" si="24"/>
        <v>99306.425399999993</v>
      </c>
      <c r="AT198" s="125">
        <f t="shared" si="29"/>
        <v>-13110.6052</v>
      </c>
      <c r="AU198" s="125">
        <f>AH198*Valores!$C$74</f>
        <v>-3218.0576399999995</v>
      </c>
      <c r="AV198" s="125">
        <f>AH198*Valores!$C$75</f>
        <v>-357.56196</v>
      </c>
      <c r="AW198" s="125">
        <f t="shared" si="22"/>
        <v>102501.0952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47846.7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0</v>
      </c>
      <c r="N199" s="125">
        <f t="shared" si="19"/>
        <v>14120.03</v>
      </c>
      <c r="O199" s="125">
        <f>Valores!$C$7*B199</f>
        <v>16390.079999999998</v>
      </c>
      <c r="P199" s="125">
        <f>ROUND(IF(B199&lt;15,(Valores!$E$5*B199),Valores!$D$5),2)</f>
        <v>16470.900000000001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8633.43</v>
      </c>
      <c r="S199" s="125">
        <f>Valores!$C$18*B199</f>
        <v>5154.93</v>
      </c>
      <c r="T199" s="125">
        <f t="shared" si="25"/>
        <v>6443.66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15737.13</v>
      </c>
      <c r="AA199" s="125">
        <f>IF((Valores!$C$28)*B199&gt;Valores!$F$28,Valores!$F$28,(Valores!$C$28)*B199)</f>
        <v>404.91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337.14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7701.75</v>
      </c>
      <c r="AH199" s="125">
        <f t="shared" si="23"/>
        <v>134085.72999999998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-14749.430299999998</v>
      </c>
      <c r="AO199" s="125">
        <f>AH199*-Valores!$C$72</f>
        <v>0</v>
      </c>
      <c r="AP199" s="125">
        <f>AH199*Valores!$C$73</f>
        <v>-6033.8578499999985</v>
      </c>
      <c r="AQ199" s="125">
        <f>Valores!$C$100</f>
        <v>-554.86</v>
      </c>
      <c r="AR199" s="125">
        <f>IF($F$5=0,Valores!$C$101,(Valores!$C$101+$F$5*(Valores!$C$101)))</f>
        <v>-852</v>
      </c>
      <c r="AS199" s="125">
        <f t="shared" si="24"/>
        <v>111895.58184999999</v>
      </c>
      <c r="AT199" s="125">
        <f t="shared" si="29"/>
        <v>-14749.430299999998</v>
      </c>
      <c r="AU199" s="125">
        <f>AH199*Valores!$C$74</f>
        <v>-3620.3147099999996</v>
      </c>
      <c r="AV199" s="125">
        <f>AH199*Valores!$C$75</f>
        <v>-402.25718999999998</v>
      </c>
      <c r="AW199" s="125">
        <f t="shared" si="22"/>
        <v>115313.72779999998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53163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0</v>
      </c>
      <c r="N200" s="125">
        <f t="shared" ref="N200:N263" si="30">ROUND(SUM(F200,H200,J200,L200,X200,R200)*$H$2,2)</f>
        <v>15688.93</v>
      </c>
      <c r="O200" s="125">
        <f>Valores!$C$7*B200</f>
        <v>18211.199999999997</v>
      </c>
      <c r="P200" s="125">
        <f>ROUND(IF(B200&lt;15,(Valores!$E$5*B200),Valores!$D$5),2)</f>
        <v>18301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9592.7000000000007</v>
      </c>
      <c r="S200" s="125">
        <f>Valores!$C$18*B200</f>
        <v>5727.7</v>
      </c>
      <c r="T200" s="125">
        <f t="shared" si="25"/>
        <v>7159.63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17485.7</v>
      </c>
      <c r="AA200" s="125">
        <f>IF((Valores!$C$28)*B200&gt;Valores!$F$28,Valores!$F$28,(Valores!$C$28)*B200)</f>
        <v>449.90000000000003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374.6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8557.5</v>
      </c>
      <c r="AH200" s="125">
        <f t="shared" si="23"/>
        <v>148984.16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-16388.257600000001</v>
      </c>
      <c r="AO200" s="125">
        <f>AH200*-Valores!$C$72</f>
        <v>0</v>
      </c>
      <c r="AP200" s="125">
        <f>AH200*Valores!$C$73</f>
        <v>-6704.2871999999998</v>
      </c>
      <c r="AQ200" s="125">
        <f>Valores!$C$100</f>
        <v>-554.86</v>
      </c>
      <c r="AR200" s="125">
        <f>IF($F$5=0,Valores!$C$101,(Valores!$C$101+$F$5*(Valores!$C$101)))</f>
        <v>-852</v>
      </c>
      <c r="AS200" s="125">
        <f t="shared" si="24"/>
        <v>124484.7552</v>
      </c>
      <c r="AT200" s="125">
        <f t="shared" si="29"/>
        <v>-16388.257600000001</v>
      </c>
      <c r="AU200" s="125">
        <f>AH200*Valores!$C$74</f>
        <v>-4022.5723200000002</v>
      </c>
      <c r="AV200" s="125">
        <f>AH200*Valores!$C$75</f>
        <v>-446.95248000000004</v>
      </c>
      <c r="AW200" s="125">
        <f t="shared" ref="AW200:AW263" si="33">AH200+AM200+SUM(AT200:AV200)</f>
        <v>128126.37760000001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58479.3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0</v>
      </c>
      <c r="N201" s="125">
        <f t="shared" si="30"/>
        <v>17257.82</v>
      </c>
      <c r="O201" s="125">
        <f>Valores!$C$7*B201</f>
        <v>20032.32</v>
      </c>
      <c r="P201" s="125">
        <f>ROUND(IF(B201&lt;15,(Valores!$E$5*B201),Valores!$D$5),2)</f>
        <v>20131.099999999999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10551.97</v>
      </c>
      <c r="S201" s="125">
        <f>Valores!$C$18*B201</f>
        <v>6300.4699999999993</v>
      </c>
      <c r="T201" s="125">
        <f t="shared" si="25"/>
        <v>7875.59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19234.27</v>
      </c>
      <c r="AA201" s="125">
        <f>IF((Valores!$C$28)*B201&gt;Valores!$F$28,Valores!$F$28,(Valores!$C$28)*B201)</f>
        <v>494.89000000000004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412.06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9413.25</v>
      </c>
      <c r="AH201" s="125">
        <f t="shared" ref="AH201:AH264" si="34">SUM(F201,H201,J201,L201,M201,N201,O201,P201,Q201,R201,T201,U201,V201,X201,Y201,Z201,AA201,AC201,AD201,AF201,AG201)</f>
        <v>163882.57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-18027.082700000003</v>
      </c>
      <c r="AO201" s="125">
        <f>AH201*-Valores!$C$72</f>
        <v>0</v>
      </c>
      <c r="AP201" s="125">
        <f>AH201*Valores!$C$73</f>
        <v>-7374.7156500000001</v>
      </c>
      <c r="AQ201" s="125">
        <f>Valores!$C$100</f>
        <v>-554.86</v>
      </c>
      <c r="AR201" s="125">
        <f>IF($F$5=0,Valores!$C$101,(Valores!$C$101+$F$5*(Valores!$C$101)))</f>
        <v>-852</v>
      </c>
      <c r="AS201" s="125">
        <f t="shared" ref="AS201:AS264" si="35">AH201+SUM(AM201:AR201)</f>
        <v>137073.91164999999</v>
      </c>
      <c r="AT201" s="125">
        <f t="shared" si="29"/>
        <v>-18027.082700000003</v>
      </c>
      <c r="AU201" s="125">
        <f>AH201*Valores!$C$74</f>
        <v>-4424.8293899999999</v>
      </c>
      <c r="AV201" s="125">
        <f>AH201*Valores!$C$75</f>
        <v>-491.64771000000002</v>
      </c>
      <c r="AW201" s="125">
        <f t="shared" si="33"/>
        <v>140939.01020000002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63795.6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0</v>
      </c>
      <c r="N202" s="125">
        <f t="shared" si="30"/>
        <v>18826.71</v>
      </c>
      <c r="O202" s="125">
        <f>Valores!$C$7*B202</f>
        <v>21853.439999999999</v>
      </c>
      <c r="P202" s="125">
        <f>ROUND(IF(B202&lt;15,(Valores!$E$5*B202),Valores!$D$5),2)</f>
        <v>21961.200000000001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11511.24</v>
      </c>
      <c r="S202" s="125">
        <f>Valores!$C$18*B202</f>
        <v>6873.24</v>
      </c>
      <c r="T202" s="125">
        <f t="shared" si="25"/>
        <v>8591.5499999999993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20982.84</v>
      </c>
      <c r="AA202" s="125">
        <f>IF((Valores!$C$28)*B202&gt;Valores!$F$28,Valores!$F$28,(Valores!$C$28)*B202)</f>
        <v>539.88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449.52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10269</v>
      </c>
      <c r="AH202" s="125">
        <f t="shared" si="34"/>
        <v>178780.97999999998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-19665.907799999997</v>
      </c>
      <c r="AO202" s="125">
        <f>AH202*-Valores!$C$72</f>
        <v>0</v>
      </c>
      <c r="AP202" s="125">
        <f>AH202*Valores!$C$73</f>
        <v>-8045.1440999999986</v>
      </c>
      <c r="AQ202" s="125">
        <f>Valores!$C$100</f>
        <v>-554.86</v>
      </c>
      <c r="AR202" s="125">
        <f>IF($F$5=0,Valores!$C$101,(Valores!$C$101+$F$5*(Valores!$C$101)))</f>
        <v>-852</v>
      </c>
      <c r="AS202" s="125">
        <f t="shared" si="35"/>
        <v>149663.06809999997</v>
      </c>
      <c r="AT202" s="125">
        <f t="shared" si="29"/>
        <v>-19665.907799999997</v>
      </c>
      <c r="AU202" s="125">
        <f>AH202*Valores!$C$74</f>
        <v>-4827.0864599999995</v>
      </c>
      <c r="AV202" s="125">
        <f>AH202*Valores!$C$75</f>
        <v>-536.34294</v>
      </c>
      <c r="AW202" s="125">
        <f t="shared" si="33"/>
        <v>153751.64279999997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69111.899999999994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0</v>
      </c>
      <c r="N203" s="125">
        <f t="shared" si="30"/>
        <v>20395.599999999999</v>
      </c>
      <c r="O203" s="125">
        <f>Valores!$C$7*B203</f>
        <v>23674.559999999998</v>
      </c>
      <c r="P203" s="125">
        <f>ROUND(IF(B203&lt;15,(Valores!$E$5*B203),Valores!$D$5),2)</f>
        <v>23791.3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12470.51</v>
      </c>
      <c r="S203" s="125">
        <f>Valores!$C$18*B203</f>
        <v>7446.01</v>
      </c>
      <c r="T203" s="125">
        <f t="shared" ref="T203:T266" si="36">ROUND(S203*(1+$H$2),2)</f>
        <v>9307.51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22731.41</v>
      </c>
      <c r="AA203" s="125">
        <f>IF((Valores!$C$28)*B203&gt;Valores!$F$28,Valores!$F$28,(Valores!$C$28)*B203)</f>
        <v>584.87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486.98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11124.75</v>
      </c>
      <c r="AH203" s="125">
        <f t="shared" si="34"/>
        <v>193679.39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-21304.732900000003</v>
      </c>
      <c r="AO203" s="125">
        <f>AH203*-Valores!$C$72</f>
        <v>0</v>
      </c>
      <c r="AP203" s="125">
        <f>AH203*Valores!$C$73</f>
        <v>-8715.5725500000008</v>
      </c>
      <c r="AQ203" s="125">
        <f>Valores!$C$100</f>
        <v>-554.86</v>
      </c>
      <c r="AR203" s="125">
        <f>IF($F$5=0,Valores!$C$101,(Valores!$C$101+$F$5*(Valores!$C$101)))</f>
        <v>-852</v>
      </c>
      <c r="AS203" s="125">
        <f t="shared" si="35"/>
        <v>162252.22455000001</v>
      </c>
      <c r="AT203" s="125">
        <f t="shared" si="29"/>
        <v>-21304.732900000003</v>
      </c>
      <c r="AU203" s="125">
        <f>AH203*Valores!$C$74</f>
        <v>-5229.3435300000001</v>
      </c>
      <c r="AV203" s="125">
        <f>AH203*Valores!$C$75</f>
        <v>-581.03817000000004</v>
      </c>
      <c r="AW203" s="125">
        <f t="shared" si="33"/>
        <v>166564.27540000001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74428.2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0</v>
      </c>
      <c r="N204" s="125">
        <f t="shared" si="30"/>
        <v>21964.5</v>
      </c>
      <c r="O204" s="125">
        <f>Valores!$C$7*B204</f>
        <v>25495.68</v>
      </c>
      <c r="P204" s="125">
        <f>ROUND(IF(B204&lt;15,(Valores!$E$5*B204),Valores!$D$5),2)</f>
        <v>25621.4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13429.779999999999</v>
      </c>
      <c r="S204" s="125">
        <f>Valores!$C$18*B204</f>
        <v>8018.78</v>
      </c>
      <c r="T204" s="125">
        <f t="shared" si="36"/>
        <v>10023.48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24479.98</v>
      </c>
      <c r="AA204" s="125">
        <f>IF((Valores!$C$28)*B204&gt;Valores!$F$28,Valores!$F$28,(Valores!$C$28)*B204)</f>
        <v>629.86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524.44000000000005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11980.5</v>
      </c>
      <c r="AH204" s="125">
        <f t="shared" si="34"/>
        <v>208577.82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-22943.5602</v>
      </c>
      <c r="AO204" s="125">
        <f>AH204*-Valores!$C$72</f>
        <v>0</v>
      </c>
      <c r="AP204" s="125">
        <f>AH204*Valores!$C$73</f>
        <v>-9386.0018999999993</v>
      </c>
      <c r="AQ204" s="125">
        <f>Valores!$C$100</f>
        <v>-554.86</v>
      </c>
      <c r="AR204" s="125">
        <f>IF($F$5=0,Valores!$C$101,(Valores!$C$101+$F$5*(Valores!$C$101)))</f>
        <v>-852</v>
      </c>
      <c r="AS204" s="125">
        <f t="shared" si="35"/>
        <v>174841.39790000001</v>
      </c>
      <c r="AT204" s="125">
        <f t="shared" si="29"/>
        <v>-22943.5602</v>
      </c>
      <c r="AU204" s="125">
        <f>AH204*Valores!$C$74</f>
        <v>-5631.6011399999998</v>
      </c>
      <c r="AV204" s="125">
        <f>AH204*Valores!$C$75</f>
        <v>-625.73346000000004</v>
      </c>
      <c r="AW204" s="125">
        <f t="shared" si="33"/>
        <v>179376.9252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79744.5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0</v>
      </c>
      <c r="N205" s="125">
        <f t="shared" si="30"/>
        <v>23533.39</v>
      </c>
      <c r="O205" s="125">
        <f>Valores!$C$7*B205</f>
        <v>27316.799999999999</v>
      </c>
      <c r="P205" s="125">
        <f>ROUND(IF(B205&lt;15,(Valores!$E$5*B205),Valores!$D$5),2)</f>
        <v>27451.439999999999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14389.05</v>
      </c>
      <c r="S205" s="125">
        <f>Valores!$C$18*B205</f>
        <v>8591.5499999999993</v>
      </c>
      <c r="T205" s="125">
        <f t="shared" si="36"/>
        <v>10739.44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26228.55</v>
      </c>
      <c r="AA205" s="125">
        <f>IF((Valores!$C$28)*B205&gt;Valores!$F$28,Valores!$F$28,(Valores!$C$28)*B205)</f>
        <v>674.85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561.9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12836.25</v>
      </c>
      <c r="AH205" s="125">
        <f t="shared" si="34"/>
        <v>223476.16999999998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-24582.378699999997</v>
      </c>
      <c r="AO205" s="125">
        <f>AH205*-Valores!$C$72</f>
        <v>0</v>
      </c>
      <c r="AP205" s="125">
        <f>AH205*Valores!$C$73</f>
        <v>-10056.42765</v>
      </c>
      <c r="AQ205" s="125">
        <f>Valores!$C$100</f>
        <v>-554.86</v>
      </c>
      <c r="AR205" s="125">
        <f>IF($F$5=0,Valores!$C$101,(Valores!$C$101+$F$5*(Valores!$C$101)))</f>
        <v>-852</v>
      </c>
      <c r="AS205" s="125">
        <f t="shared" si="35"/>
        <v>187430.50364999997</v>
      </c>
      <c r="AT205" s="125">
        <f t="shared" si="29"/>
        <v>-24582.378699999997</v>
      </c>
      <c r="AU205" s="125">
        <f>AH205*Valores!$C$74</f>
        <v>-6033.8565899999994</v>
      </c>
      <c r="AV205" s="125">
        <f>AH205*Valores!$C$75</f>
        <v>-670.42850999999996</v>
      </c>
      <c r="AW205" s="125">
        <f t="shared" si="33"/>
        <v>192189.50619999997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85060.800000000003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0</v>
      </c>
      <c r="N206" s="125">
        <f t="shared" si="30"/>
        <v>25102.28</v>
      </c>
      <c r="O206" s="125">
        <f>Valores!$C$7*B206</f>
        <v>29137.919999999998</v>
      </c>
      <c r="P206" s="125">
        <f>ROUND(IF(B206&lt;15,(Valores!$E$5*B206),Valores!$D$5),2)</f>
        <v>27451.439999999999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15348.32</v>
      </c>
      <c r="S206" s="125">
        <f>Valores!$C$18*B206</f>
        <v>9164.32</v>
      </c>
      <c r="T206" s="125">
        <f t="shared" si="36"/>
        <v>11455.4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27977.119999999999</v>
      </c>
      <c r="AA206" s="125">
        <f>IF((Valores!$C$28)*B206&gt;Valores!$F$28,Valores!$F$28,(Valores!$C$28)*B206)</f>
        <v>719.84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599.36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13692</v>
      </c>
      <c r="AH206" s="125">
        <f t="shared" si="34"/>
        <v>236544.47999999998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-26019.892799999998</v>
      </c>
      <c r="AO206" s="125">
        <f>AH206*-Valores!$C$72</f>
        <v>0</v>
      </c>
      <c r="AP206" s="125">
        <f>AH206*Valores!$C$73</f>
        <v>-10644.5016</v>
      </c>
      <c r="AQ206" s="125">
        <f>Valores!$C$100</f>
        <v>-554.86</v>
      </c>
      <c r="AR206" s="125">
        <f>IF($F$5=0,Valores!$C$101,(Valores!$C$101+$F$5*(Valores!$C$101)))</f>
        <v>-852</v>
      </c>
      <c r="AS206" s="125">
        <f t="shared" si="35"/>
        <v>198473.22559999998</v>
      </c>
      <c r="AT206" s="125">
        <f t="shared" si="29"/>
        <v>-26019.892799999998</v>
      </c>
      <c r="AU206" s="125">
        <f>AH206*Valores!$C$74</f>
        <v>-6386.7009599999992</v>
      </c>
      <c r="AV206" s="125">
        <f>AH206*Valores!$C$75</f>
        <v>-709.63343999999995</v>
      </c>
      <c r="AW206" s="125">
        <f t="shared" si="33"/>
        <v>203428.25279999999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90377.1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0</v>
      </c>
      <c r="N207" s="125">
        <f t="shared" si="30"/>
        <v>26671.17</v>
      </c>
      <c r="O207" s="125">
        <f>Valores!$C$7*B207</f>
        <v>30959.039999999997</v>
      </c>
      <c r="P207" s="125">
        <f>ROUND(IF(B207&lt;15,(Valores!$E$5*B207),Valores!$D$5),2)</f>
        <v>27451.439999999999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16307.59</v>
      </c>
      <c r="S207" s="125">
        <f>Valores!$C$18*B207</f>
        <v>9737.09</v>
      </c>
      <c r="T207" s="125">
        <f t="shared" si="36"/>
        <v>12171.36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29725.69</v>
      </c>
      <c r="AA207" s="125">
        <f>IF((Valores!$C$28)*B207&gt;Valores!$F$28,Valores!$F$28,(Valores!$C$28)*B207)</f>
        <v>764.83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636.82000000000005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14547.75</v>
      </c>
      <c r="AH207" s="125">
        <f t="shared" si="34"/>
        <v>249612.79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-27457.406900000002</v>
      </c>
      <c r="AO207" s="125">
        <f>AH207*-Valores!$C$72</f>
        <v>0</v>
      </c>
      <c r="AP207" s="125">
        <f>AH207*Valores!$C$73</f>
        <v>-11232.57555</v>
      </c>
      <c r="AQ207" s="125">
        <f>Valores!$C$100</f>
        <v>-554.86</v>
      </c>
      <c r="AR207" s="125">
        <f>IF($F$5=0,Valores!$C$101,(Valores!$C$101+$F$5*(Valores!$C$101)))</f>
        <v>-852</v>
      </c>
      <c r="AS207" s="125">
        <f t="shared" si="35"/>
        <v>209515.94755000001</v>
      </c>
      <c r="AT207" s="125">
        <f t="shared" si="29"/>
        <v>-27457.406900000002</v>
      </c>
      <c r="AU207" s="125">
        <f>AH207*Valores!$C$74</f>
        <v>-6739.5453299999999</v>
      </c>
      <c r="AV207" s="125">
        <f>AH207*Valores!$C$75</f>
        <v>-748.83837000000005</v>
      </c>
      <c r="AW207" s="125">
        <f t="shared" si="33"/>
        <v>214666.9994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95693.4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0</v>
      </c>
      <c r="N208" s="125">
        <f t="shared" si="30"/>
        <v>28240.07</v>
      </c>
      <c r="O208" s="125">
        <f>Valores!$C$7*B208</f>
        <v>32780.159999999996</v>
      </c>
      <c r="P208" s="125">
        <f>ROUND(IF(B208&lt;15,(Valores!$E$5*B208),Valores!$D$5),2)</f>
        <v>27451.439999999999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17266.86</v>
      </c>
      <c r="S208" s="125">
        <f>Valores!$C$18*B208</f>
        <v>10309.86</v>
      </c>
      <c r="T208" s="125">
        <f t="shared" si="36"/>
        <v>12887.33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31474.26</v>
      </c>
      <c r="AA208" s="125">
        <f>IF((Valores!$C$28)*B208&gt;Valores!$F$28,Valores!$F$28,(Valores!$C$28)*B208)</f>
        <v>809.82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674.28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15403.5</v>
      </c>
      <c r="AH208" s="125">
        <f t="shared" si="34"/>
        <v>262681.12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-28894.923200000001</v>
      </c>
      <c r="AO208" s="125">
        <f>AH208*-Valores!$C$72</f>
        <v>0</v>
      </c>
      <c r="AP208" s="125">
        <f>AH208*Valores!$C$73</f>
        <v>-11820.650399999999</v>
      </c>
      <c r="AQ208" s="125">
        <f>Valores!$C$100</f>
        <v>-554.86</v>
      </c>
      <c r="AR208" s="125">
        <f>IF($F$5=0,Valores!$C$101,(Valores!$C$101+$F$5*(Valores!$C$101)))</f>
        <v>-852</v>
      </c>
      <c r="AS208" s="125">
        <f t="shared" si="35"/>
        <v>220558.68640000001</v>
      </c>
      <c r="AT208" s="125">
        <f t="shared" si="29"/>
        <v>-28894.923200000001</v>
      </c>
      <c r="AU208" s="125">
        <f>AH208*Valores!$C$74</f>
        <v>-7092.3902399999997</v>
      </c>
      <c r="AV208" s="125">
        <f>AH208*Valores!$C$75</f>
        <v>-788.04336000000001</v>
      </c>
      <c r="AW208" s="125">
        <f t="shared" si="33"/>
        <v>225905.76319999999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101009.7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0</v>
      </c>
      <c r="N209" s="125">
        <f t="shared" si="30"/>
        <v>29808.959999999999</v>
      </c>
      <c r="O209" s="125">
        <f>Valores!$C$7*B209</f>
        <v>34601.279999999999</v>
      </c>
      <c r="P209" s="125">
        <f>ROUND(IF(B209&lt;15,(Valores!$E$5*B209),Valores!$D$5),2)</f>
        <v>27451.439999999999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18226.13</v>
      </c>
      <c r="S209" s="125">
        <f>Valores!$C$18*B209</f>
        <v>10882.63</v>
      </c>
      <c r="T209" s="125">
        <f t="shared" si="36"/>
        <v>13603.29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33222.83</v>
      </c>
      <c r="AA209" s="125">
        <f>IF((Valores!$C$28)*B209&gt;Valores!$F$28,Valores!$F$28,(Valores!$C$28)*B209)</f>
        <v>854.81000000000006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711.74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16259.25</v>
      </c>
      <c r="AH209" s="125">
        <f t="shared" si="34"/>
        <v>275749.43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-30332.437299999998</v>
      </c>
      <c r="AO209" s="125">
        <f>AH209*-Valores!$C$72</f>
        <v>0</v>
      </c>
      <c r="AP209" s="125">
        <f>AH209*Valores!$C$73</f>
        <v>-12408.724349999999</v>
      </c>
      <c r="AQ209" s="125">
        <f>Valores!$C$100</f>
        <v>-554.86</v>
      </c>
      <c r="AR209" s="125">
        <f>IF($F$5=0,Valores!$C$101,(Valores!$C$101+$F$5*(Valores!$C$101)))</f>
        <v>-852</v>
      </c>
      <c r="AS209" s="125">
        <f t="shared" si="35"/>
        <v>231601.40834999998</v>
      </c>
      <c r="AT209" s="125">
        <f t="shared" si="29"/>
        <v>-30332.437299999998</v>
      </c>
      <c r="AU209" s="125">
        <f>AH209*Valores!$C$74</f>
        <v>-7445.2346099999995</v>
      </c>
      <c r="AV209" s="125">
        <f>AH209*Valores!$C$75</f>
        <v>-827.24829</v>
      </c>
      <c r="AW209" s="125">
        <f t="shared" si="33"/>
        <v>237144.5098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106326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0</v>
      </c>
      <c r="N210" s="125">
        <f t="shared" si="30"/>
        <v>31377.85</v>
      </c>
      <c r="O210" s="125">
        <f>Valores!$C$7*B210</f>
        <v>36422.399999999994</v>
      </c>
      <c r="P210" s="125">
        <f>ROUND(IF(B210&lt;15,(Valores!$E$5*B210),Valores!$D$5),2)</f>
        <v>27451.439999999999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19185.400000000001</v>
      </c>
      <c r="S210" s="125">
        <f>Valores!$C$18*B210</f>
        <v>11455.4</v>
      </c>
      <c r="T210" s="125">
        <f t="shared" si="36"/>
        <v>14319.25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34971.4</v>
      </c>
      <c r="AA210" s="125">
        <f>IF((Valores!$C$28)*B210&gt;Valores!$F$28,Valores!$F$28,(Valores!$C$28)*B210)</f>
        <v>899.80000000000007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749.2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17115</v>
      </c>
      <c r="AH210" s="125">
        <f t="shared" si="34"/>
        <v>288817.74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-31769.951399999998</v>
      </c>
      <c r="AO210" s="125">
        <f>AH210*-Valores!$C$72</f>
        <v>0</v>
      </c>
      <c r="AP210" s="125">
        <f>AH210*Valores!$C$73</f>
        <v>-12996.798299999999</v>
      </c>
      <c r="AQ210" s="125">
        <f>Valores!$C$100</f>
        <v>-554.86</v>
      </c>
      <c r="AR210" s="125">
        <f>IF($F$5=0,Valores!$C$101,(Valores!$C$101+$F$5*(Valores!$C$101)))</f>
        <v>-852</v>
      </c>
      <c r="AS210" s="125">
        <f t="shared" si="35"/>
        <v>242644.13029999999</v>
      </c>
      <c r="AT210" s="125">
        <f t="shared" si="29"/>
        <v>-31769.951399999998</v>
      </c>
      <c r="AU210" s="125">
        <f>AH210*Valores!$C$74</f>
        <v>-7798.0789799999993</v>
      </c>
      <c r="AV210" s="125">
        <f>AH210*Valores!$C$75</f>
        <v>-866.45321999999999</v>
      </c>
      <c r="AW210" s="125">
        <f t="shared" si="33"/>
        <v>248383.25639999998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111642.3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0</v>
      </c>
      <c r="N211" s="125">
        <f t="shared" si="30"/>
        <v>32946.74</v>
      </c>
      <c r="O211" s="125">
        <f>Valores!$C$7*B211</f>
        <v>38243.519999999997</v>
      </c>
      <c r="P211" s="125">
        <f>ROUND(IF(B211&lt;15,(Valores!$E$5*B211),Valores!$D$5),2)</f>
        <v>27451.439999999999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20144.669999999998</v>
      </c>
      <c r="S211" s="125">
        <f>Valores!$C$18*B211</f>
        <v>12028.17</v>
      </c>
      <c r="T211" s="125">
        <f t="shared" si="36"/>
        <v>15035.21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36719.97</v>
      </c>
      <c r="AA211" s="125">
        <f>IF((Valores!$C$28)*B211&gt;Valores!$F$28,Valores!$F$28,(Valores!$C$28)*B211)</f>
        <v>944.79000000000008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786.66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17970.75</v>
      </c>
      <c r="AH211" s="125">
        <f t="shared" si="34"/>
        <v>301886.04999999993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-33207.465499999991</v>
      </c>
      <c r="AO211" s="125">
        <f>AH211*-Valores!$C$72</f>
        <v>0</v>
      </c>
      <c r="AP211" s="125">
        <f>AH211*Valores!$C$73</f>
        <v>-13584.872249999997</v>
      </c>
      <c r="AQ211" s="125">
        <f>Valores!$C$100</f>
        <v>-554.86</v>
      </c>
      <c r="AR211" s="125">
        <f>IF($F$5=0,Valores!$C$101,(Valores!$C$101+$F$5*(Valores!$C$101)))</f>
        <v>-852</v>
      </c>
      <c r="AS211" s="125">
        <f t="shared" si="35"/>
        <v>253686.85224999994</v>
      </c>
      <c r="AT211" s="125">
        <f t="shared" si="29"/>
        <v>-33207.465499999991</v>
      </c>
      <c r="AU211" s="125">
        <f>AH211*Valores!$C$74</f>
        <v>-8150.9233499999982</v>
      </c>
      <c r="AV211" s="125">
        <f>AH211*Valores!$C$75</f>
        <v>-905.65814999999986</v>
      </c>
      <c r="AW211" s="125">
        <f t="shared" si="33"/>
        <v>259622.00299999994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116958.6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0</v>
      </c>
      <c r="N212" s="125">
        <f t="shared" si="30"/>
        <v>34515.64</v>
      </c>
      <c r="O212" s="125">
        <f>Valores!$C$7*B212</f>
        <v>40064.639999999999</v>
      </c>
      <c r="P212" s="125">
        <f>ROUND(IF(B212&lt;15,(Valores!$E$5*B212),Valores!$D$5),2)</f>
        <v>27451.439999999999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21103.94</v>
      </c>
      <c r="S212" s="125">
        <f>Valores!$C$18*B212</f>
        <v>12600.939999999999</v>
      </c>
      <c r="T212" s="125">
        <f t="shared" si="36"/>
        <v>15751.18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38468.54</v>
      </c>
      <c r="AA212" s="125">
        <f>IF((Valores!$C$28)*B212&gt;Valores!$F$28,Valores!$F$28,(Valores!$C$28)*B212)</f>
        <v>989.78000000000009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824.12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18826.5</v>
      </c>
      <c r="AH212" s="125">
        <f t="shared" si="34"/>
        <v>314954.38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-34644.981800000001</v>
      </c>
      <c r="AO212" s="125">
        <f>AH212*-Valores!$C$72</f>
        <v>0</v>
      </c>
      <c r="AP212" s="125">
        <f>AH212*Valores!$C$73</f>
        <v>-14172.947099999999</v>
      </c>
      <c r="AQ212" s="125">
        <f>Valores!$C$100</f>
        <v>-554.86</v>
      </c>
      <c r="AR212" s="125">
        <f>IF($F$5=0,Valores!$C$101,(Valores!$C$101+$F$5*(Valores!$C$101)))</f>
        <v>-852</v>
      </c>
      <c r="AS212" s="125">
        <f t="shared" si="35"/>
        <v>264729.59110000002</v>
      </c>
      <c r="AT212" s="125">
        <f t="shared" si="29"/>
        <v>-34644.981800000001</v>
      </c>
      <c r="AU212" s="125">
        <f>AH212*Valores!$C$74</f>
        <v>-8503.7682600000007</v>
      </c>
      <c r="AV212" s="125">
        <f>AH212*Valores!$C$75</f>
        <v>-944.86314000000004</v>
      </c>
      <c r="AW212" s="125">
        <f t="shared" si="33"/>
        <v>270860.76679999998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122274.9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0</v>
      </c>
      <c r="N213" s="125">
        <f t="shared" si="30"/>
        <v>36084.53</v>
      </c>
      <c r="O213" s="125">
        <f>Valores!$C$7*B213</f>
        <v>41885.759999999995</v>
      </c>
      <c r="P213" s="125">
        <f>ROUND(IF(B213&lt;15,(Valores!$E$5*B213),Valores!$D$5),2)</f>
        <v>27451.439999999999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22063.21</v>
      </c>
      <c r="S213" s="125">
        <f>Valores!$C$18*B213</f>
        <v>13173.71</v>
      </c>
      <c r="T213" s="125">
        <f t="shared" si="36"/>
        <v>16467.14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40217.11</v>
      </c>
      <c r="AA213" s="125">
        <f>IF((Valores!$C$28)*B213&gt;Valores!$F$28,Valores!$F$28,(Valores!$C$28)*B213)</f>
        <v>1034.77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861.58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19682.25</v>
      </c>
      <c r="AH213" s="125">
        <f t="shared" si="34"/>
        <v>328022.69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-36082.495900000002</v>
      </c>
      <c r="AO213" s="125">
        <f>AH213*-Valores!$C$72</f>
        <v>0</v>
      </c>
      <c r="AP213" s="125">
        <f>AH213*Valores!$C$73</f>
        <v>-14761.021049999999</v>
      </c>
      <c r="AQ213" s="125">
        <f>Valores!$C$100</f>
        <v>-554.86</v>
      </c>
      <c r="AR213" s="125">
        <f>IF($F$5=0,Valores!$C$101,(Valores!$C$101+$F$5*(Valores!$C$101)))</f>
        <v>-852</v>
      </c>
      <c r="AS213" s="125">
        <f t="shared" si="35"/>
        <v>275772.31305</v>
      </c>
      <c r="AT213" s="125">
        <f t="shared" si="29"/>
        <v>-36082.495900000002</v>
      </c>
      <c r="AU213" s="125">
        <f>AH213*Valores!$C$74</f>
        <v>-8856.6126299999996</v>
      </c>
      <c r="AV213" s="125">
        <f>AH213*Valores!$C$75</f>
        <v>-984.06807000000003</v>
      </c>
      <c r="AW213" s="125">
        <f t="shared" si="33"/>
        <v>282099.5134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127591.2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0</v>
      </c>
      <c r="N214" s="125">
        <f t="shared" si="30"/>
        <v>37653.42</v>
      </c>
      <c r="O214" s="125">
        <f>Valores!$C$7*B214</f>
        <v>43706.879999999997</v>
      </c>
      <c r="P214" s="125">
        <f>ROUND(IF(B214&lt;15,(Valores!$E$5*B214),Valores!$D$5),2)</f>
        <v>27451.439999999999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23022.48</v>
      </c>
      <c r="S214" s="125">
        <f>Valores!$C$18*B214</f>
        <v>13746.48</v>
      </c>
      <c r="T214" s="125">
        <f t="shared" si="36"/>
        <v>17183.099999999999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41965.68</v>
      </c>
      <c r="AA214" s="125">
        <f>IF((Valores!$C$28)*B214&gt;Valores!$F$28,Valores!$F$28,(Valores!$C$28)*B214)</f>
        <v>1079.76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899.04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20538</v>
      </c>
      <c r="AH214" s="125">
        <f t="shared" si="34"/>
        <v>341091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-37520.01</v>
      </c>
      <c r="AO214" s="125">
        <f>AH214*-Valores!$C$72</f>
        <v>0</v>
      </c>
      <c r="AP214" s="125">
        <f>AH214*Valores!$C$73</f>
        <v>-15349.094999999999</v>
      </c>
      <c r="AQ214" s="125">
        <f>Valores!$C$100</f>
        <v>-554.86</v>
      </c>
      <c r="AR214" s="125">
        <f>IF($F$5=0,Valores!$C$101,(Valores!$C$101+$F$5*(Valores!$C$101)))</f>
        <v>-852</v>
      </c>
      <c r="AS214" s="125">
        <f t="shared" si="35"/>
        <v>286815.03499999997</v>
      </c>
      <c r="AT214" s="125">
        <f t="shared" si="29"/>
        <v>-37520.01</v>
      </c>
      <c r="AU214" s="125">
        <f>AH214*Valores!$C$74</f>
        <v>-9209.4570000000003</v>
      </c>
      <c r="AV214" s="125">
        <f>AH214*Valores!$C$75</f>
        <v>-1023.273</v>
      </c>
      <c r="AW214" s="125">
        <f t="shared" si="33"/>
        <v>293338.26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132907.5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0</v>
      </c>
      <c r="N215" s="125">
        <f t="shared" si="30"/>
        <v>39222.31</v>
      </c>
      <c r="O215" s="125">
        <f>Valores!$C$7*B215</f>
        <v>45528</v>
      </c>
      <c r="P215" s="125">
        <f>ROUND(IF(B215&lt;15,(Valores!$E$5*B215),Valores!$D$5),2)</f>
        <v>27451.439999999999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23981.75</v>
      </c>
      <c r="S215" s="125">
        <f>Valores!$C$18*B215</f>
        <v>14319.25</v>
      </c>
      <c r="T215" s="125">
        <f t="shared" si="36"/>
        <v>17899.060000000001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43714.25</v>
      </c>
      <c r="AA215" s="125">
        <f>IF((Valores!$C$28)*B215&gt;Valores!$F$28,Valores!$F$28,(Valores!$C$28)*B215)</f>
        <v>1124.75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936.5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21393.75</v>
      </c>
      <c r="AH215" s="125">
        <f t="shared" si="34"/>
        <v>354159.31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-38957.524100000002</v>
      </c>
      <c r="AO215" s="125">
        <f>AH215*-Valores!$C$72</f>
        <v>0</v>
      </c>
      <c r="AP215" s="125">
        <f>AH215*Valores!$C$73</f>
        <v>-15937.168949999999</v>
      </c>
      <c r="AQ215" s="125">
        <f>Valores!$C$100</f>
        <v>-554.86</v>
      </c>
      <c r="AR215" s="125">
        <f>IF($F$5=0,Valores!$C$101,(Valores!$C$101+$F$5*(Valores!$C$101)))</f>
        <v>-852</v>
      </c>
      <c r="AS215" s="125">
        <f t="shared" si="35"/>
        <v>297857.75695000001</v>
      </c>
      <c r="AT215" s="125">
        <f t="shared" si="29"/>
        <v>-38957.524100000002</v>
      </c>
      <c r="AU215" s="125">
        <f>AH215*Valores!$C$74</f>
        <v>-9562.3013699999992</v>
      </c>
      <c r="AV215" s="125">
        <f>AH215*Valores!$C$75</f>
        <v>-1062.47793</v>
      </c>
      <c r="AW215" s="125">
        <f t="shared" si="33"/>
        <v>304577.00659999996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138223.79999999999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0</v>
      </c>
      <c r="N216" s="125">
        <f t="shared" si="30"/>
        <v>40791.21</v>
      </c>
      <c r="O216" s="125">
        <f>Valores!$C$7*B216</f>
        <v>47349.119999999995</v>
      </c>
      <c r="P216" s="125">
        <f>ROUND(IF(B216&lt;15,(Valores!$E$5*B216),Valores!$D$5),2)</f>
        <v>27451.439999999999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24941.02</v>
      </c>
      <c r="S216" s="125">
        <f>Valores!$C$18*B216</f>
        <v>14892.02</v>
      </c>
      <c r="T216" s="125">
        <f t="shared" si="36"/>
        <v>18615.03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45462.82</v>
      </c>
      <c r="AA216" s="125">
        <f>IF((Valores!$C$28)*B216&gt;Valores!$F$28,Valores!$F$28,(Valores!$C$28)*B216)</f>
        <v>1169.74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973.96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22249.5</v>
      </c>
      <c r="AH216" s="125">
        <f t="shared" si="34"/>
        <v>367227.64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-40395.040400000005</v>
      </c>
      <c r="AO216" s="125">
        <f>AH216*-Valores!$C$72</f>
        <v>0</v>
      </c>
      <c r="AP216" s="125">
        <f>AH216*Valores!$C$73</f>
        <v>-16525.2438</v>
      </c>
      <c r="AQ216" s="125">
        <f>Valores!$C$100</f>
        <v>-554.86</v>
      </c>
      <c r="AR216" s="125">
        <f>IF($F$5=0,Valores!$C$101,(Valores!$C$101+$F$5*(Valores!$C$101)))</f>
        <v>-852</v>
      </c>
      <c r="AS216" s="125">
        <f t="shared" si="35"/>
        <v>308900.49580000003</v>
      </c>
      <c r="AT216" s="125">
        <f t="shared" si="29"/>
        <v>-40395.040400000005</v>
      </c>
      <c r="AU216" s="125">
        <f>AH216*Valores!$C$74</f>
        <v>-9915.1462800000008</v>
      </c>
      <c r="AV216" s="125">
        <f>AH216*Valores!$C$75</f>
        <v>-1101.68292</v>
      </c>
      <c r="AW216" s="125">
        <f t="shared" si="33"/>
        <v>315815.77040000004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143540.1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0</v>
      </c>
      <c r="N217" s="125">
        <f t="shared" si="30"/>
        <v>42360.1</v>
      </c>
      <c r="O217" s="125">
        <f>Valores!$C$7*B217</f>
        <v>49170.239999999998</v>
      </c>
      <c r="P217" s="125">
        <f>ROUND(IF(B217&lt;15,(Valores!$E$5*B217),Valores!$D$5),2)</f>
        <v>27451.439999999999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25900.29</v>
      </c>
      <c r="S217" s="125">
        <f>Valores!$C$18*B217</f>
        <v>15464.789999999999</v>
      </c>
      <c r="T217" s="125">
        <f t="shared" si="36"/>
        <v>19330.990000000002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47211.39</v>
      </c>
      <c r="AA217" s="125">
        <f>IF((Valores!$C$28)*B217&gt;Valores!$F$28,Valores!$F$28,(Valores!$C$28)*B217)</f>
        <v>1214.73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1011.4200000000001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23105.25</v>
      </c>
      <c r="AH217" s="125">
        <f t="shared" si="34"/>
        <v>380295.94999999995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-41832.554499999998</v>
      </c>
      <c r="AO217" s="125">
        <f>AH217*-Valores!$C$72</f>
        <v>0</v>
      </c>
      <c r="AP217" s="125">
        <f>AH217*Valores!$C$73</f>
        <v>-17113.317749999998</v>
      </c>
      <c r="AQ217" s="125">
        <f>Valores!$C$100</f>
        <v>-554.86</v>
      </c>
      <c r="AR217" s="125">
        <f>IF($F$5=0,Valores!$C$101,(Valores!$C$101+$F$5*(Valores!$C$101)))</f>
        <v>-852</v>
      </c>
      <c r="AS217" s="125">
        <f t="shared" si="35"/>
        <v>319943.21774999995</v>
      </c>
      <c r="AT217" s="125">
        <f t="shared" si="29"/>
        <v>-41832.554499999998</v>
      </c>
      <c r="AU217" s="125">
        <f>AH217*Valores!$C$74</f>
        <v>-10267.990649999998</v>
      </c>
      <c r="AV217" s="125">
        <f>AH217*Valores!$C$75</f>
        <v>-1140.8878499999998</v>
      </c>
      <c r="AW217" s="125">
        <f t="shared" si="33"/>
        <v>327054.51699999993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148856.4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0</v>
      </c>
      <c r="N218" s="125">
        <f t="shared" si="30"/>
        <v>43928.99</v>
      </c>
      <c r="O218" s="125">
        <f>Valores!$C$7*B218</f>
        <v>50991.360000000001</v>
      </c>
      <c r="P218" s="125">
        <f>ROUND(IF(B218&lt;15,(Valores!$E$5*B218),Valores!$D$5),2)</f>
        <v>27451.439999999999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26859.559999999998</v>
      </c>
      <c r="S218" s="125">
        <f>Valores!$C$18*B218</f>
        <v>16037.56</v>
      </c>
      <c r="T218" s="125">
        <f t="shared" si="36"/>
        <v>20046.95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48959.96</v>
      </c>
      <c r="AA218" s="125">
        <f>IF((Valores!$C$28)*B218&gt;Valores!$F$28,Valores!$F$28,(Valores!$C$28)*B218)</f>
        <v>1259.72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1048.8800000000001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23961</v>
      </c>
      <c r="AH218" s="125">
        <f t="shared" si="34"/>
        <v>393364.26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-43270.068599999999</v>
      </c>
      <c r="AO218" s="125">
        <f>AH218*-Valores!$C$72</f>
        <v>0</v>
      </c>
      <c r="AP218" s="125">
        <f>AH218*Valores!$C$73</f>
        <v>-17701.3917</v>
      </c>
      <c r="AQ218" s="125">
        <f>Valores!$C$100</f>
        <v>-554.86</v>
      </c>
      <c r="AR218" s="125">
        <f>IF($F$5=0,Valores!$C$101,(Valores!$C$101+$F$5*(Valores!$C$101)))</f>
        <v>-852</v>
      </c>
      <c r="AS218" s="125">
        <f t="shared" si="35"/>
        <v>330985.93969999999</v>
      </c>
      <c r="AT218" s="125">
        <f t="shared" si="29"/>
        <v>-43270.068599999999</v>
      </c>
      <c r="AU218" s="125">
        <f>AH218*Valores!$C$74</f>
        <v>-10620.83502</v>
      </c>
      <c r="AV218" s="125">
        <f>AH218*Valores!$C$75</f>
        <v>-1180.0927799999999</v>
      </c>
      <c r="AW218" s="125">
        <f t="shared" si="33"/>
        <v>338293.26360000001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154172.70000000001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0</v>
      </c>
      <c r="N219" s="125">
        <f t="shared" si="30"/>
        <v>45497.88</v>
      </c>
      <c r="O219" s="125">
        <f>Valores!$C$7*B219</f>
        <v>52812.479999999996</v>
      </c>
      <c r="P219" s="125">
        <f>ROUND(IF(B219&lt;15,(Valores!$E$5*B219),Valores!$D$5),2)</f>
        <v>27451.439999999999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27818.829999999998</v>
      </c>
      <c r="S219" s="125">
        <f>Valores!$C$18*B219</f>
        <v>16610.329999999998</v>
      </c>
      <c r="T219" s="125">
        <f t="shared" si="36"/>
        <v>20762.91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50708.53</v>
      </c>
      <c r="AA219" s="125">
        <f>IF((Valores!$C$28)*B219&gt;Valores!$F$28,Valores!$F$28,(Valores!$C$28)*B219)</f>
        <v>1304.71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1086.3399999999999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24816.75</v>
      </c>
      <c r="AH219" s="125">
        <f t="shared" si="34"/>
        <v>406432.57000000007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-44707.582700000006</v>
      </c>
      <c r="AO219" s="125">
        <f>AH219*-Valores!$C$72</f>
        <v>0</v>
      </c>
      <c r="AP219" s="125">
        <f>AH219*Valores!$C$73</f>
        <v>-18289.465650000002</v>
      </c>
      <c r="AQ219" s="125">
        <f>Valores!$C$100</f>
        <v>-554.86</v>
      </c>
      <c r="AR219" s="125">
        <f>IF($F$5=0,Valores!$C$101,(Valores!$C$101+$F$5*(Valores!$C$101)))</f>
        <v>-852</v>
      </c>
      <c r="AS219" s="125">
        <f t="shared" si="35"/>
        <v>342028.66165000002</v>
      </c>
      <c r="AT219" s="125">
        <f t="shared" si="29"/>
        <v>-44707.582700000006</v>
      </c>
      <c r="AU219" s="125">
        <f>AH219*Valores!$C$74</f>
        <v>-10973.679390000001</v>
      </c>
      <c r="AV219" s="125">
        <f>AH219*Valores!$C$75</f>
        <v>-1219.2977100000003</v>
      </c>
      <c r="AW219" s="125">
        <f t="shared" si="33"/>
        <v>349532.01020000008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159489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0</v>
      </c>
      <c r="N220" s="125">
        <f t="shared" si="30"/>
        <v>47066.78</v>
      </c>
      <c r="O220" s="125">
        <f>Valores!$C$7*B220</f>
        <v>54633.599999999999</v>
      </c>
      <c r="P220" s="125">
        <f>ROUND(IF(B220&lt;15,(Valores!$E$5*B220),Valores!$D$5),2)</f>
        <v>27451.439999999999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28778.1</v>
      </c>
      <c r="S220" s="125">
        <f>Valores!$C$18*B220</f>
        <v>17183.099999999999</v>
      </c>
      <c r="T220" s="125">
        <f t="shared" si="36"/>
        <v>21478.880000000001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52457.1</v>
      </c>
      <c r="AA220" s="125">
        <f>IF((Valores!$C$28)*B220&gt;Valores!$F$28,Valores!$F$28,(Valores!$C$28)*B220)</f>
        <v>1349.7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1122.78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25672.5</v>
      </c>
      <c r="AH220" s="125">
        <f t="shared" si="34"/>
        <v>419499.88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-46144.986799999999</v>
      </c>
      <c r="AO220" s="125">
        <f>AH220*-Valores!$C$72</f>
        <v>0</v>
      </c>
      <c r="AP220" s="125">
        <f>AH220*Valores!$C$73</f>
        <v>-18877.494599999998</v>
      </c>
      <c r="AQ220" s="125">
        <f>Valores!$C$100</f>
        <v>-554.86</v>
      </c>
      <c r="AR220" s="125">
        <f>IF($F$5=0,Valores!$C$101,(Valores!$C$101+$F$5*(Valores!$C$101)))</f>
        <v>-852</v>
      </c>
      <c r="AS220" s="125">
        <f t="shared" si="35"/>
        <v>353070.53860000003</v>
      </c>
      <c r="AT220" s="125">
        <f t="shared" si="29"/>
        <v>-46144.986799999999</v>
      </c>
      <c r="AU220" s="125">
        <f>AH220*Valores!$C$74</f>
        <v>-11326.49676</v>
      </c>
      <c r="AV220" s="125">
        <f>AH220*Valores!$C$75</f>
        <v>-1258.49964</v>
      </c>
      <c r="AW220" s="125">
        <f t="shared" si="33"/>
        <v>360769.89679999999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164805.29999999999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0</v>
      </c>
      <c r="N221" s="125">
        <f t="shared" si="30"/>
        <v>48635.67</v>
      </c>
      <c r="O221" s="125">
        <f>Valores!$C$7*B221</f>
        <v>56454.719999999994</v>
      </c>
      <c r="P221" s="125">
        <f>ROUND(IF(B221&lt;15,(Valores!$E$5*B221),Valores!$D$5),2)</f>
        <v>27451.439999999999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29737.37</v>
      </c>
      <c r="S221" s="125">
        <f>Valores!$C$18*B221</f>
        <v>17755.87</v>
      </c>
      <c r="T221" s="125">
        <f t="shared" si="36"/>
        <v>22194.84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54205.67</v>
      </c>
      <c r="AA221" s="125">
        <f>IF((Valores!$C$28)*B221&gt;Valores!$F$28,Valores!$F$28,(Valores!$C$28)*B221)</f>
        <v>1394.69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1122.78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25672.6</v>
      </c>
      <c r="AH221" s="125">
        <f t="shared" si="34"/>
        <v>431675.07999999996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-47484.258799999996</v>
      </c>
      <c r="AO221" s="125">
        <f>AH221*-Valores!$C$72</f>
        <v>0</v>
      </c>
      <c r="AP221" s="125">
        <f>AH221*Valores!$C$73</f>
        <v>-19425.378599999996</v>
      </c>
      <c r="AQ221" s="125">
        <f>Valores!$C$100</f>
        <v>-554.86</v>
      </c>
      <c r="AR221" s="125">
        <f>IF($F$5=0,Valores!$C$101,(Valores!$C$101+$F$5*(Valores!$C$101)))</f>
        <v>-852</v>
      </c>
      <c r="AS221" s="125">
        <f t="shared" si="35"/>
        <v>363358.58259999997</v>
      </c>
      <c r="AT221" s="125">
        <f t="shared" si="29"/>
        <v>-47484.258799999996</v>
      </c>
      <c r="AU221" s="125">
        <f>AH221*Valores!$C$74</f>
        <v>-11655.227159999999</v>
      </c>
      <c r="AV221" s="125">
        <f>AH221*Valores!$C$75</f>
        <v>-1295.0252399999999</v>
      </c>
      <c r="AW221" s="125">
        <f t="shared" si="33"/>
        <v>371240.56879999995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170121.60000000001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0</v>
      </c>
      <c r="N222" s="125">
        <f t="shared" si="30"/>
        <v>50204.56</v>
      </c>
      <c r="O222" s="125">
        <f>Valores!$C$7*B222</f>
        <v>58275.839999999997</v>
      </c>
      <c r="P222" s="125">
        <f>ROUND(IF(B222&lt;15,(Valores!$E$5*B222),Valores!$D$5),2)</f>
        <v>27451.439999999999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30696.639999999999</v>
      </c>
      <c r="S222" s="125">
        <f>Valores!$C$18*B222</f>
        <v>18328.64</v>
      </c>
      <c r="T222" s="125">
        <f t="shared" si="36"/>
        <v>22910.799999999999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55954.239999999998</v>
      </c>
      <c r="AA222" s="125">
        <f>IF((Valores!$C$28)*B222&gt;Valores!$F$28,Valores!$F$28,(Valores!$C$28)*B222)</f>
        <v>1439.68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1122.78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25672.6</v>
      </c>
      <c r="AH222" s="125">
        <f t="shared" si="34"/>
        <v>443850.18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-48823.519800000002</v>
      </c>
      <c r="AO222" s="125">
        <f>AH222*-Valores!$C$72</f>
        <v>0</v>
      </c>
      <c r="AP222" s="125">
        <f>AH222*Valores!$C$73</f>
        <v>-19973.258099999999</v>
      </c>
      <c r="AQ222" s="125">
        <f>Valores!$C$100</f>
        <v>-554.86</v>
      </c>
      <c r="AR222" s="125">
        <f>IF($F$5=0,Valores!$C$101,(Valores!$C$101+$F$5*(Valores!$C$101)))</f>
        <v>-852</v>
      </c>
      <c r="AS222" s="125">
        <f t="shared" si="35"/>
        <v>373646.54209999996</v>
      </c>
      <c r="AT222" s="125">
        <f t="shared" si="29"/>
        <v>-48823.519800000002</v>
      </c>
      <c r="AU222" s="125">
        <f>AH222*Valores!$C$74</f>
        <v>-11983.95486</v>
      </c>
      <c r="AV222" s="125">
        <f>AH222*Valores!$C$75</f>
        <v>-1331.55054</v>
      </c>
      <c r="AW222" s="125">
        <f t="shared" si="33"/>
        <v>381711.15480000002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175437.9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0</v>
      </c>
      <c r="N223" s="125">
        <f t="shared" si="30"/>
        <v>51773.45</v>
      </c>
      <c r="O223" s="125">
        <f>Valores!$C$7*B223</f>
        <v>60096.959999999999</v>
      </c>
      <c r="P223" s="125">
        <f>ROUND(IF(B223&lt;15,(Valores!$E$5*B223),Valores!$D$5),2)</f>
        <v>27451.439999999999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31655.91</v>
      </c>
      <c r="S223" s="125">
        <f>Valores!$C$18*B223</f>
        <v>18901.41</v>
      </c>
      <c r="T223" s="125">
        <f t="shared" si="36"/>
        <v>23626.76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57702.81</v>
      </c>
      <c r="AA223" s="125">
        <f>IF((Valores!$C$28)*B223&gt;Valores!$F$28,Valores!$F$28,(Valores!$C$28)*B223)</f>
        <v>1484.67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1122.78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25672.6</v>
      </c>
      <c r="AH223" s="125">
        <f t="shared" si="34"/>
        <v>456025.27999999997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-50162.7808</v>
      </c>
      <c r="AO223" s="125">
        <f>AH223*-Valores!$C$72</f>
        <v>0</v>
      </c>
      <c r="AP223" s="125">
        <f>AH223*Valores!$C$73</f>
        <v>-20521.137599999998</v>
      </c>
      <c r="AQ223" s="125">
        <f>Valores!$C$100</f>
        <v>-554.86</v>
      </c>
      <c r="AR223" s="125">
        <f>IF($F$5=0,Valores!$C$101,(Valores!$C$101+$F$5*(Valores!$C$101)))</f>
        <v>-852</v>
      </c>
      <c r="AS223" s="125">
        <f t="shared" si="35"/>
        <v>383934.50159999996</v>
      </c>
      <c r="AT223" s="125">
        <f t="shared" si="29"/>
        <v>-50162.7808</v>
      </c>
      <c r="AU223" s="125">
        <f>AH223*Valores!$C$74</f>
        <v>-12312.682559999999</v>
      </c>
      <c r="AV223" s="125">
        <f>AH223*Valores!$C$75</f>
        <v>-1368.07584</v>
      </c>
      <c r="AW223" s="125">
        <f t="shared" si="33"/>
        <v>392181.74079999997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180754.2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0</v>
      </c>
      <c r="N224" s="125">
        <f t="shared" si="30"/>
        <v>53342.35</v>
      </c>
      <c r="O224" s="125">
        <f>Valores!$C$7*B224</f>
        <v>61918.079999999994</v>
      </c>
      <c r="P224" s="125">
        <f>ROUND(IF(B224&lt;15,(Valores!$E$5*B224),Valores!$D$5),2)</f>
        <v>27451.439999999999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32615.18</v>
      </c>
      <c r="S224" s="125">
        <f>Valores!$C$18*B224</f>
        <v>19474.18</v>
      </c>
      <c r="T224" s="125">
        <f t="shared" si="36"/>
        <v>24342.73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59451.38</v>
      </c>
      <c r="AA224" s="125">
        <f>IF((Valores!$C$28)*B224&gt;Valores!$F$28,Valores!$F$28,(Valores!$C$28)*B224)</f>
        <v>1529.66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1122.78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25672.6</v>
      </c>
      <c r="AH224" s="125">
        <f t="shared" si="34"/>
        <v>468200.39999999997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-51502.043999999994</v>
      </c>
      <c r="AO224" s="125">
        <f>AH224*-Valores!$C$72</f>
        <v>0</v>
      </c>
      <c r="AP224" s="125">
        <f>AH224*Valores!$C$73</f>
        <v>-21069.017999999996</v>
      </c>
      <c r="AQ224" s="125">
        <f>Valores!$C$100</f>
        <v>-554.86</v>
      </c>
      <c r="AR224" s="125">
        <f>IF($F$5=0,Valores!$C$101,(Valores!$C$101+$F$5*(Valores!$C$101)))</f>
        <v>-852</v>
      </c>
      <c r="AS224" s="125">
        <f t="shared" si="35"/>
        <v>394222.478</v>
      </c>
      <c r="AT224" s="125">
        <f t="shared" si="29"/>
        <v>-51502.043999999994</v>
      </c>
      <c r="AU224" s="125">
        <f>AH224*Valores!$C$74</f>
        <v>-12641.4108</v>
      </c>
      <c r="AV224" s="125">
        <f>AH224*Valores!$C$75</f>
        <v>-1404.6011999999998</v>
      </c>
      <c r="AW224" s="125">
        <f t="shared" si="33"/>
        <v>402652.34399999998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186070.5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0</v>
      </c>
      <c r="N225" s="125">
        <f t="shared" si="30"/>
        <v>54852.02</v>
      </c>
      <c r="O225" s="125">
        <f>Valores!$C$7*B225</f>
        <v>63739.199999999997</v>
      </c>
      <c r="P225" s="125">
        <f>ROUND(IF(B225&lt;15,(Valores!$E$5*B225),Valores!$D$5),2)</f>
        <v>27451.439999999999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33337.56</v>
      </c>
      <c r="S225" s="125">
        <f>Valores!$C$18*B225</f>
        <v>20046.95</v>
      </c>
      <c r="T225" s="125">
        <f t="shared" si="36"/>
        <v>25058.69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61199.95</v>
      </c>
      <c r="AA225" s="125">
        <f>IF((Valores!$C$28)*B225&gt;Valores!$F$28,Valores!$F$28,(Valores!$C$28)*B225)</f>
        <v>1574.65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1122.78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25672.6</v>
      </c>
      <c r="AH225" s="125">
        <f t="shared" si="34"/>
        <v>480079.39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-52808.732900000003</v>
      </c>
      <c r="AO225" s="125">
        <f>AH225*-Valores!$C$72</f>
        <v>0</v>
      </c>
      <c r="AP225" s="125">
        <f>AH225*Valores!$C$73</f>
        <v>-21603.572550000001</v>
      </c>
      <c r="AQ225" s="125">
        <f>Valores!$C$100</f>
        <v>-554.86</v>
      </c>
      <c r="AR225" s="125">
        <f>IF($F$5=0,Valores!$C$101,(Valores!$C$101+$F$5*(Valores!$C$101)))</f>
        <v>-852</v>
      </c>
      <c r="AS225" s="125">
        <f t="shared" si="35"/>
        <v>404260.22455000004</v>
      </c>
      <c r="AT225" s="125">
        <f t="shared" si="29"/>
        <v>-52808.732900000003</v>
      </c>
      <c r="AU225" s="125">
        <f>AH225*Valores!$C$74</f>
        <v>-12962.143529999999</v>
      </c>
      <c r="AV225" s="125">
        <f>AH225*Valores!$C$75</f>
        <v>-1440.2381700000001</v>
      </c>
      <c r="AW225" s="125">
        <f t="shared" si="33"/>
        <v>412868.27540000004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191386.8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0</v>
      </c>
      <c r="N226" s="125">
        <f t="shared" si="30"/>
        <v>56181.09</v>
      </c>
      <c r="O226" s="125">
        <f>Valores!$C$7*B226</f>
        <v>65560.319999999992</v>
      </c>
      <c r="P226" s="125">
        <f>ROUND(IF(B226&lt;15,(Valores!$E$5*B226),Valores!$D$5),2)</f>
        <v>27451.439999999999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33337.56</v>
      </c>
      <c r="S226" s="125">
        <f>Valores!$C$18*B226</f>
        <v>20619.72</v>
      </c>
      <c r="T226" s="125">
        <f t="shared" si="36"/>
        <v>25774.65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62948.52</v>
      </c>
      <c r="AA226" s="125">
        <f>IF((Valores!$C$28)*B226&gt;Valores!$F$28,Valores!$F$28,(Valores!$C$28)*B226)</f>
        <v>1619.64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1122.78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25672.6</v>
      </c>
      <c r="AH226" s="125">
        <f t="shared" si="34"/>
        <v>491055.4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-54016.094000000005</v>
      </c>
      <c r="AO226" s="125">
        <f>AH226*-Valores!$C$72</f>
        <v>0</v>
      </c>
      <c r="AP226" s="125">
        <f>AH226*Valores!$C$73</f>
        <v>-22097.492999999999</v>
      </c>
      <c r="AQ226" s="125">
        <f>Valores!$C$100</f>
        <v>-554.86</v>
      </c>
      <c r="AR226" s="125">
        <f>IF($F$5=0,Valores!$C$101,(Valores!$C$101+$F$5*(Valores!$C$101)))</f>
        <v>-852</v>
      </c>
      <c r="AS226" s="125">
        <f t="shared" si="35"/>
        <v>413534.95300000004</v>
      </c>
      <c r="AT226" s="125">
        <f t="shared" si="29"/>
        <v>-54016.094000000005</v>
      </c>
      <c r="AU226" s="125">
        <f>AH226*Valores!$C$74</f>
        <v>-13258.495800000001</v>
      </c>
      <c r="AV226" s="125">
        <f>AH226*Valores!$C$75</f>
        <v>-1473.1662000000001</v>
      </c>
      <c r="AW226" s="125">
        <f t="shared" si="33"/>
        <v>422307.64400000003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4242.3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0</v>
      </c>
      <c r="N227" s="125">
        <f t="shared" si="30"/>
        <v>1300.3900000000001</v>
      </c>
      <c r="O227" s="125">
        <f>Valores!$C$7*B227</f>
        <v>1821.12</v>
      </c>
      <c r="P227" s="125">
        <f>ROUND(IF(B227&lt;15,(Valores!$E$5*B227),Valores!$D$5),2)</f>
        <v>1830.1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959.27</v>
      </c>
      <c r="S227" s="125">
        <f>Valores!$C$18*B227</f>
        <v>572.77</v>
      </c>
      <c r="T227" s="125">
        <f t="shared" si="36"/>
        <v>715.96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1748.57</v>
      </c>
      <c r="AA227" s="125">
        <f>IF((Valores!$C$28)*B227&gt;Valores!$F$28,Valores!$F$28,(Valores!$C$28)*B227)</f>
        <v>44.99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37.46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855.75</v>
      </c>
      <c r="AH227" s="125">
        <f t="shared" si="34"/>
        <v>13555.909999999998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-1491.1500999999998</v>
      </c>
      <c r="AO227" s="125">
        <f>AH227*-Valores!$C$72</f>
        <v>0</v>
      </c>
      <c r="AP227" s="125">
        <f>AH227*Valores!$C$73</f>
        <v>-610.01594999999986</v>
      </c>
      <c r="AQ227" s="125">
        <f>Valores!$C$100</f>
        <v>-554.86</v>
      </c>
      <c r="AR227" s="125">
        <f>IF($F$5=0,Valores!$C$101,(Valores!$C$101+$F$5*(Valores!$C$101)))</f>
        <v>-852</v>
      </c>
      <c r="AS227" s="125">
        <f t="shared" si="35"/>
        <v>10047.883949999998</v>
      </c>
      <c r="AT227" s="125">
        <f t="shared" si="29"/>
        <v>-1491.1500999999998</v>
      </c>
      <c r="AU227" s="125">
        <f>AH227*Valores!$C$74</f>
        <v>-366.00956999999994</v>
      </c>
      <c r="AV227" s="125">
        <f>AH227*Valores!$C$75</f>
        <v>-40.667729999999992</v>
      </c>
      <c r="AW227" s="125">
        <f t="shared" si="33"/>
        <v>11658.082599999998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4242.3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0</v>
      </c>
      <c r="N228" s="125">
        <f t="shared" si="30"/>
        <v>1300.3900000000001</v>
      </c>
      <c r="O228" s="125">
        <f>Valores!$C$7*B228</f>
        <v>1821.12</v>
      </c>
      <c r="P228" s="125">
        <f>ROUND(IF(B228&lt;15,(Valores!$E$5*B228),Valores!$D$5),2)</f>
        <v>1830.1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959.27</v>
      </c>
      <c r="S228" s="125">
        <f>Valores!$C$18*B228</f>
        <v>572.77</v>
      </c>
      <c r="T228" s="125">
        <f t="shared" si="36"/>
        <v>715.96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1748.57</v>
      </c>
      <c r="AA228" s="125">
        <f>IF((Valores!$C$28)*B228&gt;Valores!$F$28,Valores!$F$28,(Valores!$C$28)*B228)</f>
        <v>44.99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37.46</v>
      </c>
      <c r="AE228" s="192">
        <v>94</v>
      </c>
      <c r="AF228" s="125">
        <f>ROUND(AE228*Valores!$C$2,2)</f>
        <v>5047.8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855.75</v>
      </c>
      <c r="AH228" s="125">
        <f t="shared" si="34"/>
        <v>18603.71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-2046.4080999999999</v>
      </c>
      <c r="AO228" s="125">
        <f>AH228*-Valores!$C$72</f>
        <v>0</v>
      </c>
      <c r="AP228" s="125">
        <f>AH228*Valores!$C$73</f>
        <v>-837.16694999999993</v>
      </c>
      <c r="AQ228" s="125">
        <f>Valores!$C$100</f>
        <v>-554.86</v>
      </c>
      <c r="AR228" s="125">
        <f>IF($F$5=0,Valores!$C$101,(Valores!$C$101+$F$5*(Valores!$C$101)))</f>
        <v>-852</v>
      </c>
      <c r="AS228" s="125">
        <f t="shared" si="35"/>
        <v>14313.274949999999</v>
      </c>
      <c r="AT228" s="125">
        <f t="shared" si="29"/>
        <v>-2046.4080999999999</v>
      </c>
      <c r="AU228" s="125">
        <f>AH228*Valores!$C$74</f>
        <v>-502.30016999999998</v>
      </c>
      <c r="AV228" s="125">
        <f>AH228*Valores!$C$75</f>
        <v>-55.811129999999999</v>
      </c>
      <c r="AW228" s="125">
        <f t="shared" si="33"/>
        <v>15999.190599999998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8484.6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0</v>
      </c>
      <c r="N229" s="125">
        <f t="shared" si="30"/>
        <v>2600.79</v>
      </c>
      <c r="O229" s="125">
        <f>Valores!$C$7*B229</f>
        <v>3642.24</v>
      </c>
      <c r="P229" s="125">
        <f>ROUND(IF(B229&lt;15,(Valores!$E$5*B229),Valores!$D$5),2)</f>
        <v>3660.2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1918.54</v>
      </c>
      <c r="S229" s="125">
        <f>Valores!$C$18*B229</f>
        <v>1145.54</v>
      </c>
      <c r="T229" s="125">
        <f t="shared" si="36"/>
        <v>1431.93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3497.14</v>
      </c>
      <c r="AA229" s="125">
        <f>IF((Valores!$C$28)*B229&gt;Valores!$F$28,Valores!$F$28,(Valores!$C$28)*B229)</f>
        <v>89.98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74.92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1711.5</v>
      </c>
      <c r="AH229" s="125">
        <f t="shared" si="34"/>
        <v>27111.839999999997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-2982.3023999999996</v>
      </c>
      <c r="AO229" s="125">
        <f>AH229*-Valores!$C$72</f>
        <v>0</v>
      </c>
      <c r="AP229" s="125">
        <f>AH229*Valores!$C$73</f>
        <v>-1220.0327999999997</v>
      </c>
      <c r="AQ229" s="125">
        <f>Valores!$C$100</f>
        <v>-554.86</v>
      </c>
      <c r="AR229" s="125">
        <f>IF($F$5=0,Valores!$C$101,(Valores!$C$101+$F$5*(Valores!$C$101)))</f>
        <v>-852</v>
      </c>
      <c r="AS229" s="125">
        <f t="shared" si="35"/>
        <v>21502.644799999998</v>
      </c>
      <c r="AT229" s="125">
        <f t="shared" si="29"/>
        <v>-2982.3023999999996</v>
      </c>
      <c r="AU229" s="125">
        <f>AH229*Valores!$C$74</f>
        <v>-732.01967999999988</v>
      </c>
      <c r="AV229" s="125">
        <f>AH229*Valores!$C$75</f>
        <v>-81.335519999999988</v>
      </c>
      <c r="AW229" s="125">
        <f t="shared" si="33"/>
        <v>23316.182399999998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8484.6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0</v>
      </c>
      <c r="N230" s="125">
        <f t="shared" si="30"/>
        <v>2600.79</v>
      </c>
      <c r="O230" s="125">
        <f>Valores!$C$7*B230</f>
        <v>3642.24</v>
      </c>
      <c r="P230" s="125">
        <f>ROUND(IF(B230&lt;15,(Valores!$E$5*B230),Valores!$D$5),2)</f>
        <v>3660.2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1918.54</v>
      </c>
      <c r="S230" s="125">
        <f>Valores!$C$18*B230</f>
        <v>1145.54</v>
      </c>
      <c r="T230" s="125">
        <f t="shared" si="36"/>
        <v>1431.93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3497.14</v>
      </c>
      <c r="AA230" s="125">
        <f>IF((Valores!$C$28)*B230&gt;Valores!$F$28,Valores!$F$28,(Valores!$C$28)*B230)</f>
        <v>89.98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74.92</v>
      </c>
      <c r="AE230" s="192">
        <v>94</v>
      </c>
      <c r="AF230" s="125">
        <f>ROUND(AE230*Valores!$C$2,2)</f>
        <v>5047.8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1711.5</v>
      </c>
      <c r="AH230" s="125">
        <f t="shared" si="34"/>
        <v>32159.639999999996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-3537.5603999999994</v>
      </c>
      <c r="AO230" s="125">
        <f>AH230*-Valores!$C$72</f>
        <v>0</v>
      </c>
      <c r="AP230" s="125">
        <f>AH230*Valores!$C$73</f>
        <v>-1447.1837999999998</v>
      </c>
      <c r="AQ230" s="125">
        <f>Valores!$C$100</f>
        <v>-554.86</v>
      </c>
      <c r="AR230" s="125">
        <f>IF($F$5=0,Valores!$C$101,(Valores!$C$101+$F$5*(Valores!$C$101)))</f>
        <v>-852</v>
      </c>
      <c r="AS230" s="125">
        <f t="shared" si="35"/>
        <v>25768.035799999998</v>
      </c>
      <c r="AT230" s="125">
        <f t="shared" si="29"/>
        <v>-3537.5603999999994</v>
      </c>
      <c r="AU230" s="125">
        <f>AH230*Valores!$C$74</f>
        <v>-868.31027999999992</v>
      </c>
      <c r="AV230" s="125">
        <f>AH230*Valores!$C$75</f>
        <v>-96.478919999999988</v>
      </c>
      <c r="AW230" s="125">
        <f t="shared" si="33"/>
        <v>27657.290399999998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12726.9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0</v>
      </c>
      <c r="N231" s="125">
        <f t="shared" si="30"/>
        <v>3901.18</v>
      </c>
      <c r="O231" s="125">
        <f>Valores!$C$7*B231</f>
        <v>5463.36</v>
      </c>
      <c r="P231" s="125">
        <f>ROUND(IF(B231&lt;15,(Valores!$E$5*B231),Valores!$D$5),2)</f>
        <v>5490.3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2877.81</v>
      </c>
      <c r="S231" s="125">
        <f>Valores!$C$18*B231</f>
        <v>1718.31</v>
      </c>
      <c r="T231" s="125">
        <f t="shared" si="36"/>
        <v>2147.89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5245.71</v>
      </c>
      <c r="AA231" s="125">
        <f>IF((Valores!$C$28)*B231&gt;Valores!$F$28,Valores!$F$28,(Valores!$C$28)*B231)</f>
        <v>134.97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112.38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2567.25</v>
      </c>
      <c r="AH231" s="125">
        <f t="shared" si="34"/>
        <v>40667.75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-4473.4525000000003</v>
      </c>
      <c r="AO231" s="125">
        <f>AH231*-Valores!$C$72</f>
        <v>0</v>
      </c>
      <c r="AP231" s="125">
        <f>AH231*Valores!$C$73</f>
        <v>-1830.0487499999999</v>
      </c>
      <c r="AQ231" s="125">
        <f>Valores!$C$100</f>
        <v>-554.86</v>
      </c>
      <c r="AR231" s="125">
        <f>IF($F$5=0,Valores!$C$101,(Valores!$C$101+$F$5*(Valores!$C$101)))</f>
        <v>-852</v>
      </c>
      <c r="AS231" s="125">
        <f t="shared" si="35"/>
        <v>32957.388749999998</v>
      </c>
      <c r="AT231" s="125">
        <f t="shared" si="29"/>
        <v>-4473.4525000000003</v>
      </c>
      <c r="AU231" s="125">
        <f>AH231*Valores!$C$74</f>
        <v>-1098.02925</v>
      </c>
      <c r="AV231" s="125">
        <f>AH231*Valores!$C$75</f>
        <v>-122.00325000000001</v>
      </c>
      <c r="AW231" s="125">
        <f t="shared" si="33"/>
        <v>34974.264999999999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12726.9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0</v>
      </c>
      <c r="N232" s="125">
        <f t="shared" si="30"/>
        <v>3901.18</v>
      </c>
      <c r="O232" s="125">
        <f>Valores!$C$7*B232</f>
        <v>5463.36</v>
      </c>
      <c r="P232" s="125">
        <f>ROUND(IF(B232&lt;15,(Valores!$E$5*B232),Valores!$D$5),2)</f>
        <v>5490.3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2877.81</v>
      </c>
      <c r="S232" s="125">
        <f>Valores!$C$18*B232</f>
        <v>1718.31</v>
      </c>
      <c r="T232" s="125">
        <f t="shared" si="36"/>
        <v>2147.89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5245.71</v>
      </c>
      <c r="AA232" s="125">
        <f>IF((Valores!$C$28)*B232&gt;Valores!$F$28,Valores!$F$28,(Valores!$C$28)*B232)</f>
        <v>134.97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112.38</v>
      </c>
      <c r="AE232" s="192">
        <v>94</v>
      </c>
      <c r="AF232" s="125">
        <f>ROUND(AE232*Valores!$C$2,2)</f>
        <v>5047.8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2567.25</v>
      </c>
      <c r="AH232" s="125">
        <f t="shared" si="34"/>
        <v>45715.55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-5028.7105000000001</v>
      </c>
      <c r="AO232" s="125">
        <f>AH232*-Valores!$C$72</f>
        <v>0</v>
      </c>
      <c r="AP232" s="125">
        <f>AH232*Valores!$C$73</f>
        <v>-2057.1997500000002</v>
      </c>
      <c r="AQ232" s="125">
        <f>Valores!$C$100</f>
        <v>-554.86</v>
      </c>
      <c r="AR232" s="125">
        <f>IF($F$5=0,Valores!$C$101,(Valores!$C$101+$F$5*(Valores!$C$101)))</f>
        <v>-852</v>
      </c>
      <c r="AS232" s="125">
        <f t="shared" si="35"/>
        <v>37222.779750000002</v>
      </c>
      <c r="AT232" s="125">
        <f t="shared" si="29"/>
        <v>-5028.7105000000001</v>
      </c>
      <c r="AU232" s="125">
        <f>AH232*Valores!$C$74</f>
        <v>-1234.3198500000001</v>
      </c>
      <c r="AV232" s="125">
        <f>AH232*Valores!$C$75</f>
        <v>-137.14665000000002</v>
      </c>
      <c r="AW232" s="125">
        <f t="shared" si="33"/>
        <v>39315.373000000007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16969.2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0</v>
      </c>
      <c r="N233" s="125">
        <f t="shared" si="30"/>
        <v>5201.57</v>
      </c>
      <c r="O233" s="125">
        <f>Valores!$C$7*B233</f>
        <v>7284.48</v>
      </c>
      <c r="P233" s="125">
        <f>ROUND(IF(B233&lt;15,(Valores!$E$5*B233),Valores!$D$5),2)</f>
        <v>7320.4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3837.08</v>
      </c>
      <c r="S233" s="125">
        <f>Valores!$C$18*B233</f>
        <v>2291.08</v>
      </c>
      <c r="T233" s="125">
        <f t="shared" si="36"/>
        <v>2863.85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6994.28</v>
      </c>
      <c r="AA233" s="125">
        <f>IF((Valores!$C$28)*B233&gt;Valores!$F$28,Valores!$F$28,(Valores!$C$28)*B233)</f>
        <v>179.96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149.84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3423</v>
      </c>
      <c r="AH233" s="125">
        <f t="shared" si="34"/>
        <v>54223.659999999996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-5964.6025999999993</v>
      </c>
      <c r="AO233" s="125">
        <f>AH233*-Valores!$C$72</f>
        <v>0</v>
      </c>
      <c r="AP233" s="125">
        <f>AH233*Valores!$C$73</f>
        <v>-2440.0646999999999</v>
      </c>
      <c r="AQ233" s="125">
        <f>Valores!$C$100</f>
        <v>-554.86</v>
      </c>
      <c r="AR233" s="125">
        <f>IF($F$5=0,Valores!$C$101,(Valores!$C$101+$F$5*(Valores!$C$101)))</f>
        <v>-852</v>
      </c>
      <c r="AS233" s="125">
        <f t="shared" si="35"/>
        <v>44412.132699999995</v>
      </c>
      <c r="AT233" s="125">
        <f t="shared" si="29"/>
        <v>-5964.6025999999993</v>
      </c>
      <c r="AU233" s="125">
        <f>AH233*Valores!$C$74</f>
        <v>-1464.03882</v>
      </c>
      <c r="AV233" s="125">
        <f>AH233*Valores!$C$75</f>
        <v>-162.67097999999999</v>
      </c>
      <c r="AW233" s="125">
        <f t="shared" si="33"/>
        <v>46632.347599999994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16969.2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0</v>
      </c>
      <c r="N234" s="125">
        <f t="shared" si="30"/>
        <v>5201.57</v>
      </c>
      <c r="O234" s="125">
        <f>Valores!$C$7*B234</f>
        <v>7284.48</v>
      </c>
      <c r="P234" s="125">
        <f>ROUND(IF(B234&lt;15,(Valores!$E$5*B234),Valores!$D$5),2)</f>
        <v>7320.4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3837.08</v>
      </c>
      <c r="S234" s="125">
        <f>Valores!$C$18*B234</f>
        <v>2291.08</v>
      </c>
      <c r="T234" s="125">
        <f t="shared" si="36"/>
        <v>2863.85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6994.28</v>
      </c>
      <c r="AA234" s="125">
        <f>IF((Valores!$C$28)*B234&gt;Valores!$F$28,Valores!$F$28,(Valores!$C$28)*B234)</f>
        <v>179.96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149.84</v>
      </c>
      <c r="AE234" s="192">
        <v>94</v>
      </c>
      <c r="AF234" s="125">
        <f>ROUND(AE234*Valores!$C$2,2)</f>
        <v>5047.8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3423</v>
      </c>
      <c r="AH234" s="125">
        <f t="shared" si="34"/>
        <v>59271.46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-6519.8606</v>
      </c>
      <c r="AO234" s="125">
        <f>AH234*-Valores!$C$72</f>
        <v>0</v>
      </c>
      <c r="AP234" s="125">
        <f>AH234*Valores!$C$73</f>
        <v>-2667.2156999999997</v>
      </c>
      <c r="AQ234" s="125">
        <f>Valores!$C$100</f>
        <v>-554.86</v>
      </c>
      <c r="AR234" s="125">
        <f>IF($F$5=0,Valores!$C$101,(Valores!$C$101+$F$5*(Valores!$C$101)))</f>
        <v>-852</v>
      </c>
      <c r="AS234" s="125">
        <f t="shared" si="35"/>
        <v>48677.523699999998</v>
      </c>
      <c r="AT234" s="125">
        <f t="shared" si="29"/>
        <v>-6519.8606</v>
      </c>
      <c r="AU234" s="125">
        <f>AH234*Valores!$C$74</f>
        <v>-1600.32942</v>
      </c>
      <c r="AV234" s="125">
        <f>AH234*Valores!$C$75</f>
        <v>-177.81438</v>
      </c>
      <c r="AW234" s="125">
        <f t="shared" si="33"/>
        <v>50973.455600000001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21211.5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0</v>
      </c>
      <c r="N235" s="125">
        <f t="shared" si="30"/>
        <v>6501.96</v>
      </c>
      <c r="O235" s="125">
        <f>Valores!$C$7*B235</f>
        <v>9105.5999999999985</v>
      </c>
      <c r="P235" s="125">
        <f>ROUND(IF(B235&lt;15,(Valores!$E$5*B235),Valores!$D$5),2)</f>
        <v>9150.5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4796.3500000000004</v>
      </c>
      <c r="S235" s="125">
        <f>Valores!$C$18*B235</f>
        <v>2863.85</v>
      </c>
      <c r="T235" s="125">
        <f t="shared" si="36"/>
        <v>3579.81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8742.85</v>
      </c>
      <c r="AA235" s="125">
        <f>IF((Valores!$C$28)*B235&gt;Valores!$F$28,Valores!$F$28,(Valores!$C$28)*B235)</f>
        <v>224.95000000000002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187.3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4278.75</v>
      </c>
      <c r="AH235" s="125">
        <f t="shared" si="34"/>
        <v>67779.569999999992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-7455.7526999999991</v>
      </c>
      <c r="AO235" s="125">
        <f>AH235*-Valores!$C$72</f>
        <v>0</v>
      </c>
      <c r="AP235" s="125">
        <f>AH235*Valores!$C$73</f>
        <v>-3050.0806499999994</v>
      </c>
      <c r="AQ235" s="125">
        <f>Valores!$C$100</f>
        <v>-554.86</v>
      </c>
      <c r="AR235" s="125">
        <f>IF($F$5=0,Valores!$C$101,(Valores!$C$101+$F$5*(Valores!$C$101)))</f>
        <v>-852</v>
      </c>
      <c r="AS235" s="125">
        <f t="shared" si="35"/>
        <v>55866.876649999991</v>
      </c>
      <c r="AT235" s="125">
        <f t="shared" si="29"/>
        <v>-7455.7526999999991</v>
      </c>
      <c r="AU235" s="125">
        <f>AH235*Valores!$C$74</f>
        <v>-1830.0483899999997</v>
      </c>
      <c r="AV235" s="125">
        <f>AH235*Valores!$C$75</f>
        <v>-203.33870999999999</v>
      </c>
      <c r="AW235" s="125">
        <f t="shared" si="33"/>
        <v>58290.430199999995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21211.5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0</v>
      </c>
      <c r="N236" s="125">
        <f t="shared" si="30"/>
        <v>6501.96</v>
      </c>
      <c r="O236" s="125">
        <f>Valores!$C$7*B236</f>
        <v>9105.5999999999985</v>
      </c>
      <c r="P236" s="125">
        <f>ROUND(IF(B236&lt;15,(Valores!$E$5*B236),Valores!$D$5),2)</f>
        <v>9150.5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4796.3500000000004</v>
      </c>
      <c r="S236" s="125">
        <f>Valores!$C$18*B236</f>
        <v>2863.85</v>
      </c>
      <c r="T236" s="125">
        <f t="shared" si="36"/>
        <v>3579.81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8742.85</v>
      </c>
      <c r="AA236" s="125">
        <f>IF((Valores!$C$28)*B236&gt;Valores!$F$28,Valores!$F$28,(Valores!$C$28)*B236)</f>
        <v>224.95000000000002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187.3</v>
      </c>
      <c r="AE236" s="192">
        <v>94</v>
      </c>
      <c r="AF236" s="125">
        <f>ROUND(AE236*Valores!$C$2,2)</f>
        <v>5047.8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4278.75</v>
      </c>
      <c r="AH236" s="125">
        <f t="shared" si="34"/>
        <v>72827.37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-8011.0106999999998</v>
      </c>
      <c r="AO236" s="125">
        <f>AH236*-Valores!$C$72</f>
        <v>0</v>
      </c>
      <c r="AP236" s="125">
        <f>AH236*Valores!$C$73</f>
        <v>-3277.2316499999997</v>
      </c>
      <c r="AQ236" s="125">
        <f>Valores!$C$100</f>
        <v>-554.86</v>
      </c>
      <c r="AR236" s="125">
        <f>IF($F$5=0,Valores!$C$101,(Valores!$C$101+$F$5*(Valores!$C$101)))</f>
        <v>-852</v>
      </c>
      <c r="AS236" s="125">
        <f t="shared" si="35"/>
        <v>60132.267649999994</v>
      </c>
      <c r="AT236" s="125">
        <f t="shared" si="29"/>
        <v>-8011.0106999999998</v>
      </c>
      <c r="AU236" s="125">
        <f>AH236*Valores!$C$74</f>
        <v>-1966.3389899999997</v>
      </c>
      <c r="AV236" s="125">
        <f>AH236*Valores!$C$75</f>
        <v>-218.48210999999998</v>
      </c>
      <c r="AW236" s="125">
        <f t="shared" si="33"/>
        <v>62631.538199999995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25453.8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0</v>
      </c>
      <c r="N237" s="125">
        <f t="shared" si="30"/>
        <v>7802.36</v>
      </c>
      <c r="O237" s="125">
        <f>Valores!$C$7*B237</f>
        <v>10926.72</v>
      </c>
      <c r="P237" s="125">
        <f>ROUND(IF(B237&lt;15,(Valores!$E$5*B237),Valores!$D$5),2)</f>
        <v>10980.6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5755.62</v>
      </c>
      <c r="S237" s="125">
        <f>Valores!$C$18*B237</f>
        <v>3436.62</v>
      </c>
      <c r="T237" s="125">
        <f t="shared" si="36"/>
        <v>4295.78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10491.42</v>
      </c>
      <c r="AA237" s="125">
        <f>IF((Valores!$C$28)*B237&gt;Valores!$F$28,Valores!$F$28,(Valores!$C$28)*B237)</f>
        <v>269.94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224.76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5134.5</v>
      </c>
      <c r="AH237" s="125">
        <f t="shared" si="34"/>
        <v>81335.5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-8946.9050000000007</v>
      </c>
      <c r="AO237" s="125">
        <f>AH237*-Valores!$C$72</f>
        <v>0</v>
      </c>
      <c r="AP237" s="125">
        <f>AH237*Valores!$C$73</f>
        <v>-3660.0974999999999</v>
      </c>
      <c r="AQ237" s="125">
        <f>Valores!$C$100</f>
        <v>-554.86</v>
      </c>
      <c r="AR237" s="125">
        <f>IF($F$5=0,Valores!$C$101,(Valores!$C$101+$F$5*(Valores!$C$101)))</f>
        <v>-852</v>
      </c>
      <c r="AS237" s="125">
        <f t="shared" si="35"/>
        <v>67321.637499999997</v>
      </c>
      <c r="AT237" s="125">
        <f t="shared" si="29"/>
        <v>-8946.9050000000007</v>
      </c>
      <c r="AU237" s="125">
        <f>AH237*Valores!$C$74</f>
        <v>-2196.0585000000001</v>
      </c>
      <c r="AV237" s="125">
        <f>AH237*Valores!$C$75</f>
        <v>-244.00650000000002</v>
      </c>
      <c r="AW237" s="125">
        <f t="shared" si="33"/>
        <v>69948.53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25453.8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0</v>
      </c>
      <c r="N238" s="125">
        <f t="shared" si="30"/>
        <v>7802.36</v>
      </c>
      <c r="O238" s="125">
        <f>Valores!$C$7*B238</f>
        <v>10926.72</v>
      </c>
      <c r="P238" s="125">
        <f>ROUND(IF(B238&lt;15,(Valores!$E$5*B238),Valores!$D$5),2)</f>
        <v>10980.6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5755.62</v>
      </c>
      <c r="S238" s="125">
        <f>Valores!$C$18*B238</f>
        <v>3436.62</v>
      </c>
      <c r="T238" s="125">
        <f t="shared" si="36"/>
        <v>4295.78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10491.42</v>
      </c>
      <c r="AA238" s="125">
        <f>IF((Valores!$C$28)*B238&gt;Valores!$F$28,Valores!$F$28,(Valores!$C$28)*B238)</f>
        <v>269.94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224.76</v>
      </c>
      <c r="AE238" s="192">
        <v>94</v>
      </c>
      <c r="AF238" s="125">
        <f>ROUND(AE238*Valores!$C$2,2)</f>
        <v>5047.8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5134.5</v>
      </c>
      <c r="AH238" s="125">
        <f t="shared" si="34"/>
        <v>86383.3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-9502.1630000000005</v>
      </c>
      <c r="AO238" s="125">
        <f>AH238*-Valores!$C$72</f>
        <v>0</v>
      </c>
      <c r="AP238" s="125">
        <f>AH238*Valores!$C$73</f>
        <v>-3887.2485000000001</v>
      </c>
      <c r="AQ238" s="125">
        <f>Valores!$C$100</f>
        <v>-554.86</v>
      </c>
      <c r="AR238" s="125">
        <f>IF($F$5=0,Valores!$C$101,(Valores!$C$101+$F$5*(Valores!$C$101)))</f>
        <v>-852</v>
      </c>
      <c r="AS238" s="125">
        <f t="shared" si="35"/>
        <v>71587.0285</v>
      </c>
      <c r="AT238" s="125">
        <f t="shared" si="29"/>
        <v>-9502.1630000000005</v>
      </c>
      <c r="AU238" s="125">
        <f>AH238*Valores!$C$74</f>
        <v>-2332.3490999999999</v>
      </c>
      <c r="AV238" s="125">
        <f>AH238*Valores!$C$75</f>
        <v>-259.1499</v>
      </c>
      <c r="AW238" s="125">
        <f t="shared" si="33"/>
        <v>74289.638000000006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29696.1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0</v>
      </c>
      <c r="N239" s="125">
        <f t="shared" si="30"/>
        <v>9102.75</v>
      </c>
      <c r="O239" s="125">
        <f>Valores!$C$7*B239</f>
        <v>12747.84</v>
      </c>
      <c r="P239" s="125">
        <f>ROUND(IF(B239&lt;15,(Valores!$E$5*B239),Valores!$D$5),2)</f>
        <v>12810.7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6714.8899999999994</v>
      </c>
      <c r="S239" s="125">
        <f>Valores!$C$18*B239</f>
        <v>4009.39</v>
      </c>
      <c r="T239" s="125">
        <f t="shared" si="36"/>
        <v>5011.74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12239.99</v>
      </c>
      <c r="AA239" s="125">
        <f>IF((Valores!$C$28)*B239&gt;Valores!$F$28,Valores!$F$28,(Valores!$C$28)*B239)</f>
        <v>314.93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262.22000000000003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5990.25</v>
      </c>
      <c r="AH239" s="125">
        <f t="shared" si="34"/>
        <v>94891.41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-10438.0551</v>
      </c>
      <c r="AO239" s="125">
        <f>AH239*-Valores!$C$72</f>
        <v>0</v>
      </c>
      <c r="AP239" s="125">
        <f>AH239*Valores!$C$73</f>
        <v>-4270.1134499999998</v>
      </c>
      <c r="AQ239" s="125">
        <f>Valores!$C$100</f>
        <v>-554.86</v>
      </c>
      <c r="AR239" s="125">
        <f>IF($F$5=0,Valores!$C$101,(Valores!$C$101+$F$5*(Valores!$C$101)))</f>
        <v>-852</v>
      </c>
      <c r="AS239" s="125">
        <f t="shared" si="35"/>
        <v>78776.381450000001</v>
      </c>
      <c r="AT239" s="125">
        <f t="shared" si="29"/>
        <v>-10438.0551</v>
      </c>
      <c r="AU239" s="125">
        <f>AH239*Valores!$C$74</f>
        <v>-2562.0680700000003</v>
      </c>
      <c r="AV239" s="125">
        <f>AH239*Valores!$C$75</f>
        <v>-284.67423000000002</v>
      </c>
      <c r="AW239" s="125">
        <f t="shared" si="33"/>
        <v>81606.612600000008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29696.1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0</v>
      </c>
      <c r="N240" s="125">
        <f t="shared" si="30"/>
        <v>9102.75</v>
      </c>
      <c r="O240" s="125">
        <f>Valores!$C$7*B240</f>
        <v>12747.84</v>
      </c>
      <c r="P240" s="125">
        <f>ROUND(IF(B240&lt;15,(Valores!$E$5*B240),Valores!$D$5),2)</f>
        <v>12810.7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6714.8899999999994</v>
      </c>
      <c r="S240" s="125">
        <f>Valores!$C$18*B240</f>
        <v>4009.39</v>
      </c>
      <c r="T240" s="125">
        <f t="shared" si="36"/>
        <v>5011.74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12239.99</v>
      </c>
      <c r="AA240" s="125">
        <f>IF((Valores!$C$28)*B240&gt;Valores!$F$28,Valores!$F$28,(Valores!$C$28)*B240)</f>
        <v>314.93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262.22000000000003</v>
      </c>
      <c r="AE240" s="192">
        <v>94</v>
      </c>
      <c r="AF240" s="125">
        <f>ROUND(AE240*Valores!$C$2,2)</f>
        <v>5047.8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5990.25</v>
      </c>
      <c r="AH240" s="125">
        <f t="shared" si="34"/>
        <v>99939.21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-10993.313100000001</v>
      </c>
      <c r="AO240" s="125">
        <f>AH240*-Valores!$C$72</f>
        <v>0</v>
      </c>
      <c r="AP240" s="125">
        <f>AH240*Valores!$C$73</f>
        <v>-4497.2644499999997</v>
      </c>
      <c r="AQ240" s="125">
        <f>Valores!$C$100</f>
        <v>-554.86</v>
      </c>
      <c r="AR240" s="125">
        <f>IF($F$5=0,Valores!$C$101,(Valores!$C$101+$F$5*(Valores!$C$101)))</f>
        <v>-852</v>
      </c>
      <c r="AS240" s="125">
        <f t="shared" si="35"/>
        <v>83041.772450000004</v>
      </c>
      <c r="AT240" s="125">
        <f t="shared" si="29"/>
        <v>-10993.313100000001</v>
      </c>
      <c r="AU240" s="125">
        <f>AH240*Valores!$C$74</f>
        <v>-2698.3586700000001</v>
      </c>
      <c r="AV240" s="125">
        <f>AH240*Valores!$C$75</f>
        <v>-299.81763000000001</v>
      </c>
      <c r="AW240" s="125">
        <f t="shared" si="33"/>
        <v>85947.720600000001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33938.400000000001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0</v>
      </c>
      <c r="N241" s="125">
        <f t="shared" si="30"/>
        <v>10403.14</v>
      </c>
      <c r="O241" s="125">
        <f>Valores!$C$7*B241</f>
        <v>14568.96</v>
      </c>
      <c r="P241" s="125">
        <f>ROUND(IF(B241&lt;15,(Valores!$E$5*B241),Valores!$D$5),2)</f>
        <v>14640.8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7674.16</v>
      </c>
      <c r="S241" s="125">
        <f>Valores!$C$18*B241</f>
        <v>4582.16</v>
      </c>
      <c r="T241" s="125">
        <f t="shared" si="36"/>
        <v>5727.7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13988.56</v>
      </c>
      <c r="AA241" s="125">
        <f>IF((Valores!$C$28)*B241&gt;Valores!$F$28,Valores!$F$28,(Valores!$C$28)*B241)</f>
        <v>359.92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299.68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6846</v>
      </c>
      <c r="AH241" s="125">
        <f t="shared" si="34"/>
        <v>108447.31999999999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-11929.205199999999</v>
      </c>
      <c r="AO241" s="125">
        <f>AH241*-Valores!$C$72</f>
        <v>0</v>
      </c>
      <c r="AP241" s="125">
        <f>AH241*Valores!$C$73</f>
        <v>-4880.1293999999998</v>
      </c>
      <c r="AQ241" s="125">
        <f>Valores!$C$100</f>
        <v>-554.86</v>
      </c>
      <c r="AR241" s="125">
        <f>IF($F$5=0,Valores!$C$101,(Valores!$C$101+$F$5*(Valores!$C$101)))</f>
        <v>-852</v>
      </c>
      <c r="AS241" s="125">
        <f t="shared" si="35"/>
        <v>90231.12539999999</v>
      </c>
      <c r="AT241" s="125">
        <f t="shared" si="29"/>
        <v>-11929.205199999999</v>
      </c>
      <c r="AU241" s="125">
        <f>AH241*Valores!$C$74</f>
        <v>-2928.07764</v>
      </c>
      <c r="AV241" s="125">
        <f>AH241*Valores!$C$75</f>
        <v>-325.34195999999997</v>
      </c>
      <c r="AW241" s="125">
        <f t="shared" si="33"/>
        <v>93264.695199999987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33938.400000000001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0</v>
      </c>
      <c r="N242" s="125">
        <f t="shared" si="30"/>
        <v>10403.14</v>
      </c>
      <c r="O242" s="125">
        <f>Valores!$C$7*B242</f>
        <v>14568.96</v>
      </c>
      <c r="P242" s="125">
        <f>ROUND(IF(B242&lt;15,(Valores!$E$5*B242),Valores!$D$5),2)</f>
        <v>14640.8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7674.16</v>
      </c>
      <c r="S242" s="125">
        <f>Valores!$C$18*B242</f>
        <v>4582.16</v>
      </c>
      <c r="T242" s="125">
        <f t="shared" si="36"/>
        <v>5727.7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13988.56</v>
      </c>
      <c r="AA242" s="125">
        <f>IF((Valores!$C$28)*B242&gt;Valores!$F$28,Valores!$F$28,(Valores!$C$28)*B242)</f>
        <v>359.92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299.68</v>
      </c>
      <c r="AE242" s="192">
        <v>94</v>
      </c>
      <c r="AF242" s="125">
        <f>ROUND(AE242*Valores!$C$2,2)</f>
        <v>5047.8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6846</v>
      </c>
      <c r="AH242" s="125">
        <f t="shared" si="34"/>
        <v>113495.12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-12484.4632</v>
      </c>
      <c r="AO242" s="125">
        <f>AH242*-Valores!$C$72</f>
        <v>0</v>
      </c>
      <c r="AP242" s="125">
        <f>AH242*Valores!$C$73</f>
        <v>-5107.2803999999996</v>
      </c>
      <c r="AQ242" s="125">
        <f>Valores!$C$100</f>
        <v>-554.86</v>
      </c>
      <c r="AR242" s="125">
        <f>IF($F$5=0,Valores!$C$101,(Valores!$C$101+$F$5*(Valores!$C$101)))</f>
        <v>-852</v>
      </c>
      <c r="AS242" s="125">
        <f t="shared" si="35"/>
        <v>94496.516399999993</v>
      </c>
      <c r="AT242" s="125">
        <f t="shared" si="29"/>
        <v>-12484.4632</v>
      </c>
      <c r="AU242" s="125">
        <f>AH242*Valores!$C$74</f>
        <v>-3064.3682399999998</v>
      </c>
      <c r="AV242" s="125">
        <f>AH242*Valores!$C$75</f>
        <v>-340.48536000000001</v>
      </c>
      <c r="AW242" s="125">
        <f t="shared" si="33"/>
        <v>97605.803199999995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38180.699999999997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0</v>
      </c>
      <c r="N243" s="125">
        <f t="shared" si="30"/>
        <v>11703.53</v>
      </c>
      <c r="O243" s="125">
        <f>Valores!$C$7*B243</f>
        <v>16390.079999999998</v>
      </c>
      <c r="P243" s="125">
        <f>ROUND(IF(B243&lt;15,(Valores!$E$5*B243),Valores!$D$5),2)</f>
        <v>16470.900000000001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8633.43</v>
      </c>
      <c r="S243" s="125">
        <f>Valores!$C$18*B243</f>
        <v>5154.93</v>
      </c>
      <c r="T243" s="125">
        <f t="shared" si="36"/>
        <v>6443.66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15737.13</v>
      </c>
      <c r="AA243" s="125">
        <f>IF((Valores!$C$28)*B243&gt;Valores!$F$28,Valores!$F$28,(Valores!$C$28)*B243)</f>
        <v>404.91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337.14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7701.75</v>
      </c>
      <c r="AH243" s="125">
        <f t="shared" si="34"/>
        <v>122003.23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-13420.355299999999</v>
      </c>
      <c r="AO243" s="125">
        <f>AH243*-Valores!$C$72</f>
        <v>0</v>
      </c>
      <c r="AP243" s="125">
        <f>AH243*Valores!$C$73</f>
        <v>-5490.1453499999998</v>
      </c>
      <c r="AQ243" s="125">
        <f>Valores!$C$100</f>
        <v>-554.86</v>
      </c>
      <c r="AR243" s="125">
        <f>IF($F$5=0,Valores!$C$101,(Valores!$C$101+$F$5*(Valores!$C$101)))</f>
        <v>-852</v>
      </c>
      <c r="AS243" s="125">
        <f t="shared" si="35"/>
        <v>101685.86934999999</v>
      </c>
      <c r="AT243" s="125">
        <f t="shared" si="29"/>
        <v>-13420.355299999999</v>
      </c>
      <c r="AU243" s="125">
        <f>AH243*Valores!$C$74</f>
        <v>-3294.0872099999997</v>
      </c>
      <c r="AV243" s="125">
        <f>AH243*Valores!$C$75</f>
        <v>-366.00968999999998</v>
      </c>
      <c r="AW243" s="125">
        <f t="shared" si="33"/>
        <v>104922.7778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38180.699999999997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0</v>
      </c>
      <c r="N244" s="125">
        <f t="shared" si="30"/>
        <v>11703.53</v>
      </c>
      <c r="O244" s="125">
        <f>Valores!$C$7*B244</f>
        <v>16390.079999999998</v>
      </c>
      <c r="P244" s="125">
        <f>ROUND(IF(B244&lt;15,(Valores!$E$5*B244),Valores!$D$5),2)</f>
        <v>16470.900000000001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8633.43</v>
      </c>
      <c r="S244" s="125">
        <f>Valores!$C$18*B244</f>
        <v>5154.93</v>
      </c>
      <c r="T244" s="125">
        <f t="shared" si="36"/>
        <v>6443.66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15737.13</v>
      </c>
      <c r="AA244" s="125">
        <f>IF((Valores!$C$28)*B244&gt;Valores!$F$28,Valores!$F$28,(Valores!$C$28)*B244)</f>
        <v>404.91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337.14</v>
      </c>
      <c r="AE244" s="192">
        <v>94</v>
      </c>
      <c r="AF244" s="125">
        <f>ROUND(AE244*Valores!$C$2,2)</f>
        <v>5047.8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7701.75</v>
      </c>
      <c r="AH244" s="125">
        <f t="shared" si="34"/>
        <v>127051.03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-13975.613299999999</v>
      </c>
      <c r="AO244" s="125">
        <f>AH244*-Valores!$C$72</f>
        <v>0</v>
      </c>
      <c r="AP244" s="125">
        <f>AH244*Valores!$C$73</f>
        <v>-5717.2963499999996</v>
      </c>
      <c r="AQ244" s="125">
        <f>Valores!$C$100</f>
        <v>-554.86</v>
      </c>
      <c r="AR244" s="125">
        <f>IF($F$5=0,Valores!$C$101,(Valores!$C$101+$F$5*(Valores!$C$101)))</f>
        <v>-852</v>
      </c>
      <c r="AS244" s="125">
        <f t="shared" si="35"/>
        <v>105951.26035</v>
      </c>
      <c r="AT244" s="125">
        <f t="shared" si="29"/>
        <v>-13975.613299999999</v>
      </c>
      <c r="AU244" s="125">
        <f>AH244*Valores!$C$74</f>
        <v>-3430.37781</v>
      </c>
      <c r="AV244" s="125">
        <f>AH244*Valores!$C$75</f>
        <v>-381.15309000000002</v>
      </c>
      <c r="AW244" s="125">
        <f t="shared" si="33"/>
        <v>109263.8858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42423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0</v>
      </c>
      <c r="N245" s="125">
        <f t="shared" si="30"/>
        <v>13003.93</v>
      </c>
      <c r="O245" s="125">
        <f>Valores!$C$7*B245</f>
        <v>18211.199999999997</v>
      </c>
      <c r="P245" s="125">
        <f>ROUND(IF(B245&lt;15,(Valores!$E$5*B245),Valores!$D$5),2)</f>
        <v>18301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9592.7000000000007</v>
      </c>
      <c r="S245" s="125">
        <f>Valores!$C$18*B245</f>
        <v>5727.7</v>
      </c>
      <c r="T245" s="125">
        <f t="shared" si="36"/>
        <v>7159.63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17485.7</v>
      </c>
      <c r="AA245" s="125">
        <f>IF((Valores!$C$28)*B245&gt;Valores!$F$28,Valores!$F$28,(Valores!$C$28)*B245)</f>
        <v>449.90000000000003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374.6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8557.5</v>
      </c>
      <c r="AH245" s="125">
        <f t="shared" si="34"/>
        <v>135559.16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-14911.507600000001</v>
      </c>
      <c r="AO245" s="125">
        <f>AH245*-Valores!$C$72</f>
        <v>0</v>
      </c>
      <c r="AP245" s="125">
        <f>AH245*Valores!$C$73</f>
        <v>-6100.1621999999998</v>
      </c>
      <c r="AQ245" s="125">
        <f>Valores!$C$100</f>
        <v>-554.86</v>
      </c>
      <c r="AR245" s="125">
        <f>IF($F$5=0,Valores!$C$101,(Valores!$C$101+$F$5*(Valores!$C$101)))</f>
        <v>-852</v>
      </c>
      <c r="AS245" s="125">
        <f t="shared" si="35"/>
        <v>113140.6302</v>
      </c>
      <c r="AT245" s="125">
        <f t="shared" si="29"/>
        <v>-14911.507600000001</v>
      </c>
      <c r="AU245" s="125">
        <f>AH245*Valores!$C$74</f>
        <v>-3660.0973199999999</v>
      </c>
      <c r="AV245" s="125">
        <f>AH245*Valores!$C$75</f>
        <v>-406.67748</v>
      </c>
      <c r="AW245" s="125">
        <f t="shared" si="33"/>
        <v>116580.87760000001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42423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0</v>
      </c>
      <c r="N246" s="125">
        <f t="shared" si="30"/>
        <v>13003.93</v>
      </c>
      <c r="O246" s="125">
        <f>Valores!$C$7*B246</f>
        <v>18211.199999999997</v>
      </c>
      <c r="P246" s="125">
        <f>ROUND(IF(B246&lt;15,(Valores!$E$5*B246),Valores!$D$5),2)</f>
        <v>18301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9592.7000000000007</v>
      </c>
      <c r="S246" s="125">
        <f>Valores!$C$18*B246</f>
        <v>5727.7</v>
      </c>
      <c r="T246" s="125">
        <f t="shared" si="36"/>
        <v>7159.63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17485.7</v>
      </c>
      <c r="AA246" s="125">
        <f>IF((Valores!$C$28)*B246&gt;Valores!$F$28,Valores!$F$28,(Valores!$C$28)*B246)</f>
        <v>449.90000000000003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374.6</v>
      </c>
      <c r="AE246" s="192">
        <v>94</v>
      </c>
      <c r="AF246" s="125">
        <f>ROUND(AE246*Valores!$C$2,2)</f>
        <v>5047.8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8557.5</v>
      </c>
      <c r="AH246" s="125">
        <f t="shared" si="34"/>
        <v>140606.96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-15466.765599999999</v>
      </c>
      <c r="AO246" s="125">
        <f>AH246*-Valores!$C$72</f>
        <v>0</v>
      </c>
      <c r="AP246" s="125">
        <f>AH246*Valores!$C$73</f>
        <v>-6327.3131999999996</v>
      </c>
      <c r="AQ246" s="125">
        <f>Valores!$C$100</f>
        <v>-554.86</v>
      </c>
      <c r="AR246" s="125">
        <f>IF($F$5=0,Valores!$C$101,(Valores!$C$101+$F$5*(Valores!$C$101)))</f>
        <v>-852</v>
      </c>
      <c r="AS246" s="125">
        <f t="shared" si="35"/>
        <v>117406.02119999999</v>
      </c>
      <c r="AT246" s="125">
        <f t="shared" si="29"/>
        <v>-15466.765599999999</v>
      </c>
      <c r="AU246" s="125">
        <f>AH246*Valores!$C$74</f>
        <v>-3796.3879199999997</v>
      </c>
      <c r="AV246" s="125">
        <f>AH246*Valores!$C$75</f>
        <v>-421.82087999999999</v>
      </c>
      <c r="AW246" s="125">
        <f t="shared" si="33"/>
        <v>120921.98559999999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46665.3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0</v>
      </c>
      <c r="N247" s="125">
        <f t="shared" si="30"/>
        <v>14304.32</v>
      </c>
      <c r="O247" s="125">
        <f>Valores!$C$7*B247</f>
        <v>20032.32</v>
      </c>
      <c r="P247" s="125">
        <f>ROUND(IF(B247&lt;15,(Valores!$E$5*B247),Valores!$D$5),2)</f>
        <v>20131.099999999999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10551.97</v>
      </c>
      <c r="S247" s="125">
        <f>Valores!$C$18*B247</f>
        <v>6300.4699999999993</v>
      </c>
      <c r="T247" s="125">
        <f t="shared" si="36"/>
        <v>7875.59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19234.27</v>
      </c>
      <c r="AA247" s="125">
        <f>IF((Valores!$C$28)*B247&gt;Valores!$F$28,Valores!$F$28,(Valores!$C$28)*B247)</f>
        <v>494.89000000000004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412.06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9413.25</v>
      </c>
      <c r="AH247" s="125">
        <f t="shared" si="34"/>
        <v>149115.07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-16402.6577</v>
      </c>
      <c r="AO247" s="125">
        <f>AH247*-Valores!$C$72</f>
        <v>0</v>
      </c>
      <c r="AP247" s="125">
        <f>AH247*Valores!$C$73</f>
        <v>-6710.1781499999997</v>
      </c>
      <c r="AQ247" s="125">
        <f>Valores!$C$100</f>
        <v>-554.86</v>
      </c>
      <c r="AR247" s="125">
        <f>IF($F$5=0,Valores!$C$101,(Valores!$C$101+$F$5*(Valores!$C$101)))</f>
        <v>-852</v>
      </c>
      <c r="AS247" s="125">
        <f t="shared" si="35"/>
        <v>124595.37415</v>
      </c>
      <c r="AT247" s="125">
        <f t="shared" si="29"/>
        <v>-16402.6577</v>
      </c>
      <c r="AU247" s="125">
        <f>AH247*Valores!$C$74</f>
        <v>-4026.10689</v>
      </c>
      <c r="AV247" s="125">
        <f>AH247*Valores!$C$75</f>
        <v>-447.34521000000001</v>
      </c>
      <c r="AW247" s="125">
        <f t="shared" si="33"/>
        <v>128238.9602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46665.3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0</v>
      </c>
      <c r="N248" s="125">
        <f t="shared" si="30"/>
        <v>14304.32</v>
      </c>
      <c r="O248" s="125">
        <f>Valores!$C$7*B248</f>
        <v>20032.32</v>
      </c>
      <c r="P248" s="125">
        <f>ROUND(IF(B248&lt;15,(Valores!$E$5*B248),Valores!$D$5),2)</f>
        <v>20131.099999999999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10551.97</v>
      </c>
      <c r="S248" s="125">
        <f>Valores!$C$18*B248</f>
        <v>6300.4699999999993</v>
      </c>
      <c r="T248" s="125">
        <f t="shared" si="36"/>
        <v>7875.59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19234.27</v>
      </c>
      <c r="AA248" s="125">
        <f>IF((Valores!$C$28)*B248&gt;Valores!$F$28,Valores!$F$28,(Valores!$C$28)*B248)</f>
        <v>494.89000000000004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412.06</v>
      </c>
      <c r="AE248" s="192">
        <v>94</v>
      </c>
      <c r="AF248" s="125">
        <f>ROUND(AE248*Valores!$C$2,2)</f>
        <v>5047.8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9413.25</v>
      </c>
      <c r="AH248" s="125">
        <f t="shared" si="34"/>
        <v>154162.87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-16957.915700000001</v>
      </c>
      <c r="AO248" s="125">
        <f>AH248*-Valores!$C$72</f>
        <v>0</v>
      </c>
      <c r="AP248" s="125">
        <f>AH248*Valores!$C$73</f>
        <v>-6937.3291499999996</v>
      </c>
      <c r="AQ248" s="125">
        <f>Valores!$C$100</f>
        <v>-554.86</v>
      </c>
      <c r="AR248" s="125">
        <f>IF($F$5=0,Valores!$C$101,(Valores!$C$101+$F$5*(Valores!$C$101)))</f>
        <v>-852</v>
      </c>
      <c r="AS248" s="125">
        <f t="shared" si="35"/>
        <v>128860.76514999999</v>
      </c>
      <c r="AT248" s="125">
        <f t="shared" si="29"/>
        <v>-16957.915700000001</v>
      </c>
      <c r="AU248" s="125">
        <f>AH248*Valores!$C$74</f>
        <v>-4162.3974899999994</v>
      </c>
      <c r="AV248" s="125">
        <f>AH248*Valores!$C$75</f>
        <v>-462.48860999999999</v>
      </c>
      <c r="AW248" s="125">
        <f t="shared" si="33"/>
        <v>132580.06819999998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50907.6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0</v>
      </c>
      <c r="N249" s="125">
        <f t="shared" si="30"/>
        <v>15604.71</v>
      </c>
      <c r="O249" s="125">
        <f>Valores!$C$7*B249</f>
        <v>21853.439999999999</v>
      </c>
      <c r="P249" s="125">
        <f>ROUND(IF(B249&lt;15,(Valores!$E$5*B249),Valores!$D$5),2)</f>
        <v>21961.200000000001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11511.24</v>
      </c>
      <c r="S249" s="125">
        <f>Valores!$C$18*B249</f>
        <v>6873.24</v>
      </c>
      <c r="T249" s="125">
        <f t="shared" si="36"/>
        <v>8591.5499999999993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20982.84</v>
      </c>
      <c r="AA249" s="125">
        <f>IF((Valores!$C$28)*B249&gt;Valores!$F$28,Valores!$F$28,(Valores!$C$28)*B249)</f>
        <v>539.88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449.52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10269</v>
      </c>
      <c r="AH249" s="125">
        <f t="shared" si="34"/>
        <v>162670.98000000001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-17893.807800000002</v>
      </c>
      <c r="AO249" s="125">
        <f>AH249*-Valores!$C$72</f>
        <v>0</v>
      </c>
      <c r="AP249" s="125">
        <f>AH249*Valores!$C$73</f>
        <v>-7320.1941000000006</v>
      </c>
      <c r="AQ249" s="125">
        <f>Valores!$C$100</f>
        <v>-554.86</v>
      </c>
      <c r="AR249" s="125">
        <f>IF($F$5=0,Valores!$C$101,(Valores!$C$101+$F$5*(Valores!$C$101)))</f>
        <v>-852</v>
      </c>
      <c r="AS249" s="125">
        <f t="shared" si="35"/>
        <v>136050.11810000002</v>
      </c>
      <c r="AT249" s="125">
        <f t="shared" si="29"/>
        <v>-17893.807800000002</v>
      </c>
      <c r="AU249" s="125">
        <f>AH249*Valores!$C$74</f>
        <v>-4392.1164600000002</v>
      </c>
      <c r="AV249" s="125">
        <f>AH249*Valores!$C$75</f>
        <v>-488.01294000000001</v>
      </c>
      <c r="AW249" s="125">
        <f t="shared" si="33"/>
        <v>139897.0428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50907.6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0</v>
      </c>
      <c r="N250" s="125">
        <f t="shared" si="30"/>
        <v>15604.71</v>
      </c>
      <c r="O250" s="125">
        <f>Valores!$C$7*B250</f>
        <v>21853.439999999999</v>
      </c>
      <c r="P250" s="125">
        <f>ROUND(IF(B250&lt;15,(Valores!$E$5*B250),Valores!$D$5),2)</f>
        <v>21961.200000000001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11511.24</v>
      </c>
      <c r="S250" s="125">
        <f>Valores!$C$18*B250</f>
        <v>6873.24</v>
      </c>
      <c r="T250" s="125">
        <f t="shared" si="36"/>
        <v>8591.5499999999993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20982.84</v>
      </c>
      <c r="AA250" s="125">
        <f>IF((Valores!$C$28)*B250&gt;Valores!$F$28,Valores!$F$28,(Valores!$C$28)*B250)</f>
        <v>539.88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449.52</v>
      </c>
      <c r="AE250" s="192">
        <v>94</v>
      </c>
      <c r="AF250" s="125">
        <f>ROUND(AE250*Valores!$C$2,2)</f>
        <v>5047.8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10269</v>
      </c>
      <c r="AH250" s="125">
        <f t="shared" si="34"/>
        <v>167718.78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-18449.0658</v>
      </c>
      <c r="AO250" s="125">
        <f>AH250*-Valores!$C$72</f>
        <v>0</v>
      </c>
      <c r="AP250" s="125">
        <f>AH250*Valores!$C$73</f>
        <v>-7547.3450999999995</v>
      </c>
      <c r="AQ250" s="125">
        <f>Valores!$C$100</f>
        <v>-554.86</v>
      </c>
      <c r="AR250" s="125">
        <f>IF($F$5=0,Valores!$C$101,(Valores!$C$101+$F$5*(Valores!$C$101)))</f>
        <v>-852</v>
      </c>
      <c r="AS250" s="125">
        <f t="shared" si="35"/>
        <v>140315.5091</v>
      </c>
      <c r="AT250" s="125">
        <f t="shared" si="29"/>
        <v>-18449.0658</v>
      </c>
      <c r="AU250" s="125">
        <f>AH250*Valores!$C$74</f>
        <v>-4528.4070599999995</v>
      </c>
      <c r="AV250" s="125">
        <f>AH250*Valores!$C$75</f>
        <v>-503.15634</v>
      </c>
      <c r="AW250" s="125">
        <f t="shared" si="33"/>
        <v>144238.1508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55149.9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0</v>
      </c>
      <c r="N251" s="125">
        <f t="shared" si="30"/>
        <v>16905.099999999999</v>
      </c>
      <c r="O251" s="125">
        <f>Valores!$C$7*B251</f>
        <v>23674.559999999998</v>
      </c>
      <c r="P251" s="125">
        <f>ROUND(IF(B251&lt;15,(Valores!$E$5*B251),Valores!$D$5),2)</f>
        <v>23791.3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12470.51</v>
      </c>
      <c r="S251" s="125">
        <f>Valores!$C$18*B251</f>
        <v>7446.01</v>
      </c>
      <c r="T251" s="125">
        <f t="shared" si="36"/>
        <v>9307.51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22731.41</v>
      </c>
      <c r="AA251" s="125">
        <f>IF((Valores!$C$28)*B251&gt;Valores!$F$28,Valores!$F$28,(Valores!$C$28)*B251)</f>
        <v>584.87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486.98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11124.75</v>
      </c>
      <c r="AH251" s="125">
        <f t="shared" si="34"/>
        <v>176226.89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-19384.957900000001</v>
      </c>
      <c r="AO251" s="125">
        <f>AH251*-Valores!$C$72</f>
        <v>0</v>
      </c>
      <c r="AP251" s="125">
        <f>AH251*Valores!$C$73</f>
        <v>-7930.2100500000006</v>
      </c>
      <c r="AQ251" s="125">
        <f>Valores!$C$100</f>
        <v>-554.86</v>
      </c>
      <c r="AR251" s="125">
        <f>IF($F$5=0,Valores!$C$101,(Valores!$C$101+$F$5*(Valores!$C$101)))</f>
        <v>-852</v>
      </c>
      <c r="AS251" s="125">
        <f t="shared" si="35"/>
        <v>147504.86205</v>
      </c>
      <c r="AT251" s="125">
        <f t="shared" si="29"/>
        <v>-19384.957900000001</v>
      </c>
      <c r="AU251" s="125">
        <f>AH251*Valores!$C$74</f>
        <v>-4758.1260300000004</v>
      </c>
      <c r="AV251" s="125">
        <f>AH251*Valores!$C$75</f>
        <v>-528.68067000000008</v>
      </c>
      <c r="AW251" s="125">
        <f t="shared" si="33"/>
        <v>151555.12540000002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55149.9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0</v>
      </c>
      <c r="N252" s="125">
        <f t="shared" si="30"/>
        <v>16905.099999999999</v>
      </c>
      <c r="O252" s="125">
        <f>Valores!$C$7*B252</f>
        <v>23674.559999999998</v>
      </c>
      <c r="P252" s="125">
        <f>ROUND(IF(B252&lt;15,(Valores!$E$5*B252),Valores!$D$5),2)</f>
        <v>23791.3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12470.51</v>
      </c>
      <c r="S252" s="125">
        <f>Valores!$C$18*B252</f>
        <v>7446.01</v>
      </c>
      <c r="T252" s="125">
        <f t="shared" si="36"/>
        <v>9307.51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22731.41</v>
      </c>
      <c r="AA252" s="125">
        <f>IF((Valores!$C$28)*B252&gt;Valores!$F$28,Valores!$F$28,(Valores!$C$28)*B252)</f>
        <v>584.87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486.98</v>
      </c>
      <c r="AE252" s="192">
        <v>94</v>
      </c>
      <c r="AF252" s="125">
        <f>ROUND(AE252*Valores!$C$2,2)</f>
        <v>5047.8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11124.75</v>
      </c>
      <c r="AH252" s="125">
        <f t="shared" si="34"/>
        <v>181274.69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-19940.215899999999</v>
      </c>
      <c r="AO252" s="125">
        <f>AH252*-Valores!$C$72</f>
        <v>0</v>
      </c>
      <c r="AP252" s="125">
        <f>AH252*Valores!$C$73</f>
        <v>-8157.3610499999995</v>
      </c>
      <c r="AQ252" s="125">
        <f>Valores!$C$100</f>
        <v>-554.86</v>
      </c>
      <c r="AR252" s="125">
        <f>IF($F$5=0,Valores!$C$101,(Valores!$C$101+$F$5*(Valores!$C$101)))</f>
        <v>-852</v>
      </c>
      <c r="AS252" s="125">
        <f t="shared" si="35"/>
        <v>151770.25305</v>
      </c>
      <c r="AT252" s="125">
        <f t="shared" si="29"/>
        <v>-19940.215899999999</v>
      </c>
      <c r="AU252" s="125">
        <f>AH252*Valores!$C$74</f>
        <v>-4894.4166299999997</v>
      </c>
      <c r="AV252" s="125">
        <f>AH252*Valores!$C$75</f>
        <v>-543.82407000000001</v>
      </c>
      <c r="AW252" s="125">
        <f t="shared" si="33"/>
        <v>155896.2334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59392.2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0</v>
      </c>
      <c r="N253" s="125">
        <f t="shared" si="30"/>
        <v>18205.5</v>
      </c>
      <c r="O253" s="125">
        <f>Valores!$C$7*B253</f>
        <v>25495.68</v>
      </c>
      <c r="P253" s="125">
        <f>ROUND(IF(B253&lt;15,(Valores!$E$5*B253),Valores!$D$5),2)</f>
        <v>25621.4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13429.779999999999</v>
      </c>
      <c r="S253" s="125">
        <f>Valores!$C$18*B253</f>
        <v>8018.78</v>
      </c>
      <c r="T253" s="125">
        <f t="shared" si="36"/>
        <v>10023.48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24479.98</v>
      </c>
      <c r="AA253" s="125">
        <f>IF((Valores!$C$28)*B253&gt;Valores!$F$28,Valores!$F$28,(Valores!$C$28)*B253)</f>
        <v>629.86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524.44000000000005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11980.5</v>
      </c>
      <c r="AH253" s="125">
        <f t="shared" si="34"/>
        <v>189782.82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-20876.110199999999</v>
      </c>
      <c r="AO253" s="125">
        <f>AH253*-Valores!$C$72</f>
        <v>0</v>
      </c>
      <c r="AP253" s="125">
        <f>AH253*Valores!$C$73</f>
        <v>-8540.2268999999997</v>
      </c>
      <c r="AQ253" s="125">
        <f>Valores!$C$100</f>
        <v>-554.86</v>
      </c>
      <c r="AR253" s="125">
        <f>IF($F$5=0,Valores!$C$101,(Valores!$C$101+$F$5*(Valores!$C$101)))</f>
        <v>-852</v>
      </c>
      <c r="AS253" s="125">
        <f t="shared" si="35"/>
        <v>158959.62290000002</v>
      </c>
      <c r="AT253" s="125">
        <f t="shared" si="29"/>
        <v>-20876.110199999999</v>
      </c>
      <c r="AU253" s="125">
        <f>AH253*Valores!$C$74</f>
        <v>-5124.1361400000005</v>
      </c>
      <c r="AV253" s="125">
        <f>AH253*Valores!$C$75</f>
        <v>-569.34846000000005</v>
      </c>
      <c r="AW253" s="125">
        <f t="shared" si="33"/>
        <v>163213.22520000002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59392.2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0</v>
      </c>
      <c r="N254" s="125">
        <f t="shared" si="30"/>
        <v>18205.5</v>
      </c>
      <c r="O254" s="125">
        <f>Valores!$C$7*B254</f>
        <v>25495.68</v>
      </c>
      <c r="P254" s="125">
        <f>ROUND(IF(B254&lt;15,(Valores!$E$5*B254),Valores!$D$5),2)</f>
        <v>25621.4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13429.779999999999</v>
      </c>
      <c r="S254" s="125">
        <f>Valores!$C$18*B254</f>
        <v>8018.78</v>
      </c>
      <c r="T254" s="125">
        <f t="shared" si="36"/>
        <v>10023.48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24479.98</v>
      </c>
      <c r="AA254" s="125">
        <f>IF((Valores!$C$28)*B254&gt;Valores!$F$28,Valores!$F$28,(Valores!$C$28)*B254)</f>
        <v>629.86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524.44000000000005</v>
      </c>
      <c r="AE254" s="192">
        <v>94</v>
      </c>
      <c r="AF254" s="125">
        <f>ROUND(AE254*Valores!$C$2,2)</f>
        <v>5047.8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11980.5</v>
      </c>
      <c r="AH254" s="125">
        <f t="shared" si="34"/>
        <v>194830.62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-21431.368200000001</v>
      </c>
      <c r="AO254" s="125">
        <f>AH254*-Valores!$C$72</f>
        <v>0</v>
      </c>
      <c r="AP254" s="125">
        <f>AH254*Valores!$C$73</f>
        <v>-8767.3778999999995</v>
      </c>
      <c r="AQ254" s="125">
        <f>Valores!$C$100</f>
        <v>-554.86</v>
      </c>
      <c r="AR254" s="125">
        <f>IF($F$5=0,Valores!$C$101,(Valores!$C$101+$F$5*(Valores!$C$101)))</f>
        <v>-852</v>
      </c>
      <c r="AS254" s="125">
        <f t="shared" si="35"/>
        <v>163225.01389999999</v>
      </c>
      <c r="AT254" s="125">
        <f t="shared" si="29"/>
        <v>-21431.368200000001</v>
      </c>
      <c r="AU254" s="125">
        <f>AH254*Valores!$C$74</f>
        <v>-5260.4267399999999</v>
      </c>
      <c r="AV254" s="125">
        <f>AH254*Valores!$C$75</f>
        <v>-584.49185999999997</v>
      </c>
      <c r="AW254" s="125">
        <f t="shared" si="33"/>
        <v>167554.33319999999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63634.5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0</v>
      </c>
      <c r="N255" s="125">
        <f t="shared" si="30"/>
        <v>19505.89</v>
      </c>
      <c r="O255" s="125">
        <f>Valores!$C$7*B255</f>
        <v>27316.799999999999</v>
      </c>
      <c r="P255" s="125">
        <f>ROUND(IF(B255&lt;15,(Valores!$E$5*B255),Valores!$D$5),2)</f>
        <v>27451.439999999999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14389.05</v>
      </c>
      <c r="S255" s="125">
        <f>Valores!$C$18*B255</f>
        <v>8591.5499999999993</v>
      </c>
      <c r="T255" s="125">
        <f t="shared" si="36"/>
        <v>10739.44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26228.55</v>
      </c>
      <c r="AA255" s="125">
        <f>IF((Valores!$C$28)*B255&gt;Valores!$F$28,Valores!$F$28,(Valores!$C$28)*B255)</f>
        <v>674.85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561.9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12836.25</v>
      </c>
      <c r="AH255" s="125">
        <f t="shared" si="34"/>
        <v>203338.66999999998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-22367.253699999997</v>
      </c>
      <c r="AO255" s="125">
        <f>AH255*-Valores!$C$72</f>
        <v>0</v>
      </c>
      <c r="AP255" s="125">
        <f>AH255*Valores!$C$73</f>
        <v>-9150.2401499999996</v>
      </c>
      <c r="AQ255" s="125">
        <f>Valores!$C$100</f>
        <v>-554.86</v>
      </c>
      <c r="AR255" s="125">
        <f>IF($F$5=0,Valores!$C$101,(Valores!$C$101+$F$5*(Valores!$C$101)))</f>
        <v>-852</v>
      </c>
      <c r="AS255" s="125">
        <f t="shared" si="35"/>
        <v>170414.31614999997</v>
      </c>
      <c r="AT255" s="125">
        <f t="shared" si="29"/>
        <v>-22367.253699999997</v>
      </c>
      <c r="AU255" s="125">
        <f>AH255*Valores!$C$74</f>
        <v>-5490.1440899999998</v>
      </c>
      <c r="AV255" s="125">
        <f>AH255*Valores!$C$75</f>
        <v>-610.01600999999994</v>
      </c>
      <c r="AW255" s="125">
        <f t="shared" si="33"/>
        <v>174871.2562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63634.5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0</v>
      </c>
      <c r="N256" s="125">
        <f t="shared" si="30"/>
        <v>19505.89</v>
      </c>
      <c r="O256" s="125">
        <f>Valores!$C$7*B256</f>
        <v>27316.799999999999</v>
      </c>
      <c r="P256" s="125">
        <f>ROUND(IF(B256&lt;15,(Valores!$E$5*B256),Valores!$D$5),2)</f>
        <v>27451.439999999999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14389.05</v>
      </c>
      <c r="S256" s="125">
        <f>Valores!$C$18*B256</f>
        <v>8591.5499999999993</v>
      </c>
      <c r="T256" s="125">
        <f t="shared" si="36"/>
        <v>10739.44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26228.55</v>
      </c>
      <c r="AA256" s="125">
        <f>IF((Valores!$C$28)*B256&gt;Valores!$F$28,Valores!$F$28,(Valores!$C$28)*B256)</f>
        <v>674.85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561.9</v>
      </c>
      <c r="AE256" s="192">
        <v>94</v>
      </c>
      <c r="AF256" s="125">
        <f>ROUND(AE256*Valores!$C$2,2)</f>
        <v>5047.8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12836.25</v>
      </c>
      <c r="AH256" s="125">
        <f t="shared" si="34"/>
        <v>208386.46999999997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-22922.511699999995</v>
      </c>
      <c r="AO256" s="125">
        <f>AH256*-Valores!$C$72</f>
        <v>0</v>
      </c>
      <c r="AP256" s="125">
        <f>AH256*Valores!$C$73</f>
        <v>-9377.3911499999977</v>
      </c>
      <c r="AQ256" s="125">
        <f>Valores!$C$100</f>
        <v>-554.86</v>
      </c>
      <c r="AR256" s="125">
        <f>IF($F$5=0,Valores!$C$101,(Valores!$C$101+$F$5*(Valores!$C$101)))</f>
        <v>-852</v>
      </c>
      <c r="AS256" s="125">
        <f t="shared" si="35"/>
        <v>174679.70714999997</v>
      </c>
      <c r="AT256" s="125">
        <f t="shared" si="29"/>
        <v>-22922.511699999995</v>
      </c>
      <c r="AU256" s="125">
        <f>AH256*Valores!$C$74</f>
        <v>-5626.4346899999991</v>
      </c>
      <c r="AV256" s="125">
        <f>AH256*Valores!$C$75</f>
        <v>-625.15940999999998</v>
      </c>
      <c r="AW256" s="125">
        <f t="shared" si="33"/>
        <v>179212.36419999998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67876.800000000003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0</v>
      </c>
      <c r="N257" s="125">
        <f t="shared" si="30"/>
        <v>20806.28</v>
      </c>
      <c r="O257" s="125">
        <f>Valores!$C$7*B257</f>
        <v>29137.919999999998</v>
      </c>
      <c r="P257" s="125">
        <f>ROUND(IF(B257&lt;15,(Valores!$E$5*B257),Valores!$D$5),2)</f>
        <v>27451.439999999999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15348.32</v>
      </c>
      <c r="S257" s="125">
        <f>Valores!$C$18*B257</f>
        <v>9164.32</v>
      </c>
      <c r="T257" s="125">
        <f t="shared" si="36"/>
        <v>11455.4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27977.119999999999</v>
      </c>
      <c r="AA257" s="125">
        <f>IF((Valores!$C$28)*B257&gt;Valores!$F$28,Valores!$F$28,(Valores!$C$28)*B257)</f>
        <v>719.84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599.36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13692</v>
      </c>
      <c r="AH257" s="125">
        <f t="shared" si="34"/>
        <v>215064.47999999998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-23657.092799999999</v>
      </c>
      <c r="AO257" s="125">
        <f>AH257*-Valores!$C$72</f>
        <v>0</v>
      </c>
      <c r="AP257" s="125">
        <f>AH257*Valores!$C$73</f>
        <v>-9677.9015999999992</v>
      </c>
      <c r="AQ257" s="125">
        <f>Valores!$C$100</f>
        <v>-554.86</v>
      </c>
      <c r="AR257" s="125">
        <f>IF($F$5=0,Valores!$C$101,(Valores!$C$101+$F$5*(Valores!$C$101)))</f>
        <v>-852</v>
      </c>
      <c r="AS257" s="125">
        <f t="shared" si="35"/>
        <v>180322.62559999997</v>
      </c>
      <c r="AT257" s="125">
        <f t="shared" si="29"/>
        <v>-23657.092799999999</v>
      </c>
      <c r="AU257" s="125">
        <f>AH257*Valores!$C$74</f>
        <v>-5806.7409599999992</v>
      </c>
      <c r="AV257" s="125">
        <f>AH257*Valores!$C$75</f>
        <v>-645.19344000000001</v>
      </c>
      <c r="AW257" s="125">
        <f t="shared" si="33"/>
        <v>184955.45279999997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67876.800000000003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0</v>
      </c>
      <c r="N258" s="125">
        <f t="shared" si="30"/>
        <v>20806.28</v>
      </c>
      <c r="O258" s="125">
        <f>Valores!$C$7*B258</f>
        <v>29137.919999999998</v>
      </c>
      <c r="P258" s="125">
        <f>ROUND(IF(B258&lt;15,(Valores!$E$5*B258),Valores!$D$5),2)</f>
        <v>27451.439999999999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15348.32</v>
      </c>
      <c r="S258" s="125">
        <f>Valores!$C$18*B258</f>
        <v>9164.32</v>
      </c>
      <c r="T258" s="125">
        <f t="shared" si="36"/>
        <v>11455.4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27977.119999999999</v>
      </c>
      <c r="AA258" s="125">
        <f>IF((Valores!$C$28)*B258&gt;Valores!$F$28,Valores!$F$28,(Valores!$C$28)*B258)</f>
        <v>719.84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599.36</v>
      </c>
      <c r="AE258" s="192">
        <v>94</v>
      </c>
      <c r="AF258" s="125">
        <f>ROUND(AE258*Valores!$C$2,2)</f>
        <v>5047.8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13692</v>
      </c>
      <c r="AH258" s="125">
        <f t="shared" si="34"/>
        <v>220112.27999999997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-24212.350799999997</v>
      </c>
      <c r="AO258" s="125">
        <f>AH258*-Valores!$C$72</f>
        <v>0</v>
      </c>
      <c r="AP258" s="125">
        <f>AH258*Valores!$C$73</f>
        <v>-9905.0525999999991</v>
      </c>
      <c r="AQ258" s="125">
        <f>Valores!$C$100</f>
        <v>-554.86</v>
      </c>
      <c r="AR258" s="125">
        <f>IF($F$5=0,Valores!$C$101,(Valores!$C$101+$F$5*(Valores!$C$101)))</f>
        <v>-852</v>
      </c>
      <c r="AS258" s="125">
        <f t="shared" si="35"/>
        <v>184588.01659999997</v>
      </c>
      <c r="AT258" s="125">
        <f t="shared" si="29"/>
        <v>-24212.350799999997</v>
      </c>
      <c r="AU258" s="125">
        <f>AH258*Valores!$C$74</f>
        <v>-5943.0315599999994</v>
      </c>
      <c r="AV258" s="125">
        <f>AH258*Valores!$C$75</f>
        <v>-660.33683999999994</v>
      </c>
      <c r="AW258" s="125">
        <f t="shared" si="33"/>
        <v>189296.56079999998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72119.100000000006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0</v>
      </c>
      <c r="N259" s="125">
        <f t="shared" si="30"/>
        <v>22106.67</v>
      </c>
      <c r="O259" s="125">
        <f>Valores!$C$7*B259</f>
        <v>30959.039999999997</v>
      </c>
      <c r="P259" s="125">
        <f>ROUND(IF(B259&lt;15,(Valores!$E$5*B259),Valores!$D$5),2)</f>
        <v>27451.439999999999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16307.59</v>
      </c>
      <c r="S259" s="125">
        <f>Valores!$C$18*B259</f>
        <v>9737.09</v>
      </c>
      <c r="T259" s="125">
        <f t="shared" si="36"/>
        <v>12171.36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29725.69</v>
      </c>
      <c r="AA259" s="125">
        <f>IF((Valores!$C$28)*B259&gt;Valores!$F$28,Valores!$F$28,(Valores!$C$28)*B259)</f>
        <v>764.83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636.82000000000005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14547.75</v>
      </c>
      <c r="AH259" s="125">
        <f t="shared" si="34"/>
        <v>226790.29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-24946.9319</v>
      </c>
      <c r="AO259" s="125">
        <f>AH259*-Valores!$C$72</f>
        <v>0</v>
      </c>
      <c r="AP259" s="125">
        <f>AH259*Valores!$C$73</f>
        <v>-10205.563050000001</v>
      </c>
      <c r="AQ259" s="125">
        <f>Valores!$C$100</f>
        <v>-554.86</v>
      </c>
      <c r="AR259" s="125">
        <f>IF($F$5=0,Valores!$C$101,(Valores!$C$101+$F$5*(Valores!$C$101)))</f>
        <v>-852</v>
      </c>
      <c r="AS259" s="125">
        <f t="shared" si="35"/>
        <v>190230.93505</v>
      </c>
      <c r="AT259" s="125">
        <f t="shared" si="29"/>
        <v>-24946.9319</v>
      </c>
      <c r="AU259" s="125">
        <f>AH259*Valores!$C$74</f>
        <v>-6123.3378300000004</v>
      </c>
      <c r="AV259" s="125">
        <f>AH259*Valores!$C$75</f>
        <v>-680.37087000000008</v>
      </c>
      <c r="AW259" s="125">
        <f t="shared" si="33"/>
        <v>195039.64939999999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72119.100000000006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0</v>
      </c>
      <c r="N260" s="125">
        <f t="shared" si="30"/>
        <v>22106.67</v>
      </c>
      <c r="O260" s="125">
        <f>Valores!$C$7*B260</f>
        <v>30959.039999999997</v>
      </c>
      <c r="P260" s="125">
        <f>ROUND(IF(B260&lt;15,(Valores!$E$5*B260),Valores!$D$5),2)</f>
        <v>27451.439999999999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16307.59</v>
      </c>
      <c r="S260" s="125">
        <f>Valores!$C$18*B260</f>
        <v>9737.09</v>
      </c>
      <c r="T260" s="125">
        <f t="shared" si="36"/>
        <v>12171.36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29725.69</v>
      </c>
      <c r="AA260" s="125">
        <f>IF((Valores!$C$28)*B260&gt;Valores!$F$28,Valores!$F$28,(Valores!$C$28)*B260)</f>
        <v>764.83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636.82000000000005</v>
      </c>
      <c r="AE260" s="192">
        <v>94</v>
      </c>
      <c r="AF260" s="125">
        <f>ROUND(AE260*Valores!$C$2,2)</f>
        <v>5047.8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14547.75</v>
      </c>
      <c r="AH260" s="125">
        <f t="shared" si="34"/>
        <v>231838.09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-25502.189900000001</v>
      </c>
      <c r="AO260" s="125">
        <f>AH260*-Valores!$C$72</f>
        <v>0</v>
      </c>
      <c r="AP260" s="125">
        <f>AH260*Valores!$C$73</f>
        <v>-10432.714049999999</v>
      </c>
      <c r="AQ260" s="125">
        <f>Valores!$C$100</f>
        <v>-554.86</v>
      </c>
      <c r="AR260" s="125">
        <f>IF($F$5=0,Valores!$C$101,(Valores!$C$101+$F$5*(Valores!$C$101)))</f>
        <v>-852</v>
      </c>
      <c r="AS260" s="125">
        <f t="shared" si="35"/>
        <v>194496.32605</v>
      </c>
      <c r="AT260" s="125">
        <f t="shared" si="29"/>
        <v>-25502.189900000001</v>
      </c>
      <c r="AU260" s="125">
        <f>AH260*Valores!$C$74</f>
        <v>-6259.6284299999998</v>
      </c>
      <c r="AV260" s="125">
        <f>AH260*Valores!$C$75</f>
        <v>-695.51427000000001</v>
      </c>
      <c r="AW260" s="125">
        <f t="shared" si="33"/>
        <v>199380.7574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76361.399999999994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0</v>
      </c>
      <c r="N261" s="125">
        <f t="shared" si="30"/>
        <v>23407.07</v>
      </c>
      <c r="O261" s="125">
        <f>Valores!$C$7*B261</f>
        <v>32780.159999999996</v>
      </c>
      <c r="P261" s="125">
        <f>ROUND(IF(B261&lt;15,(Valores!$E$5*B261),Valores!$D$5),2)</f>
        <v>27451.439999999999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17266.86</v>
      </c>
      <c r="S261" s="125">
        <f>Valores!$C$18*B261</f>
        <v>10309.86</v>
      </c>
      <c r="T261" s="125">
        <f t="shared" si="36"/>
        <v>12887.33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31474.26</v>
      </c>
      <c r="AA261" s="125">
        <f>IF((Valores!$C$28)*B261&gt;Valores!$F$28,Valores!$F$28,(Valores!$C$28)*B261)</f>
        <v>809.82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674.28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15403.5</v>
      </c>
      <c r="AH261" s="125">
        <f t="shared" si="34"/>
        <v>238516.12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-26236.7732</v>
      </c>
      <c r="AO261" s="125">
        <f>AH261*-Valores!$C$72</f>
        <v>0</v>
      </c>
      <c r="AP261" s="125">
        <f>AH261*Valores!$C$73</f>
        <v>-10733.225399999999</v>
      </c>
      <c r="AQ261" s="125">
        <f>Valores!$C$100</f>
        <v>-554.86</v>
      </c>
      <c r="AR261" s="125">
        <f>IF($F$5=0,Valores!$C$101,(Valores!$C$101+$F$5*(Valores!$C$101)))</f>
        <v>-852</v>
      </c>
      <c r="AS261" s="125">
        <f t="shared" si="35"/>
        <v>200139.26139999999</v>
      </c>
      <c r="AT261" s="125">
        <f t="shared" ref="AT261:AT325" si="41">AN261</f>
        <v>-26236.7732</v>
      </c>
      <c r="AU261" s="125">
        <f>AH261*Valores!$C$74</f>
        <v>-6439.9352399999998</v>
      </c>
      <c r="AV261" s="125">
        <f>AH261*Valores!$C$75</f>
        <v>-715.54836</v>
      </c>
      <c r="AW261" s="125">
        <f t="shared" si="33"/>
        <v>205123.86319999999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76361.399999999994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0</v>
      </c>
      <c r="N262" s="125">
        <f t="shared" si="30"/>
        <v>23407.07</v>
      </c>
      <c r="O262" s="125">
        <f>Valores!$C$7*B262</f>
        <v>32780.159999999996</v>
      </c>
      <c r="P262" s="125">
        <f>ROUND(IF(B262&lt;15,(Valores!$E$5*B262),Valores!$D$5),2)</f>
        <v>27451.439999999999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17266.86</v>
      </c>
      <c r="S262" s="125">
        <f>Valores!$C$18*B262</f>
        <v>10309.86</v>
      </c>
      <c r="T262" s="125">
        <f t="shared" si="36"/>
        <v>12887.33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31474.26</v>
      </c>
      <c r="AA262" s="125">
        <f>IF((Valores!$C$28)*B262&gt;Valores!$F$28,Valores!$F$28,(Valores!$C$28)*B262)</f>
        <v>809.82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674.28</v>
      </c>
      <c r="AE262" s="192">
        <v>94</v>
      </c>
      <c r="AF262" s="125">
        <f>ROUND(AE262*Valores!$C$2,2)</f>
        <v>5047.8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15403.5</v>
      </c>
      <c r="AH262" s="125">
        <f t="shared" si="34"/>
        <v>243563.91999999998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-26792.031199999998</v>
      </c>
      <c r="AO262" s="125">
        <f>AH262*-Valores!$C$72</f>
        <v>0</v>
      </c>
      <c r="AP262" s="125">
        <f>AH262*Valores!$C$73</f>
        <v>-10960.376399999999</v>
      </c>
      <c r="AQ262" s="125">
        <f>Valores!$C$100</f>
        <v>-554.86</v>
      </c>
      <c r="AR262" s="125">
        <f>IF($F$5=0,Valores!$C$101,(Valores!$C$101+$F$5*(Valores!$C$101)))</f>
        <v>-852</v>
      </c>
      <c r="AS262" s="125">
        <f t="shared" si="35"/>
        <v>204404.65239999999</v>
      </c>
      <c r="AT262" s="125">
        <f t="shared" si="41"/>
        <v>-26792.031199999998</v>
      </c>
      <c r="AU262" s="125">
        <f>AH262*Valores!$C$74</f>
        <v>-6576.2258399999992</v>
      </c>
      <c r="AV262" s="125">
        <f>AH262*Valores!$C$75</f>
        <v>-730.69175999999993</v>
      </c>
      <c r="AW262" s="125">
        <f t="shared" si="33"/>
        <v>209464.97119999997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80603.7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0</v>
      </c>
      <c r="N263" s="125">
        <f t="shared" si="30"/>
        <v>24707.46</v>
      </c>
      <c r="O263" s="125">
        <f>Valores!$C$7*B263</f>
        <v>34601.279999999999</v>
      </c>
      <c r="P263" s="125">
        <f>ROUND(IF(B263&lt;15,(Valores!$E$5*B263),Valores!$D$5),2)</f>
        <v>27451.439999999999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18226.13</v>
      </c>
      <c r="S263" s="125">
        <f>Valores!$C$18*B263</f>
        <v>10882.63</v>
      </c>
      <c r="T263" s="125">
        <f t="shared" si="36"/>
        <v>13603.29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33222.83</v>
      </c>
      <c r="AA263" s="125">
        <f>IF((Valores!$C$28)*B263&gt;Valores!$F$28,Valores!$F$28,(Valores!$C$28)*B263)</f>
        <v>854.81000000000006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711.74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16259.25</v>
      </c>
      <c r="AH263" s="125">
        <f t="shared" si="34"/>
        <v>250241.93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-27526.612300000001</v>
      </c>
      <c r="AO263" s="125">
        <f>AH263*-Valores!$C$72</f>
        <v>0</v>
      </c>
      <c r="AP263" s="125">
        <f>AH263*Valores!$C$73</f>
        <v>-11260.886849999999</v>
      </c>
      <c r="AQ263" s="125">
        <f>Valores!$C$100</f>
        <v>-554.86</v>
      </c>
      <c r="AR263" s="125">
        <f>IF($F$5=0,Valores!$C$101,(Valores!$C$101+$F$5*(Valores!$C$101)))</f>
        <v>-852</v>
      </c>
      <c r="AS263" s="125">
        <f t="shared" si="35"/>
        <v>210047.57084999999</v>
      </c>
      <c r="AT263" s="125">
        <f t="shared" si="41"/>
        <v>-27526.612300000001</v>
      </c>
      <c r="AU263" s="125">
        <f>AH263*Valores!$C$74</f>
        <v>-6756.5321100000001</v>
      </c>
      <c r="AV263" s="125">
        <f>AH263*Valores!$C$75</f>
        <v>-750.72578999999996</v>
      </c>
      <c r="AW263" s="125">
        <f t="shared" si="33"/>
        <v>215208.05979999999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80603.7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0</v>
      </c>
      <c r="N264" s="125">
        <f t="shared" ref="N264:N326" si="42">ROUND(SUM(F264,H264,J264,L264,X264,R264)*$H$2,2)</f>
        <v>24707.46</v>
      </c>
      <c r="O264" s="125">
        <f>Valores!$C$7*B264</f>
        <v>34601.279999999999</v>
      </c>
      <c r="P264" s="125">
        <f>ROUND(IF(B264&lt;15,(Valores!$E$5*B264),Valores!$D$5),2)</f>
        <v>27451.439999999999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18226.13</v>
      </c>
      <c r="S264" s="125">
        <f>Valores!$C$18*B264</f>
        <v>10882.63</v>
      </c>
      <c r="T264" s="125">
        <f t="shared" si="36"/>
        <v>13603.29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33222.83</v>
      </c>
      <c r="AA264" s="125">
        <f>IF((Valores!$C$28)*B264&gt;Valores!$F$28,Valores!$F$28,(Valores!$C$28)*B264)</f>
        <v>854.81000000000006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711.74</v>
      </c>
      <c r="AE264" s="192">
        <v>94</v>
      </c>
      <c r="AF264" s="125">
        <f>ROUND(AE264*Valores!$C$2,2)</f>
        <v>5047.8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16259.25</v>
      </c>
      <c r="AH264" s="125">
        <f t="shared" si="34"/>
        <v>255289.72999999998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-28081.870299999999</v>
      </c>
      <c r="AO264" s="125">
        <f>AH264*-Valores!$C$72</f>
        <v>0</v>
      </c>
      <c r="AP264" s="125">
        <f>AH264*Valores!$C$73</f>
        <v>-11488.037849999999</v>
      </c>
      <c r="AQ264" s="125">
        <f>Valores!$C$100</f>
        <v>-554.86</v>
      </c>
      <c r="AR264" s="125">
        <f>IF($F$5=0,Valores!$C$101,(Valores!$C$101+$F$5*(Valores!$C$101)))</f>
        <v>-852</v>
      </c>
      <c r="AS264" s="125">
        <f t="shared" si="35"/>
        <v>214312.96184999999</v>
      </c>
      <c r="AT264" s="125">
        <f t="shared" si="41"/>
        <v>-28081.870299999999</v>
      </c>
      <c r="AU264" s="125">
        <f>AH264*Valores!$C$74</f>
        <v>-6892.8227099999995</v>
      </c>
      <c r="AV264" s="125">
        <f>AH264*Valores!$C$75</f>
        <v>-765.86919</v>
      </c>
      <c r="AW264" s="125">
        <f t="shared" ref="AW264:AW326" si="45">AH264+AM264+SUM(AT264:AV264)</f>
        <v>219549.1678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84846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0</v>
      </c>
      <c r="N265" s="125">
        <f t="shared" si="42"/>
        <v>26007.85</v>
      </c>
      <c r="O265" s="125">
        <f>Valores!$C$7*B265</f>
        <v>36422.399999999994</v>
      </c>
      <c r="P265" s="125">
        <f>ROUND(IF(B265&lt;15,(Valores!$E$5*B265),Valores!$D$5),2)</f>
        <v>27451.439999999999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19185.400000000001</v>
      </c>
      <c r="S265" s="125">
        <f>Valores!$C$18*B265</f>
        <v>11455.4</v>
      </c>
      <c r="T265" s="125">
        <f t="shared" si="36"/>
        <v>14319.25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34971.4</v>
      </c>
      <c r="AA265" s="125">
        <f>IF((Valores!$C$28)*B265&gt;Valores!$F$28,Valores!$F$28,(Valores!$C$28)*B265)</f>
        <v>899.80000000000007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749.2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17115</v>
      </c>
      <c r="AH265" s="125">
        <f t="shared" ref="AH265:AH326" si="46">SUM(F265,H265,J265,L265,M265,N265,O265,P265,Q265,R265,T265,U265,V265,X265,Y265,Z265,AA265,AC265,AD265,AF265,AG265)</f>
        <v>261967.74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-28816.451399999998</v>
      </c>
      <c r="AO265" s="125">
        <f>AH265*-Valores!$C$72</f>
        <v>0</v>
      </c>
      <c r="AP265" s="125">
        <f>AH265*Valores!$C$73</f>
        <v>-11788.548299999999</v>
      </c>
      <c r="AQ265" s="125">
        <f>Valores!$C$100</f>
        <v>-554.86</v>
      </c>
      <c r="AR265" s="125">
        <f>IF($F$5=0,Valores!$C$101,(Valores!$C$101+$F$5*(Valores!$C$101)))</f>
        <v>-852</v>
      </c>
      <c r="AS265" s="125">
        <f t="shared" ref="AS265:AS326" si="47">AH265+SUM(AM265:AR265)</f>
        <v>219955.88029999999</v>
      </c>
      <c r="AT265" s="125">
        <f t="shared" si="41"/>
        <v>-28816.451399999998</v>
      </c>
      <c r="AU265" s="125">
        <f>AH265*Valores!$C$74</f>
        <v>-7073.1289799999995</v>
      </c>
      <c r="AV265" s="125">
        <f>AH265*Valores!$C$75</f>
        <v>-785.90322000000003</v>
      </c>
      <c r="AW265" s="125">
        <f t="shared" si="45"/>
        <v>225292.25639999998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84846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0</v>
      </c>
      <c r="N266" s="125">
        <f t="shared" si="42"/>
        <v>26007.85</v>
      </c>
      <c r="O266" s="125">
        <f>Valores!$C$7*B266</f>
        <v>36422.399999999994</v>
      </c>
      <c r="P266" s="125">
        <f>ROUND(IF(B266&lt;15,(Valores!$E$5*B266),Valores!$D$5),2)</f>
        <v>27451.439999999999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19185.400000000001</v>
      </c>
      <c r="S266" s="125">
        <f>Valores!$C$18*B266</f>
        <v>11455.4</v>
      </c>
      <c r="T266" s="125">
        <f t="shared" si="36"/>
        <v>14319.25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34971.4</v>
      </c>
      <c r="AA266" s="125">
        <f>IF((Valores!$C$28)*B266&gt;Valores!$F$28,Valores!$F$28,(Valores!$C$28)*B266)</f>
        <v>899.80000000000007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749.2</v>
      </c>
      <c r="AE266" s="192">
        <v>94</v>
      </c>
      <c r="AF266" s="125">
        <f>ROUND(AE266*Valores!$C$2,2)</f>
        <v>5047.8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17115</v>
      </c>
      <c r="AH266" s="125">
        <f t="shared" si="46"/>
        <v>267015.53999999998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-29371.709399999996</v>
      </c>
      <c r="AO266" s="125">
        <f>AH266*-Valores!$C$72</f>
        <v>0</v>
      </c>
      <c r="AP266" s="125">
        <f>AH266*Valores!$C$73</f>
        <v>-12015.699299999998</v>
      </c>
      <c r="AQ266" s="125">
        <f>Valores!$C$100</f>
        <v>-554.86</v>
      </c>
      <c r="AR266" s="125">
        <f>IF($F$5=0,Valores!$C$101,(Valores!$C$101+$F$5*(Valores!$C$101)))</f>
        <v>-852</v>
      </c>
      <c r="AS266" s="125">
        <f t="shared" si="47"/>
        <v>224221.27129999999</v>
      </c>
      <c r="AT266" s="125">
        <f t="shared" si="41"/>
        <v>-29371.709399999996</v>
      </c>
      <c r="AU266" s="125">
        <f>AH266*Valores!$C$74</f>
        <v>-7209.4195799999998</v>
      </c>
      <c r="AV266" s="125">
        <f>AH266*Valores!$C$75</f>
        <v>-801.04661999999996</v>
      </c>
      <c r="AW266" s="125">
        <f t="shared" si="45"/>
        <v>229633.36439999999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89088.3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0</v>
      </c>
      <c r="N267" s="125">
        <f t="shared" si="42"/>
        <v>27308.240000000002</v>
      </c>
      <c r="O267" s="125">
        <f>Valores!$C$7*B267</f>
        <v>38243.519999999997</v>
      </c>
      <c r="P267" s="125">
        <f>ROUND(IF(B267&lt;15,(Valores!$E$5*B267),Valores!$D$5),2)</f>
        <v>27451.439999999999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20144.669999999998</v>
      </c>
      <c r="S267" s="125">
        <f>Valores!$C$18*B267</f>
        <v>12028.17</v>
      </c>
      <c r="T267" s="125">
        <f t="shared" ref="T267:T299" si="48">ROUND(S267*(1+$H$2),2)</f>
        <v>15035.21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36719.97</v>
      </c>
      <c r="AA267" s="125">
        <f>IF((Valores!$C$28)*B267&gt;Valores!$F$28,Valores!$F$28,(Valores!$C$28)*B267)</f>
        <v>944.79000000000008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786.66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17970.75</v>
      </c>
      <c r="AH267" s="125">
        <f t="shared" si="46"/>
        <v>273693.55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-30106.290499999999</v>
      </c>
      <c r="AO267" s="125">
        <f>AH267*-Valores!$C$72</f>
        <v>0</v>
      </c>
      <c r="AP267" s="125">
        <f>AH267*Valores!$C$73</f>
        <v>-12316.209749999998</v>
      </c>
      <c r="AQ267" s="125">
        <f>Valores!$C$100</f>
        <v>-554.86</v>
      </c>
      <c r="AR267" s="125">
        <f>IF($F$5=0,Valores!$C$101,(Valores!$C$101+$F$5*(Valores!$C$101)))</f>
        <v>-852</v>
      </c>
      <c r="AS267" s="125">
        <f t="shared" si="47"/>
        <v>229864.18974999999</v>
      </c>
      <c r="AT267" s="125">
        <f t="shared" si="41"/>
        <v>-30106.290499999999</v>
      </c>
      <c r="AU267" s="125">
        <f>AH267*Valores!$C$74</f>
        <v>-7389.7258499999998</v>
      </c>
      <c r="AV267" s="125">
        <f>AH267*Valores!$C$75</f>
        <v>-821.08064999999999</v>
      </c>
      <c r="AW267" s="125">
        <f t="shared" si="45"/>
        <v>235376.45299999998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89088.3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0</v>
      </c>
      <c r="N268" s="125">
        <f t="shared" si="42"/>
        <v>27308.240000000002</v>
      </c>
      <c r="O268" s="125">
        <f>Valores!$C$7*B268</f>
        <v>38243.519999999997</v>
      </c>
      <c r="P268" s="125">
        <f>ROUND(IF(B268&lt;15,(Valores!$E$5*B268),Valores!$D$5),2)</f>
        <v>27451.439999999999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20144.669999999998</v>
      </c>
      <c r="S268" s="125">
        <f>Valores!$C$18*B268</f>
        <v>12028.17</v>
      </c>
      <c r="T268" s="125">
        <f t="shared" si="48"/>
        <v>15035.21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36719.97</v>
      </c>
      <c r="AA268" s="125">
        <f>IF((Valores!$C$28)*B268&gt;Valores!$F$28,Valores!$F$28,(Valores!$C$28)*B268)</f>
        <v>944.79000000000008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786.66</v>
      </c>
      <c r="AE268" s="192">
        <v>94</v>
      </c>
      <c r="AF268" s="125">
        <f>ROUND(AE268*Valores!$C$2,2)</f>
        <v>5047.8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17970.75</v>
      </c>
      <c r="AH268" s="125">
        <f t="shared" si="46"/>
        <v>278741.34999999998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-30661.548499999997</v>
      </c>
      <c r="AO268" s="125">
        <f>AH268*-Valores!$C$72</f>
        <v>0</v>
      </c>
      <c r="AP268" s="125">
        <f>AH268*Valores!$C$73</f>
        <v>-12543.360749999998</v>
      </c>
      <c r="AQ268" s="125">
        <f>Valores!$C$100</f>
        <v>-554.86</v>
      </c>
      <c r="AR268" s="125">
        <f>IF($F$5=0,Valores!$C$101,(Valores!$C$101+$F$5*(Valores!$C$101)))</f>
        <v>-852</v>
      </c>
      <c r="AS268" s="125">
        <f t="shared" si="47"/>
        <v>234129.58074999996</v>
      </c>
      <c r="AT268" s="125">
        <f t="shared" si="41"/>
        <v>-30661.548499999997</v>
      </c>
      <c r="AU268" s="125">
        <f>AH268*Valores!$C$74</f>
        <v>-7526.0164499999992</v>
      </c>
      <c r="AV268" s="125">
        <f>AH268*Valores!$C$75</f>
        <v>-836.22404999999992</v>
      </c>
      <c r="AW268" s="125">
        <f t="shared" si="45"/>
        <v>239717.56099999999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93330.6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0</v>
      </c>
      <c r="N269" s="125">
        <f t="shared" si="42"/>
        <v>28608.639999999999</v>
      </c>
      <c r="O269" s="125">
        <f>Valores!$C$7*B269</f>
        <v>40064.639999999999</v>
      </c>
      <c r="P269" s="125">
        <f>ROUND(IF(B269&lt;15,(Valores!$E$5*B269),Valores!$D$5),2)</f>
        <v>27451.439999999999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21103.94</v>
      </c>
      <c r="S269" s="125">
        <f>Valores!$C$18*B269</f>
        <v>12600.939999999999</v>
      </c>
      <c r="T269" s="125">
        <f t="shared" si="48"/>
        <v>15751.18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38468.54</v>
      </c>
      <c r="AA269" s="125">
        <f>IF((Valores!$C$28)*B269&gt;Valores!$F$28,Valores!$F$28,(Valores!$C$28)*B269)</f>
        <v>989.78000000000009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824.12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18826.5</v>
      </c>
      <c r="AH269" s="125">
        <f t="shared" si="46"/>
        <v>285419.38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-31396.131799999999</v>
      </c>
      <c r="AO269" s="125">
        <f>AH269*-Valores!$C$72</f>
        <v>0</v>
      </c>
      <c r="AP269" s="125">
        <f>AH269*Valores!$C$73</f>
        <v>-12843.872100000001</v>
      </c>
      <c r="AQ269" s="125">
        <f>Valores!$C$100</f>
        <v>-554.86</v>
      </c>
      <c r="AR269" s="125">
        <f>IF($F$5=0,Valores!$C$101,(Valores!$C$101+$F$5*(Valores!$C$101)))</f>
        <v>-852</v>
      </c>
      <c r="AS269" s="125">
        <f t="shared" si="47"/>
        <v>239772.51610000001</v>
      </c>
      <c r="AT269" s="125">
        <f t="shared" si="41"/>
        <v>-31396.131799999999</v>
      </c>
      <c r="AU269" s="125">
        <f>AH269*Valores!$C$74</f>
        <v>-7706.3232600000001</v>
      </c>
      <c r="AV269" s="125">
        <f>AH269*Valores!$C$75</f>
        <v>-856.25814000000003</v>
      </c>
      <c r="AW269" s="125">
        <f t="shared" si="45"/>
        <v>245460.66680000001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93330.6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0</v>
      </c>
      <c r="N270" s="125">
        <f t="shared" si="42"/>
        <v>28608.639999999999</v>
      </c>
      <c r="O270" s="125">
        <f>Valores!$C$7*B270</f>
        <v>40064.639999999999</v>
      </c>
      <c r="P270" s="125">
        <f>ROUND(IF(B270&lt;15,(Valores!$E$5*B270),Valores!$D$5),2)</f>
        <v>27451.439999999999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21103.94</v>
      </c>
      <c r="S270" s="125">
        <f>Valores!$C$18*B270</f>
        <v>12600.939999999999</v>
      </c>
      <c r="T270" s="125">
        <f t="shared" si="48"/>
        <v>15751.18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38468.54</v>
      </c>
      <c r="AA270" s="125">
        <f>IF((Valores!$C$28)*B270&gt;Valores!$F$28,Valores!$F$28,(Valores!$C$28)*B270)</f>
        <v>989.78000000000009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824.12</v>
      </c>
      <c r="AE270" s="192">
        <v>94</v>
      </c>
      <c r="AF270" s="125">
        <f>ROUND(AE270*Valores!$C$2,2)</f>
        <v>5047.8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18826.5</v>
      </c>
      <c r="AH270" s="125">
        <f t="shared" si="46"/>
        <v>290467.18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-31951.389800000001</v>
      </c>
      <c r="AO270" s="125">
        <f>AH270*-Valores!$C$72</f>
        <v>0</v>
      </c>
      <c r="AP270" s="125">
        <f>AH270*Valores!$C$73</f>
        <v>-13071.023099999999</v>
      </c>
      <c r="AQ270" s="125">
        <f>Valores!$C$100</f>
        <v>-554.86</v>
      </c>
      <c r="AR270" s="125">
        <f>IF($F$5=0,Valores!$C$101,(Valores!$C$101+$F$5*(Valores!$C$101)))</f>
        <v>-852</v>
      </c>
      <c r="AS270" s="125">
        <f t="shared" si="47"/>
        <v>244037.90710000001</v>
      </c>
      <c r="AT270" s="125">
        <f t="shared" si="41"/>
        <v>-31951.389800000001</v>
      </c>
      <c r="AU270" s="125">
        <f>AH270*Valores!$C$74</f>
        <v>-7842.6138599999995</v>
      </c>
      <c r="AV270" s="125">
        <f>AH270*Valores!$C$75</f>
        <v>-871.40153999999995</v>
      </c>
      <c r="AW270" s="125">
        <f t="shared" si="45"/>
        <v>249801.77479999998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97572.9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0</v>
      </c>
      <c r="N271" s="125">
        <f t="shared" si="42"/>
        <v>29909.03</v>
      </c>
      <c r="O271" s="125">
        <f>Valores!$C$7*B271</f>
        <v>41885.759999999995</v>
      </c>
      <c r="P271" s="125">
        <f>ROUND(IF(B271&lt;15,(Valores!$E$5*B271),Valores!$D$5),2)</f>
        <v>27451.439999999999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22063.21</v>
      </c>
      <c r="S271" s="125">
        <f>Valores!$C$18*B271</f>
        <v>13173.71</v>
      </c>
      <c r="T271" s="125">
        <f t="shared" si="48"/>
        <v>16467.14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40217.11</v>
      </c>
      <c r="AA271" s="125">
        <f>IF((Valores!$C$28)*B271&gt;Valores!$F$28,Valores!$F$28,(Valores!$C$28)*B271)</f>
        <v>1034.77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861.58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19682.25</v>
      </c>
      <c r="AH271" s="125">
        <f t="shared" si="46"/>
        <v>297145.19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-32685.9709</v>
      </c>
      <c r="AO271" s="125">
        <f>AH271*-Valores!$C$72</f>
        <v>0</v>
      </c>
      <c r="AP271" s="125">
        <f>AH271*Valores!$C$73</f>
        <v>-13371.53355</v>
      </c>
      <c r="AQ271" s="125">
        <f>Valores!$C$100</f>
        <v>-554.86</v>
      </c>
      <c r="AR271" s="125">
        <f>IF($F$5=0,Valores!$C$101,(Valores!$C$101+$F$5*(Valores!$C$101)))</f>
        <v>-852</v>
      </c>
      <c r="AS271" s="125">
        <f t="shared" si="47"/>
        <v>249680.82555000001</v>
      </c>
      <c r="AT271" s="125">
        <f t="shared" si="41"/>
        <v>-32685.9709</v>
      </c>
      <c r="AU271" s="125">
        <f>AH271*Valores!$C$74</f>
        <v>-8022.9201300000004</v>
      </c>
      <c r="AV271" s="125">
        <f>AH271*Valores!$C$75</f>
        <v>-891.43556999999998</v>
      </c>
      <c r="AW271" s="125">
        <f t="shared" si="45"/>
        <v>255544.8634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97572.9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0</v>
      </c>
      <c r="N272" s="125">
        <f t="shared" si="42"/>
        <v>29909.03</v>
      </c>
      <c r="O272" s="125">
        <f>Valores!$C$7*B272</f>
        <v>41885.759999999995</v>
      </c>
      <c r="P272" s="125">
        <f>ROUND(IF(B272&lt;15,(Valores!$E$5*B272),Valores!$D$5),2)</f>
        <v>27451.439999999999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22063.21</v>
      </c>
      <c r="S272" s="125">
        <f>Valores!$C$18*B272</f>
        <v>13173.71</v>
      </c>
      <c r="T272" s="125">
        <f t="shared" si="48"/>
        <v>16467.14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40217.11</v>
      </c>
      <c r="AA272" s="125">
        <f>IF((Valores!$C$28)*B272&gt;Valores!$F$28,Valores!$F$28,(Valores!$C$28)*B272)</f>
        <v>1034.77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861.58</v>
      </c>
      <c r="AE272" s="192">
        <v>94</v>
      </c>
      <c r="AF272" s="125">
        <f>ROUND(AE272*Valores!$C$2,2)</f>
        <v>5047.8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19682.25</v>
      </c>
      <c r="AH272" s="125">
        <f t="shared" si="46"/>
        <v>302192.99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-33241.228900000002</v>
      </c>
      <c r="AO272" s="125">
        <f>AH272*-Valores!$C$72</f>
        <v>0</v>
      </c>
      <c r="AP272" s="125">
        <f>AH272*Valores!$C$73</f>
        <v>-13598.68455</v>
      </c>
      <c r="AQ272" s="125">
        <f>Valores!$C$100</f>
        <v>-554.86</v>
      </c>
      <c r="AR272" s="125">
        <f>IF($F$5=0,Valores!$C$101,(Valores!$C$101+$F$5*(Valores!$C$101)))</f>
        <v>-852</v>
      </c>
      <c r="AS272" s="125">
        <f t="shared" si="47"/>
        <v>253946.21654999998</v>
      </c>
      <c r="AT272" s="125">
        <f t="shared" si="41"/>
        <v>-33241.228900000002</v>
      </c>
      <c r="AU272" s="125">
        <f>AH272*Valores!$C$74</f>
        <v>-8159.2107299999998</v>
      </c>
      <c r="AV272" s="125">
        <f>AH272*Valores!$C$75</f>
        <v>-906.57897000000003</v>
      </c>
      <c r="AW272" s="125">
        <f t="shared" si="45"/>
        <v>259885.97139999998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101815.2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0</v>
      </c>
      <c r="N273" s="125">
        <f t="shared" si="42"/>
        <v>31209.42</v>
      </c>
      <c r="O273" s="125">
        <f>Valores!$C$7*B273</f>
        <v>43706.879999999997</v>
      </c>
      <c r="P273" s="125">
        <f>ROUND(IF(B273&lt;15,(Valores!$E$5*B273),Valores!$D$5),2)</f>
        <v>27451.439999999999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23022.48</v>
      </c>
      <c r="S273" s="125">
        <f>Valores!$C$18*B273</f>
        <v>13746.48</v>
      </c>
      <c r="T273" s="125">
        <f t="shared" si="48"/>
        <v>17183.099999999999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41965.68</v>
      </c>
      <c r="AA273" s="125">
        <f>IF((Valores!$C$28)*B273&gt;Valores!$F$28,Valores!$F$28,(Valores!$C$28)*B273)</f>
        <v>1079.76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899.04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20538</v>
      </c>
      <c r="AH273" s="125">
        <f t="shared" si="46"/>
        <v>308871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-33975.81</v>
      </c>
      <c r="AO273" s="125">
        <f>AH273*-Valores!$C$72</f>
        <v>0</v>
      </c>
      <c r="AP273" s="125">
        <f>AH273*Valores!$C$73</f>
        <v>-13899.195</v>
      </c>
      <c r="AQ273" s="125">
        <f>Valores!$C$100</f>
        <v>-554.86</v>
      </c>
      <c r="AR273" s="125">
        <f>IF($F$5=0,Valores!$C$101,(Valores!$C$101+$F$5*(Valores!$C$101)))</f>
        <v>-852</v>
      </c>
      <c r="AS273" s="125">
        <f t="shared" si="47"/>
        <v>259589.13500000001</v>
      </c>
      <c r="AT273" s="125">
        <f t="shared" si="41"/>
        <v>-33975.81</v>
      </c>
      <c r="AU273" s="125">
        <f>AH273*Valores!$C$74</f>
        <v>-8339.5169999999998</v>
      </c>
      <c r="AV273" s="125">
        <f>AH273*Valores!$C$75</f>
        <v>-926.61300000000006</v>
      </c>
      <c r="AW273" s="125">
        <f t="shared" si="45"/>
        <v>265629.06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101815.2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0</v>
      </c>
      <c r="N274" s="125">
        <f t="shared" si="42"/>
        <v>31209.42</v>
      </c>
      <c r="O274" s="125">
        <f>Valores!$C$7*B274</f>
        <v>43706.879999999997</v>
      </c>
      <c r="P274" s="125">
        <f>ROUND(IF(B274&lt;15,(Valores!$E$5*B274),Valores!$D$5),2)</f>
        <v>27451.439999999999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23022.48</v>
      </c>
      <c r="S274" s="125">
        <f>Valores!$C$18*B274</f>
        <v>13746.48</v>
      </c>
      <c r="T274" s="125">
        <f t="shared" si="48"/>
        <v>17183.099999999999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41965.68</v>
      </c>
      <c r="AA274" s="125">
        <f>IF((Valores!$C$28)*B274&gt;Valores!$F$28,Valores!$F$28,(Valores!$C$28)*B274)</f>
        <v>1079.76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899.04</v>
      </c>
      <c r="AE274" s="192">
        <v>94</v>
      </c>
      <c r="AF274" s="125">
        <f>ROUND(AE274*Valores!$C$2,2)</f>
        <v>5047.8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20538</v>
      </c>
      <c r="AH274" s="125">
        <f t="shared" si="46"/>
        <v>313918.8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-34531.067999999999</v>
      </c>
      <c r="AO274" s="125">
        <f>AH274*-Valores!$C$72</f>
        <v>0</v>
      </c>
      <c r="AP274" s="125">
        <f>AH274*Valores!$C$73</f>
        <v>-14126.346</v>
      </c>
      <c r="AQ274" s="125">
        <f>Valores!$C$100</f>
        <v>-554.86</v>
      </c>
      <c r="AR274" s="125">
        <f>IF($F$5=0,Valores!$C$101,(Valores!$C$101+$F$5*(Valores!$C$101)))</f>
        <v>-852</v>
      </c>
      <c r="AS274" s="125">
        <f t="shared" si="47"/>
        <v>263854.52600000001</v>
      </c>
      <c r="AT274" s="125">
        <f t="shared" si="41"/>
        <v>-34531.067999999999</v>
      </c>
      <c r="AU274" s="125">
        <f>AH274*Valores!$C$74</f>
        <v>-8475.8076000000001</v>
      </c>
      <c r="AV274" s="125">
        <f>AH274*Valores!$C$75</f>
        <v>-941.75639999999999</v>
      </c>
      <c r="AW274" s="125">
        <f t="shared" si="45"/>
        <v>269970.16800000001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106057.5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0</v>
      </c>
      <c r="N275" s="125">
        <f t="shared" si="42"/>
        <v>32509.81</v>
      </c>
      <c r="O275" s="125">
        <f>Valores!$C$7*B275</f>
        <v>45528</v>
      </c>
      <c r="P275" s="125">
        <f>ROUND(IF(B275&lt;15,(Valores!$E$5*B275),Valores!$D$5),2)</f>
        <v>27451.439999999999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23981.75</v>
      </c>
      <c r="S275" s="125">
        <f>Valores!$C$18*B275</f>
        <v>14319.25</v>
      </c>
      <c r="T275" s="125">
        <f t="shared" si="48"/>
        <v>17899.060000000001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43714.25</v>
      </c>
      <c r="AA275" s="125">
        <f>IF((Valores!$C$28)*B275&gt;Valores!$F$28,Valores!$F$28,(Valores!$C$28)*B275)</f>
        <v>1124.75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936.5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21393.75</v>
      </c>
      <c r="AH275" s="125">
        <f t="shared" si="46"/>
        <v>320596.81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-35265.649100000002</v>
      </c>
      <c r="AO275" s="125">
        <f>AH275*-Valores!$C$72</f>
        <v>0</v>
      </c>
      <c r="AP275" s="125">
        <f>AH275*Valores!$C$73</f>
        <v>-14426.856449999999</v>
      </c>
      <c r="AQ275" s="125">
        <f>Valores!$C$100</f>
        <v>-554.86</v>
      </c>
      <c r="AR275" s="125">
        <f>IF($F$5=0,Valores!$C$101,(Valores!$C$101+$F$5*(Valores!$C$101)))</f>
        <v>-852</v>
      </c>
      <c r="AS275" s="125">
        <f t="shared" si="47"/>
        <v>269497.44445000001</v>
      </c>
      <c r="AT275" s="125">
        <f t="shared" si="41"/>
        <v>-35265.649100000002</v>
      </c>
      <c r="AU275" s="125">
        <f>AH275*Valores!$C$74</f>
        <v>-8656.1138699999992</v>
      </c>
      <c r="AV275" s="125">
        <f>AH275*Valores!$C$75</f>
        <v>-961.79043000000001</v>
      </c>
      <c r="AW275" s="125">
        <f t="shared" si="45"/>
        <v>275713.25659999996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106057.5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0</v>
      </c>
      <c r="N276" s="125">
        <f t="shared" si="42"/>
        <v>32509.81</v>
      </c>
      <c r="O276" s="125">
        <f>Valores!$C$7*B276</f>
        <v>45528</v>
      </c>
      <c r="P276" s="125">
        <f>ROUND(IF(B276&lt;15,(Valores!$E$5*B276),Valores!$D$5),2)</f>
        <v>27451.439999999999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23981.75</v>
      </c>
      <c r="S276" s="125">
        <f>Valores!$C$18*B276</f>
        <v>14319.25</v>
      </c>
      <c r="T276" s="125">
        <f t="shared" si="48"/>
        <v>17899.060000000001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43714.25</v>
      </c>
      <c r="AA276" s="125">
        <f>IF((Valores!$C$28)*B276&gt;Valores!$F$28,Valores!$F$28,(Valores!$C$28)*B276)</f>
        <v>1124.75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936.5</v>
      </c>
      <c r="AE276" s="192">
        <v>94</v>
      </c>
      <c r="AF276" s="125">
        <f>ROUND(AE276*Valores!$C$2,2)</f>
        <v>5047.8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21393.75</v>
      </c>
      <c r="AH276" s="125">
        <f t="shared" si="46"/>
        <v>325644.61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-35820.907099999997</v>
      </c>
      <c r="AO276" s="125">
        <f>AH276*-Valores!$C$72</f>
        <v>0</v>
      </c>
      <c r="AP276" s="125">
        <f>AH276*Valores!$C$73</f>
        <v>-14654.007449999999</v>
      </c>
      <c r="AQ276" s="125">
        <f>Valores!$C$100</f>
        <v>-554.86</v>
      </c>
      <c r="AR276" s="125">
        <f>IF($F$5=0,Valores!$C$101,(Valores!$C$101+$F$5*(Valores!$C$101)))</f>
        <v>-852</v>
      </c>
      <c r="AS276" s="125">
        <f t="shared" si="47"/>
        <v>273762.83545000001</v>
      </c>
      <c r="AT276" s="125">
        <f t="shared" si="41"/>
        <v>-35820.907099999997</v>
      </c>
      <c r="AU276" s="125">
        <f>AH276*Valores!$C$74</f>
        <v>-8792.4044699999995</v>
      </c>
      <c r="AV276" s="125">
        <f>AH276*Valores!$C$75</f>
        <v>-976.93382999999994</v>
      </c>
      <c r="AW276" s="125">
        <f t="shared" si="45"/>
        <v>280054.36459999997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110299.8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0</v>
      </c>
      <c r="N277" s="125">
        <f t="shared" si="42"/>
        <v>33810.21</v>
      </c>
      <c r="O277" s="125">
        <f>Valores!$C$7*B277</f>
        <v>47349.119999999995</v>
      </c>
      <c r="P277" s="125">
        <f>ROUND(IF(B277&lt;15,(Valores!$E$5*B277),Valores!$D$5),2)</f>
        <v>27451.439999999999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24941.02</v>
      </c>
      <c r="S277" s="125">
        <f>Valores!$C$18*B277</f>
        <v>14892.02</v>
      </c>
      <c r="T277" s="125">
        <f t="shared" si="48"/>
        <v>18615.03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45462.82</v>
      </c>
      <c r="AA277" s="125">
        <f>IF((Valores!$C$28)*B277&gt;Valores!$F$28,Valores!$F$28,(Valores!$C$28)*B277)</f>
        <v>1169.74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973.96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22249.5</v>
      </c>
      <c r="AH277" s="125">
        <f t="shared" si="46"/>
        <v>332322.64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-36555.490400000002</v>
      </c>
      <c r="AO277" s="125">
        <f>AH277*-Valores!$C$72</f>
        <v>0</v>
      </c>
      <c r="AP277" s="125">
        <f>AH277*Valores!$C$73</f>
        <v>-14954.5188</v>
      </c>
      <c r="AQ277" s="125">
        <f>Valores!$C$100</f>
        <v>-554.86</v>
      </c>
      <c r="AR277" s="125">
        <f>IF($F$5=0,Valores!$C$101,(Valores!$C$101+$F$5*(Valores!$C$101)))</f>
        <v>-852</v>
      </c>
      <c r="AS277" s="125">
        <f t="shared" si="47"/>
        <v>279405.7708</v>
      </c>
      <c r="AT277" s="125">
        <f t="shared" si="41"/>
        <v>-36555.490400000002</v>
      </c>
      <c r="AU277" s="125">
        <f>AH277*Valores!$C$74</f>
        <v>-8972.7112799999995</v>
      </c>
      <c r="AV277" s="125">
        <f>AH277*Valores!$C$75</f>
        <v>-996.96792000000005</v>
      </c>
      <c r="AW277" s="125">
        <f t="shared" si="45"/>
        <v>285797.47039999999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110299.8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0</v>
      </c>
      <c r="N278" s="125">
        <f t="shared" si="42"/>
        <v>33810.21</v>
      </c>
      <c r="O278" s="125">
        <f>Valores!$C$7*B278</f>
        <v>47349.119999999995</v>
      </c>
      <c r="P278" s="125">
        <f>ROUND(IF(B278&lt;15,(Valores!$E$5*B278),Valores!$D$5),2)</f>
        <v>27451.439999999999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24941.02</v>
      </c>
      <c r="S278" s="125">
        <f>Valores!$C$18*B278</f>
        <v>14892.02</v>
      </c>
      <c r="T278" s="125">
        <f t="shared" si="48"/>
        <v>18615.03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45462.82</v>
      </c>
      <c r="AA278" s="125">
        <f>IF((Valores!$C$28)*B278&gt;Valores!$F$28,Valores!$F$28,(Valores!$C$28)*B278)</f>
        <v>1169.74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973.96</v>
      </c>
      <c r="AE278" s="192">
        <v>94</v>
      </c>
      <c r="AF278" s="125">
        <f>ROUND(AE278*Valores!$C$2,2)</f>
        <v>5047.8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22249.5</v>
      </c>
      <c r="AH278" s="125">
        <f t="shared" si="46"/>
        <v>337370.44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-37110.748400000004</v>
      </c>
      <c r="AO278" s="125">
        <f>AH278*-Valores!$C$72</f>
        <v>0</v>
      </c>
      <c r="AP278" s="125">
        <f>AH278*Valores!$C$73</f>
        <v>-15181.6698</v>
      </c>
      <c r="AQ278" s="125">
        <f>Valores!$C$100</f>
        <v>-554.86</v>
      </c>
      <c r="AR278" s="125">
        <f>IF($F$5=0,Valores!$C$101,(Valores!$C$101+$F$5*(Valores!$C$101)))</f>
        <v>-852</v>
      </c>
      <c r="AS278" s="125">
        <f t="shared" si="47"/>
        <v>283671.1618</v>
      </c>
      <c r="AT278" s="125">
        <f t="shared" si="41"/>
        <v>-37110.748400000004</v>
      </c>
      <c r="AU278" s="125">
        <f>AH278*Valores!$C$74</f>
        <v>-9109.0018799999998</v>
      </c>
      <c r="AV278" s="125">
        <f>AH278*Valores!$C$75</f>
        <v>-1012.11132</v>
      </c>
      <c r="AW278" s="125">
        <f t="shared" si="45"/>
        <v>290138.5784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114542.1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0</v>
      </c>
      <c r="N279" s="125">
        <f t="shared" si="42"/>
        <v>35110.6</v>
      </c>
      <c r="O279" s="125">
        <f>Valores!$C$7*B279</f>
        <v>49170.239999999998</v>
      </c>
      <c r="P279" s="125">
        <f>ROUND(IF(B279&lt;15,(Valores!$E$5*B279),Valores!$D$5),2)</f>
        <v>27451.439999999999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25900.29</v>
      </c>
      <c r="S279" s="125">
        <f>Valores!$C$18*B279</f>
        <v>15464.789999999999</v>
      </c>
      <c r="T279" s="125">
        <f t="shared" si="48"/>
        <v>19330.990000000002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47211.39</v>
      </c>
      <c r="AA279" s="125">
        <f>IF((Valores!$C$28)*B279&gt;Valores!$F$28,Valores!$F$28,(Valores!$C$28)*B279)</f>
        <v>1214.73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1011.4200000000001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23105.25</v>
      </c>
      <c r="AH279" s="125">
        <f t="shared" si="46"/>
        <v>344048.45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-37845.3295</v>
      </c>
      <c r="AO279" s="125">
        <f>AH279*-Valores!$C$72</f>
        <v>0</v>
      </c>
      <c r="AP279" s="125">
        <f>AH279*Valores!$C$73</f>
        <v>-15482.180249999999</v>
      </c>
      <c r="AQ279" s="125">
        <f>Valores!$C$100</f>
        <v>-554.86</v>
      </c>
      <c r="AR279" s="125">
        <f>IF($F$5=0,Valores!$C$101,(Valores!$C$101+$F$5*(Valores!$C$101)))</f>
        <v>-852</v>
      </c>
      <c r="AS279" s="125">
        <f t="shared" si="47"/>
        <v>289314.08025</v>
      </c>
      <c r="AT279" s="125">
        <f t="shared" si="41"/>
        <v>-37845.3295</v>
      </c>
      <c r="AU279" s="125">
        <f>AH279*Valores!$C$74</f>
        <v>-9289.3081500000008</v>
      </c>
      <c r="AV279" s="125">
        <f>AH279*Valores!$C$75</f>
        <v>-1032.14535</v>
      </c>
      <c r="AW279" s="125">
        <f t="shared" si="45"/>
        <v>295881.66700000002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114542.1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0</v>
      </c>
      <c r="N280" s="125">
        <f t="shared" si="42"/>
        <v>35110.6</v>
      </c>
      <c r="O280" s="125">
        <f>Valores!$C$7*B280</f>
        <v>49170.239999999998</v>
      </c>
      <c r="P280" s="125">
        <f>ROUND(IF(B280&lt;15,(Valores!$E$5*B280),Valores!$D$5),2)</f>
        <v>27451.439999999999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25900.29</v>
      </c>
      <c r="S280" s="125">
        <f>Valores!$C$18*B280</f>
        <v>15464.789999999999</v>
      </c>
      <c r="T280" s="125">
        <f t="shared" si="48"/>
        <v>19330.990000000002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47211.39</v>
      </c>
      <c r="AA280" s="125">
        <f>IF((Valores!$C$28)*B280&gt;Valores!$F$28,Valores!$F$28,(Valores!$C$28)*B280)</f>
        <v>1214.73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1011.4200000000001</v>
      </c>
      <c r="AE280" s="192">
        <v>94</v>
      </c>
      <c r="AF280" s="125">
        <f>ROUND(AE280*Valores!$C$2,2)</f>
        <v>5047.8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23105.25</v>
      </c>
      <c r="AH280" s="125">
        <f t="shared" si="46"/>
        <v>349096.25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-38400.587500000001</v>
      </c>
      <c r="AO280" s="125">
        <f>AH280*-Valores!$C$72</f>
        <v>0</v>
      </c>
      <c r="AP280" s="125">
        <f>AH280*Valores!$C$73</f>
        <v>-15709.331249999999</v>
      </c>
      <c r="AQ280" s="125">
        <f>Valores!$C$100</f>
        <v>-554.86</v>
      </c>
      <c r="AR280" s="125">
        <f>IF($F$5=0,Valores!$C$101,(Valores!$C$101+$F$5*(Valores!$C$101)))</f>
        <v>-852</v>
      </c>
      <c r="AS280" s="125">
        <f t="shared" si="47"/>
        <v>293579.47125</v>
      </c>
      <c r="AT280" s="125">
        <f t="shared" si="41"/>
        <v>-38400.587500000001</v>
      </c>
      <c r="AU280" s="125">
        <f>AH280*Valores!$C$74</f>
        <v>-9425.5987499999992</v>
      </c>
      <c r="AV280" s="125">
        <f>AH280*Valores!$C$75</f>
        <v>-1047.2887499999999</v>
      </c>
      <c r="AW280" s="125">
        <f t="shared" si="45"/>
        <v>300222.77500000002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118784.4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0</v>
      </c>
      <c r="N281" s="125">
        <f t="shared" si="42"/>
        <v>36410.99</v>
      </c>
      <c r="O281" s="125">
        <f>Valores!$C$7*B281</f>
        <v>50991.360000000001</v>
      </c>
      <c r="P281" s="125">
        <f>ROUND(IF(B281&lt;15,(Valores!$E$5*B281),Valores!$D$5),2)</f>
        <v>27451.439999999999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26859.559999999998</v>
      </c>
      <c r="S281" s="125">
        <f>Valores!$C$18*B281</f>
        <v>16037.56</v>
      </c>
      <c r="T281" s="125">
        <f t="shared" si="48"/>
        <v>20046.95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48959.96</v>
      </c>
      <c r="AA281" s="125">
        <f>IF((Valores!$C$28)*B281&gt;Valores!$F$28,Valores!$F$28,(Valores!$C$28)*B281)</f>
        <v>1259.72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1048.8800000000001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23961</v>
      </c>
      <c r="AH281" s="125">
        <f t="shared" si="46"/>
        <v>355774.26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-39135.168600000005</v>
      </c>
      <c r="AO281" s="125">
        <f>AH281*-Valores!$C$72</f>
        <v>0</v>
      </c>
      <c r="AP281" s="125">
        <f>AH281*Valores!$C$73</f>
        <v>-16009.841699999999</v>
      </c>
      <c r="AQ281" s="125">
        <f>Valores!$C$100</f>
        <v>-554.86</v>
      </c>
      <c r="AR281" s="125">
        <f>IF($F$5=0,Valores!$C$101,(Valores!$C$101+$F$5*(Valores!$C$101)))</f>
        <v>-852</v>
      </c>
      <c r="AS281" s="125">
        <f t="shared" si="47"/>
        <v>299222.3897</v>
      </c>
      <c r="AT281" s="125">
        <f t="shared" si="41"/>
        <v>-39135.168600000005</v>
      </c>
      <c r="AU281" s="125">
        <f>AH281*Valores!$C$74</f>
        <v>-9605.9050200000001</v>
      </c>
      <c r="AV281" s="125">
        <f>AH281*Valores!$C$75</f>
        <v>-1067.32278</v>
      </c>
      <c r="AW281" s="125">
        <f t="shared" si="45"/>
        <v>305965.86359999998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118784.4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0</v>
      </c>
      <c r="N282" s="125">
        <f t="shared" si="42"/>
        <v>36410.99</v>
      </c>
      <c r="O282" s="125">
        <f>Valores!$C$7*B282</f>
        <v>50991.360000000001</v>
      </c>
      <c r="P282" s="125">
        <f>ROUND(IF(B282&lt;15,(Valores!$E$5*B282),Valores!$D$5),2)</f>
        <v>27451.439999999999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26859.559999999998</v>
      </c>
      <c r="S282" s="125">
        <f>Valores!$C$18*B282</f>
        <v>16037.56</v>
      </c>
      <c r="T282" s="125">
        <f t="shared" si="48"/>
        <v>20046.95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48959.96</v>
      </c>
      <c r="AA282" s="125">
        <f>IF((Valores!$C$28)*B282&gt;Valores!$F$28,Valores!$F$28,(Valores!$C$28)*B282)</f>
        <v>1259.72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1048.8800000000001</v>
      </c>
      <c r="AE282" s="192">
        <v>94</v>
      </c>
      <c r="AF282" s="125">
        <f>ROUND(AE282*Valores!$C$2,2)</f>
        <v>5047.8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23961</v>
      </c>
      <c r="AH282" s="125">
        <f t="shared" si="46"/>
        <v>360822.06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-39690.426599999999</v>
      </c>
      <c r="AO282" s="125">
        <f>AH282*-Valores!$C$72</f>
        <v>0</v>
      </c>
      <c r="AP282" s="125">
        <f>AH282*Valores!$C$73</f>
        <v>-16236.992699999999</v>
      </c>
      <c r="AQ282" s="125">
        <f>Valores!$C$100</f>
        <v>-554.86</v>
      </c>
      <c r="AR282" s="125">
        <f>IF($F$5=0,Valores!$C$101,(Valores!$C$101+$F$5*(Valores!$C$101)))</f>
        <v>-852</v>
      </c>
      <c r="AS282" s="125">
        <f t="shared" si="47"/>
        <v>303487.7807</v>
      </c>
      <c r="AT282" s="125">
        <f t="shared" si="41"/>
        <v>-39690.426599999999</v>
      </c>
      <c r="AU282" s="125">
        <f>AH282*Valores!$C$74</f>
        <v>-9742.1956200000004</v>
      </c>
      <c r="AV282" s="125">
        <f>AH282*Valores!$C$75</f>
        <v>-1082.4661800000001</v>
      </c>
      <c r="AW282" s="125">
        <f t="shared" si="45"/>
        <v>310306.97159999999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123026.7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0</v>
      </c>
      <c r="N283" s="125">
        <f t="shared" si="42"/>
        <v>37711.379999999997</v>
      </c>
      <c r="O283" s="125">
        <f>Valores!$C$7*B283</f>
        <v>52812.479999999996</v>
      </c>
      <c r="P283" s="125">
        <f>ROUND(IF(B283&lt;15,(Valores!$E$5*B283),Valores!$D$5),2)</f>
        <v>27451.439999999999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27818.829999999998</v>
      </c>
      <c r="S283" s="125">
        <f>Valores!$C$18*B283</f>
        <v>16610.329999999998</v>
      </c>
      <c r="T283" s="125">
        <f t="shared" si="48"/>
        <v>20762.91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50708.53</v>
      </c>
      <c r="AA283" s="125">
        <f>IF((Valores!$C$28)*B283&gt;Valores!$F$28,Valores!$F$28,(Valores!$C$28)*B283)</f>
        <v>1304.71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1086.3399999999999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24816.75</v>
      </c>
      <c r="AH283" s="125">
        <f t="shared" si="46"/>
        <v>367500.07000000007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-40425.007700000009</v>
      </c>
      <c r="AO283" s="125">
        <f>AH283*-Valores!$C$72</f>
        <v>0</v>
      </c>
      <c r="AP283" s="125">
        <f>AH283*Valores!$C$73</f>
        <v>-16537.503150000004</v>
      </c>
      <c r="AQ283" s="125">
        <f>Valores!$C$100</f>
        <v>-554.86</v>
      </c>
      <c r="AR283" s="125">
        <f>IF($F$5=0,Valores!$C$101,(Valores!$C$101+$F$5*(Valores!$C$101)))</f>
        <v>-852</v>
      </c>
      <c r="AS283" s="125">
        <f t="shared" si="47"/>
        <v>309130.69915000006</v>
      </c>
      <c r="AT283" s="125">
        <f t="shared" si="41"/>
        <v>-40425.007700000009</v>
      </c>
      <c r="AU283" s="125">
        <f>AH283*Valores!$C$74</f>
        <v>-9922.5018900000014</v>
      </c>
      <c r="AV283" s="125">
        <f>AH283*Valores!$C$75</f>
        <v>-1102.5002100000002</v>
      </c>
      <c r="AW283" s="125">
        <f t="shared" si="45"/>
        <v>316050.06020000007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123026.7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0</v>
      </c>
      <c r="N284" s="125">
        <f t="shared" si="42"/>
        <v>37711.379999999997</v>
      </c>
      <c r="O284" s="125">
        <f>Valores!$C$7*B284</f>
        <v>52812.479999999996</v>
      </c>
      <c r="P284" s="125">
        <f>ROUND(IF(B284&lt;15,(Valores!$E$5*B284),Valores!$D$5),2)</f>
        <v>27451.439999999999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27818.829999999998</v>
      </c>
      <c r="S284" s="125">
        <f>Valores!$C$18*B284</f>
        <v>16610.329999999998</v>
      </c>
      <c r="T284" s="125">
        <f t="shared" si="48"/>
        <v>20762.91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50708.53</v>
      </c>
      <c r="AA284" s="125">
        <f>IF((Valores!$C$28)*B284&gt;Valores!$F$28,Valores!$F$28,(Valores!$C$28)*B284)</f>
        <v>1304.71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1086.3399999999999</v>
      </c>
      <c r="AE284" s="192">
        <v>94</v>
      </c>
      <c r="AF284" s="125">
        <f>ROUND(AE284*Valores!$C$2,2)</f>
        <v>5047.8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24816.75</v>
      </c>
      <c r="AH284" s="125">
        <f t="shared" si="46"/>
        <v>372547.87000000005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-40980.265700000004</v>
      </c>
      <c r="AO284" s="125">
        <f>AH284*-Valores!$C$72</f>
        <v>0</v>
      </c>
      <c r="AP284" s="125">
        <f>AH284*Valores!$C$73</f>
        <v>-16764.654150000002</v>
      </c>
      <c r="AQ284" s="125">
        <f>Valores!$C$100</f>
        <v>-554.86</v>
      </c>
      <c r="AR284" s="125">
        <f>IF($F$5=0,Valores!$C$101,(Valores!$C$101+$F$5*(Valores!$C$101)))</f>
        <v>-852</v>
      </c>
      <c r="AS284" s="125">
        <f t="shared" si="47"/>
        <v>313396.09015000006</v>
      </c>
      <c r="AT284" s="125">
        <f t="shared" si="41"/>
        <v>-40980.265700000004</v>
      </c>
      <c r="AU284" s="125">
        <f>AH284*Valores!$C$74</f>
        <v>-10058.792490000002</v>
      </c>
      <c r="AV284" s="125">
        <f>AH284*Valores!$C$75</f>
        <v>-1117.6436100000001</v>
      </c>
      <c r="AW284" s="125">
        <f t="shared" si="45"/>
        <v>320391.16820000007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127269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0</v>
      </c>
      <c r="N285" s="125">
        <f t="shared" si="42"/>
        <v>39011.78</v>
      </c>
      <c r="O285" s="125">
        <f>Valores!$C$7*B285</f>
        <v>54633.599999999999</v>
      </c>
      <c r="P285" s="125">
        <f>ROUND(IF(B285&lt;15,(Valores!$E$5*B285),Valores!$D$5),2)</f>
        <v>27451.439999999999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28778.1</v>
      </c>
      <c r="S285" s="125">
        <f>Valores!$C$18*B285</f>
        <v>17183.099999999999</v>
      </c>
      <c r="T285" s="125">
        <f t="shared" si="48"/>
        <v>21478.880000000001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52457.1</v>
      </c>
      <c r="AA285" s="125">
        <f>IF((Valores!$C$28)*B285&gt;Valores!$F$28,Valores!$F$28,(Valores!$C$28)*B285)</f>
        <v>1349.7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1122.78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25672.5</v>
      </c>
      <c r="AH285" s="125">
        <f t="shared" si="46"/>
        <v>379224.88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-41714.736799999999</v>
      </c>
      <c r="AO285" s="125">
        <f>AH285*-Valores!$C$72</f>
        <v>0</v>
      </c>
      <c r="AP285" s="125">
        <f>AH285*Valores!$C$73</f>
        <v>-17065.119599999998</v>
      </c>
      <c r="AQ285" s="125">
        <f>Valores!$C$100</f>
        <v>-554.86</v>
      </c>
      <c r="AR285" s="125">
        <f>IF($F$5=0,Valores!$C$101,(Valores!$C$101+$F$5*(Valores!$C$101)))</f>
        <v>-852</v>
      </c>
      <c r="AS285" s="125">
        <f t="shared" si="47"/>
        <v>319038.16360000003</v>
      </c>
      <c r="AT285" s="125">
        <f t="shared" si="41"/>
        <v>-41714.736799999999</v>
      </c>
      <c r="AU285" s="125">
        <f>AH285*Valores!$C$74</f>
        <v>-10239.071760000001</v>
      </c>
      <c r="AV285" s="125">
        <f>AH285*Valores!$C$75</f>
        <v>-1137.67464</v>
      </c>
      <c r="AW285" s="125">
        <f t="shared" si="45"/>
        <v>326133.39679999999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127269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0</v>
      </c>
      <c r="N286" s="125">
        <f t="shared" si="42"/>
        <v>39011.78</v>
      </c>
      <c r="O286" s="125">
        <f>Valores!$C$7*B286</f>
        <v>54633.599999999999</v>
      </c>
      <c r="P286" s="125">
        <f>ROUND(IF(B286&lt;15,(Valores!$E$5*B286),Valores!$D$5),2)</f>
        <v>27451.439999999999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28778.1</v>
      </c>
      <c r="S286" s="125">
        <f>Valores!$C$18*B286</f>
        <v>17183.099999999999</v>
      </c>
      <c r="T286" s="125">
        <f t="shared" si="48"/>
        <v>21478.880000000001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52457.1</v>
      </c>
      <c r="AA286" s="125">
        <f>IF((Valores!$C$28)*B286&gt;Valores!$F$28,Valores!$F$28,(Valores!$C$28)*B286)</f>
        <v>1349.7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1122.78</v>
      </c>
      <c r="AE286" s="192">
        <v>94</v>
      </c>
      <c r="AF286" s="125">
        <f>ROUND(AE286*Valores!$C$2,2)</f>
        <v>5047.8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25672.5</v>
      </c>
      <c r="AH286" s="125">
        <f t="shared" si="46"/>
        <v>384272.68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-42269.9948</v>
      </c>
      <c r="AO286" s="125">
        <f>AH286*-Valores!$C$72</f>
        <v>0</v>
      </c>
      <c r="AP286" s="125">
        <f>AH286*Valores!$C$73</f>
        <v>-17292.2706</v>
      </c>
      <c r="AQ286" s="125">
        <f>Valores!$C$100</f>
        <v>-554.86</v>
      </c>
      <c r="AR286" s="125">
        <f>IF($F$5=0,Valores!$C$101,(Valores!$C$101+$F$5*(Valores!$C$101)))</f>
        <v>-852</v>
      </c>
      <c r="AS286" s="125">
        <f t="shared" si="47"/>
        <v>323303.55459999997</v>
      </c>
      <c r="AT286" s="125">
        <f t="shared" si="41"/>
        <v>-42269.9948</v>
      </c>
      <c r="AU286" s="125">
        <f>AH286*Valores!$C$74</f>
        <v>-10375.362359999999</v>
      </c>
      <c r="AV286" s="125">
        <f>AH286*Valores!$C$75</f>
        <v>-1152.8180400000001</v>
      </c>
      <c r="AW286" s="125">
        <f t="shared" si="45"/>
        <v>330474.5048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131511.29999999999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0</v>
      </c>
      <c r="N287" s="125">
        <f t="shared" si="42"/>
        <v>40312.17</v>
      </c>
      <c r="O287" s="125">
        <f>Valores!$C$7*B287</f>
        <v>56454.719999999994</v>
      </c>
      <c r="P287" s="125">
        <f>ROUND(IF(B287&lt;15,(Valores!$E$5*B287),Valores!$D$5),2)</f>
        <v>27451.439999999999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29737.37</v>
      </c>
      <c r="S287" s="125">
        <f>Valores!$C$18*B287</f>
        <v>17755.87</v>
      </c>
      <c r="T287" s="125">
        <f t="shared" si="48"/>
        <v>22194.84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54205.67</v>
      </c>
      <c r="AA287" s="125">
        <f>IF((Valores!$C$28)*B287&gt;Valores!$F$28,Valores!$F$28,(Valores!$C$28)*B287)</f>
        <v>1394.69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1122.78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25672.6</v>
      </c>
      <c r="AH287" s="125">
        <f t="shared" si="46"/>
        <v>390057.58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-42906.3338</v>
      </c>
      <c r="AO287" s="125">
        <f>AH287*-Valores!$C$72</f>
        <v>0</v>
      </c>
      <c r="AP287" s="125">
        <f>AH287*Valores!$C$73</f>
        <v>-17552.591100000001</v>
      </c>
      <c r="AQ287" s="125">
        <f>Valores!$C$100</f>
        <v>-554.86</v>
      </c>
      <c r="AR287" s="125">
        <f>IF($F$5=0,Valores!$C$101,(Valores!$C$101+$F$5*(Valores!$C$101)))</f>
        <v>-852</v>
      </c>
      <c r="AS287" s="125">
        <f t="shared" si="47"/>
        <v>328191.79509999999</v>
      </c>
      <c r="AT287" s="125">
        <f t="shared" si="41"/>
        <v>-42906.3338</v>
      </c>
      <c r="AU287" s="125">
        <f>AH287*Valores!$C$74</f>
        <v>-10531.55466</v>
      </c>
      <c r="AV287" s="125">
        <f>AH287*Valores!$C$75</f>
        <v>-1170.17274</v>
      </c>
      <c r="AW287" s="125">
        <f t="shared" si="45"/>
        <v>335449.51880000002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131511.29999999999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0</v>
      </c>
      <c r="N288" s="125">
        <f t="shared" si="42"/>
        <v>40312.17</v>
      </c>
      <c r="O288" s="125">
        <f>Valores!$C$7*B288</f>
        <v>56454.719999999994</v>
      </c>
      <c r="P288" s="125">
        <f>ROUND(IF(B288&lt;15,(Valores!$E$5*B288),Valores!$D$5),2)</f>
        <v>27451.439999999999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29737.37</v>
      </c>
      <c r="S288" s="125">
        <f>Valores!$C$18*B288</f>
        <v>17755.87</v>
      </c>
      <c r="T288" s="125">
        <f t="shared" si="48"/>
        <v>22194.84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54205.67</v>
      </c>
      <c r="AA288" s="125">
        <f>IF((Valores!$C$28)*B288&gt;Valores!$F$28,Valores!$F$28,(Valores!$C$28)*B288)</f>
        <v>1394.69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1122.78</v>
      </c>
      <c r="AE288" s="192">
        <v>94</v>
      </c>
      <c r="AF288" s="125">
        <f>ROUND(AE288*Valores!$C$2,2)</f>
        <v>5047.8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25672.6</v>
      </c>
      <c r="AH288" s="125">
        <f t="shared" si="46"/>
        <v>395105.38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-43461.591800000002</v>
      </c>
      <c r="AO288" s="125">
        <f>AH288*-Valores!$C$72</f>
        <v>0</v>
      </c>
      <c r="AP288" s="125">
        <f>AH288*Valores!$C$73</f>
        <v>-17779.742099999999</v>
      </c>
      <c r="AQ288" s="125">
        <f>Valores!$C$100</f>
        <v>-554.86</v>
      </c>
      <c r="AR288" s="125">
        <f>IF($F$5=0,Valores!$C$101,(Valores!$C$101+$F$5*(Valores!$C$101)))</f>
        <v>-852</v>
      </c>
      <c r="AS288" s="125">
        <f t="shared" si="47"/>
        <v>332457.18609999999</v>
      </c>
      <c r="AT288" s="125">
        <f t="shared" si="41"/>
        <v>-43461.591800000002</v>
      </c>
      <c r="AU288" s="125">
        <f>AH288*Valores!$C$74</f>
        <v>-10667.84526</v>
      </c>
      <c r="AV288" s="125">
        <f>AH288*Valores!$C$75</f>
        <v>-1185.3161400000001</v>
      </c>
      <c r="AW288" s="125">
        <f t="shared" si="45"/>
        <v>339790.62679999997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135753.60000000001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0</v>
      </c>
      <c r="N289" s="125">
        <f t="shared" si="42"/>
        <v>41612.559999999998</v>
      </c>
      <c r="O289" s="125">
        <f>Valores!$C$7*B289</f>
        <v>58275.839999999997</v>
      </c>
      <c r="P289" s="125">
        <f>ROUND(IF(B289&lt;15,(Valores!$E$5*B289),Valores!$D$5),2)</f>
        <v>27451.439999999999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30696.639999999999</v>
      </c>
      <c r="S289" s="125">
        <f>Valores!$C$18*B289</f>
        <v>18328.64</v>
      </c>
      <c r="T289" s="125">
        <f t="shared" si="48"/>
        <v>22910.799999999999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55954.239999999998</v>
      </c>
      <c r="AA289" s="125">
        <f>IF((Valores!$C$28)*B289&gt;Valores!$F$28,Valores!$F$28,(Valores!$C$28)*B289)</f>
        <v>1439.68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1122.78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25672.6</v>
      </c>
      <c r="AH289" s="125">
        <f t="shared" si="46"/>
        <v>400890.18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-44097.919799999996</v>
      </c>
      <c r="AO289" s="125">
        <f>AH289*-Valores!$C$72</f>
        <v>0</v>
      </c>
      <c r="AP289" s="125">
        <f>AH289*Valores!$C$73</f>
        <v>-18040.058099999998</v>
      </c>
      <c r="AQ289" s="125">
        <f>Valores!$C$100</f>
        <v>-554.86</v>
      </c>
      <c r="AR289" s="125">
        <f>IF($F$5=0,Valores!$C$101,(Valores!$C$101+$F$5*(Valores!$C$101)))</f>
        <v>-852</v>
      </c>
      <c r="AS289" s="125">
        <f t="shared" si="47"/>
        <v>337345.34210000001</v>
      </c>
      <c r="AT289" s="125">
        <f t="shared" si="41"/>
        <v>-44097.919799999996</v>
      </c>
      <c r="AU289" s="125">
        <f>AH289*Valores!$C$74</f>
        <v>-10824.03486</v>
      </c>
      <c r="AV289" s="125">
        <f>AH289*Valores!$C$75</f>
        <v>-1202.6705400000001</v>
      </c>
      <c r="AW289" s="125">
        <f t="shared" si="45"/>
        <v>344765.55479999998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135753.60000000001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0</v>
      </c>
      <c r="N290" s="125">
        <f t="shared" si="42"/>
        <v>41612.559999999998</v>
      </c>
      <c r="O290" s="125">
        <f>Valores!$C$7*B290</f>
        <v>58275.839999999997</v>
      </c>
      <c r="P290" s="125">
        <f>ROUND(IF(B290&lt;15,(Valores!$E$5*B290),Valores!$D$5),2)</f>
        <v>27451.439999999999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30696.639999999999</v>
      </c>
      <c r="S290" s="125">
        <f>Valores!$C$18*B290</f>
        <v>18328.64</v>
      </c>
      <c r="T290" s="125">
        <f t="shared" si="48"/>
        <v>22910.799999999999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55954.239999999998</v>
      </c>
      <c r="AA290" s="125">
        <f>IF((Valores!$C$28)*B290&gt;Valores!$F$28,Valores!$F$28,(Valores!$C$28)*B290)</f>
        <v>1439.68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1122.78</v>
      </c>
      <c r="AE290" s="192">
        <v>94</v>
      </c>
      <c r="AF290" s="125">
        <f>ROUND(AE290*Valores!$C$2,2)</f>
        <v>5047.8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25672.6</v>
      </c>
      <c r="AH290" s="125">
        <f t="shared" si="46"/>
        <v>405937.98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-44653.177799999998</v>
      </c>
      <c r="AO290" s="125">
        <f>AH290*-Valores!$C$72</f>
        <v>0</v>
      </c>
      <c r="AP290" s="125">
        <f>AH290*Valores!$C$73</f>
        <v>-18267.2091</v>
      </c>
      <c r="AQ290" s="125">
        <f>Valores!$C$100</f>
        <v>-554.86</v>
      </c>
      <c r="AR290" s="125">
        <f>IF($F$5=0,Valores!$C$101,(Valores!$C$101+$F$5*(Valores!$C$101)))</f>
        <v>-852</v>
      </c>
      <c r="AS290" s="125">
        <f t="shared" si="47"/>
        <v>341610.73309999995</v>
      </c>
      <c r="AT290" s="125">
        <f t="shared" si="41"/>
        <v>-44653.177799999998</v>
      </c>
      <c r="AU290" s="125">
        <f>AH290*Valores!$C$74</f>
        <v>-10960.32546</v>
      </c>
      <c r="AV290" s="125">
        <f>AH290*Valores!$C$75</f>
        <v>-1217.81394</v>
      </c>
      <c r="AW290" s="125">
        <f t="shared" si="45"/>
        <v>349106.66279999999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139995.9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0</v>
      </c>
      <c r="N291" s="125">
        <f t="shared" si="42"/>
        <v>42912.95</v>
      </c>
      <c r="O291" s="125">
        <f>Valores!$C$7*B291</f>
        <v>60096.959999999999</v>
      </c>
      <c r="P291" s="125">
        <f>ROUND(IF(B291&lt;15,(Valores!$E$5*B291),Valores!$D$5),2)</f>
        <v>27451.439999999999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31655.91</v>
      </c>
      <c r="S291" s="125">
        <f>Valores!$C$18*B291</f>
        <v>18901.41</v>
      </c>
      <c r="T291" s="125">
        <f t="shared" si="48"/>
        <v>23626.76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57702.81</v>
      </c>
      <c r="AA291" s="125">
        <f>IF((Valores!$C$28)*B291&gt;Valores!$F$28,Valores!$F$28,(Valores!$C$28)*B291)</f>
        <v>1484.67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1122.78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25672.6</v>
      </c>
      <c r="AH291" s="125">
        <f t="shared" si="46"/>
        <v>411722.77999999991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-45289.505799999992</v>
      </c>
      <c r="AO291" s="125">
        <f>AH291*-Valores!$C$72</f>
        <v>0</v>
      </c>
      <c r="AP291" s="125">
        <f>AH291*Valores!$C$73</f>
        <v>-18527.525099999995</v>
      </c>
      <c r="AQ291" s="125">
        <f>Valores!$C$100</f>
        <v>-554.86</v>
      </c>
      <c r="AR291" s="125">
        <f>IF($F$5=0,Valores!$C$101,(Valores!$C$101+$F$5*(Valores!$C$101)))</f>
        <v>-852</v>
      </c>
      <c r="AS291" s="125">
        <f t="shared" si="47"/>
        <v>346498.88909999991</v>
      </c>
      <c r="AT291" s="125">
        <f t="shared" si="41"/>
        <v>-45289.505799999992</v>
      </c>
      <c r="AU291" s="125">
        <f>AH291*Valores!$C$74</f>
        <v>-11116.515059999998</v>
      </c>
      <c r="AV291" s="125">
        <f>AH291*Valores!$C$75</f>
        <v>-1235.1683399999997</v>
      </c>
      <c r="AW291" s="125">
        <f t="shared" si="45"/>
        <v>354081.59079999995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139995.9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0</v>
      </c>
      <c r="N292" s="125">
        <f t="shared" si="42"/>
        <v>42912.95</v>
      </c>
      <c r="O292" s="125">
        <f>Valores!$C$7*B292</f>
        <v>60096.959999999999</v>
      </c>
      <c r="P292" s="125">
        <f>ROUND(IF(B292&lt;15,(Valores!$E$5*B292),Valores!$D$5),2)</f>
        <v>27451.439999999999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31655.91</v>
      </c>
      <c r="S292" s="125">
        <f>Valores!$C$18*B292</f>
        <v>18901.41</v>
      </c>
      <c r="T292" s="125">
        <f t="shared" si="48"/>
        <v>23626.76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57702.81</v>
      </c>
      <c r="AA292" s="125">
        <f>IF((Valores!$C$28)*B292&gt;Valores!$F$28,Valores!$F$28,(Valores!$C$28)*B292)</f>
        <v>1484.67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1122.78</v>
      </c>
      <c r="AE292" s="192">
        <v>94</v>
      </c>
      <c r="AF292" s="125">
        <f>ROUND(AE292*Valores!$C$2,2)</f>
        <v>5047.8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25672.6</v>
      </c>
      <c r="AH292" s="125">
        <f t="shared" si="46"/>
        <v>416770.5799999999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-45844.763799999986</v>
      </c>
      <c r="AO292" s="125">
        <f>AH292*-Valores!$C$72</f>
        <v>0</v>
      </c>
      <c r="AP292" s="125">
        <f>AH292*Valores!$C$73</f>
        <v>-18754.676099999993</v>
      </c>
      <c r="AQ292" s="125">
        <f>Valores!$C$100</f>
        <v>-554.86</v>
      </c>
      <c r="AR292" s="125">
        <f>IF($F$5=0,Valores!$C$101,(Valores!$C$101+$F$5*(Valores!$C$101)))</f>
        <v>-852</v>
      </c>
      <c r="AS292" s="125">
        <f t="shared" si="47"/>
        <v>350764.28009999992</v>
      </c>
      <c r="AT292" s="125">
        <f t="shared" si="41"/>
        <v>-45844.763799999986</v>
      </c>
      <c r="AU292" s="125">
        <f>AH292*Valores!$C$74</f>
        <v>-11252.805659999996</v>
      </c>
      <c r="AV292" s="125">
        <f>AH292*Valores!$C$75</f>
        <v>-1250.3117399999996</v>
      </c>
      <c r="AW292" s="125">
        <f t="shared" si="45"/>
        <v>358422.6987999999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144238.20000000001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0</v>
      </c>
      <c r="N293" s="125">
        <f t="shared" si="42"/>
        <v>44213.35</v>
      </c>
      <c r="O293" s="125">
        <f>Valores!$C$7*B293</f>
        <v>61918.079999999994</v>
      </c>
      <c r="P293" s="125">
        <f>ROUND(IF(B293&lt;15,(Valores!$E$5*B293),Valores!$D$5),2)</f>
        <v>27451.439999999999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32615.18</v>
      </c>
      <c r="S293" s="125">
        <f>Valores!$C$18*B293</f>
        <v>19474.18</v>
      </c>
      <c r="T293" s="125">
        <f t="shared" si="48"/>
        <v>24342.73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59451.38</v>
      </c>
      <c r="AA293" s="125">
        <f>IF((Valores!$C$28)*B293&gt;Valores!$F$28,Valores!$F$28,(Valores!$C$28)*B293)</f>
        <v>1529.66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1122.78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25672.6</v>
      </c>
      <c r="AH293" s="125">
        <f t="shared" si="46"/>
        <v>422555.39999999997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-46481.093999999997</v>
      </c>
      <c r="AO293" s="125">
        <f>AH293*-Valores!$C$72</f>
        <v>0</v>
      </c>
      <c r="AP293" s="125">
        <f>AH293*Valores!$C$73</f>
        <v>-19014.992999999999</v>
      </c>
      <c r="AQ293" s="125">
        <f>Valores!$C$100</f>
        <v>-554.86</v>
      </c>
      <c r="AR293" s="125">
        <f>IF($F$5=0,Valores!$C$101,(Valores!$C$101+$F$5*(Valores!$C$101)))</f>
        <v>-852</v>
      </c>
      <c r="AS293" s="125">
        <f t="shared" si="47"/>
        <v>355652.45299999998</v>
      </c>
      <c r="AT293" s="125">
        <f t="shared" si="41"/>
        <v>-46481.093999999997</v>
      </c>
      <c r="AU293" s="125">
        <f>AH293*Valores!$C$74</f>
        <v>-11408.995799999999</v>
      </c>
      <c r="AV293" s="125">
        <f>AH293*Valores!$C$75</f>
        <v>-1267.6661999999999</v>
      </c>
      <c r="AW293" s="125">
        <f t="shared" si="45"/>
        <v>363397.64399999997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144238.20000000001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0</v>
      </c>
      <c r="N294" s="125">
        <f t="shared" si="42"/>
        <v>44213.35</v>
      </c>
      <c r="O294" s="125">
        <f>Valores!$C$7*B294</f>
        <v>61918.079999999994</v>
      </c>
      <c r="P294" s="125">
        <f>ROUND(IF(B294&lt;15,(Valores!$E$5*B294),Valores!$D$5),2)</f>
        <v>27451.439999999999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32615.18</v>
      </c>
      <c r="S294" s="125">
        <f>Valores!$C$18*B294</f>
        <v>19474.18</v>
      </c>
      <c r="T294" s="125">
        <f t="shared" si="48"/>
        <v>24342.73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59451.38</v>
      </c>
      <c r="AA294" s="125">
        <f>IF((Valores!$C$28)*B294&gt;Valores!$F$28,Valores!$F$28,(Valores!$C$28)*B294)</f>
        <v>1529.66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1122.78</v>
      </c>
      <c r="AE294" s="192">
        <v>94</v>
      </c>
      <c r="AF294" s="125">
        <f>ROUND(AE294*Valores!$C$2,2)</f>
        <v>5047.8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25672.6</v>
      </c>
      <c r="AH294" s="125">
        <f t="shared" si="46"/>
        <v>427603.19999999995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-47036.351999999992</v>
      </c>
      <c r="AO294" s="125">
        <f>AH294*-Valores!$C$72</f>
        <v>0</v>
      </c>
      <c r="AP294" s="125">
        <f>AH294*Valores!$C$73</f>
        <v>-19242.143999999997</v>
      </c>
      <c r="AQ294" s="125">
        <f>Valores!$C$100</f>
        <v>-554.86</v>
      </c>
      <c r="AR294" s="125">
        <f>IF($F$5=0,Valores!$C$101,(Valores!$C$101+$F$5*(Valores!$C$101)))</f>
        <v>-852</v>
      </c>
      <c r="AS294" s="125">
        <f t="shared" si="47"/>
        <v>359917.84399999998</v>
      </c>
      <c r="AT294" s="125">
        <f t="shared" si="41"/>
        <v>-47036.351999999992</v>
      </c>
      <c r="AU294" s="125">
        <f>AH294*Valores!$C$74</f>
        <v>-11545.286399999999</v>
      </c>
      <c r="AV294" s="125">
        <f>AH294*Valores!$C$75</f>
        <v>-1282.8095999999998</v>
      </c>
      <c r="AW294" s="125">
        <f t="shared" si="45"/>
        <v>367738.75199999998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148480.5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0</v>
      </c>
      <c r="N295" s="125">
        <f t="shared" si="42"/>
        <v>45454.52</v>
      </c>
      <c r="O295" s="125">
        <f>Valores!$C$7*B295</f>
        <v>63739.199999999997</v>
      </c>
      <c r="P295" s="125">
        <f>ROUND(IF(B295&lt;15,(Valores!$E$5*B295),Valores!$D$5),2)</f>
        <v>27451.439999999999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33337.56</v>
      </c>
      <c r="S295" s="125">
        <f>Valores!$C$18*B295</f>
        <v>20046.95</v>
      </c>
      <c r="T295" s="125">
        <f t="shared" si="48"/>
        <v>25058.69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61199.95</v>
      </c>
      <c r="AA295" s="125">
        <f>IF((Valores!$C$28)*B295&gt;Valores!$F$28,Valores!$F$28,(Valores!$C$28)*B295)</f>
        <v>1574.65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1122.78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25672.6</v>
      </c>
      <c r="AH295" s="125">
        <f t="shared" si="46"/>
        <v>433091.89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-47640.107900000003</v>
      </c>
      <c r="AO295" s="125">
        <f>AH295*-Valores!$C$72</f>
        <v>0</v>
      </c>
      <c r="AP295" s="125">
        <f>AH295*Valores!$C$73</f>
        <v>-19489.135050000001</v>
      </c>
      <c r="AQ295" s="125">
        <f>Valores!$C$100</f>
        <v>-554.86</v>
      </c>
      <c r="AR295" s="125">
        <f>IF($F$5=0,Valores!$C$101,(Valores!$C$101+$F$5*(Valores!$C$101)))</f>
        <v>-852</v>
      </c>
      <c r="AS295" s="125">
        <f t="shared" si="47"/>
        <v>364555.78705000004</v>
      </c>
      <c r="AT295" s="125">
        <f t="shared" si="41"/>
        <v>-47640.107900000003</v>
      </c>
      <c r="AU295" s="125">
        <f>AH295*Valores!$C$74</f>
        <v>-11693.481030000001</v>
      </c>
      <c r="AV295" s="125">
        <f>AH295*Valores!$C$75</f>
        <v>-1299.27567</v>
      </c>
      <c r="AW295" s="125">
        <f t="shared" si="45"/>
        <v>372459.02539999998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148480.5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0</v>
      </c>
      <c r="N296" s="125">
        <f t="shared" si="42"/>
        <v>45454.52</v>
      </c>
      <c r="O296" s="125">
        <f>Valores!$C$7*B296</f>
        <v>63739.199999999997</v>
      </c>
      <c r="P296" s="125">
        <f>ROUND(IF(B296&lt;15,(Valores!$E$5*B296),Valores!$D$5),2)</f>
        <v>27451.439999999999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33337.56</v>
      </c>
      <c r="S296" s="125">
        <f>Valores!$C$18*B296</f>
        <v>20046.95</v>
      </c>
      <c r="T296" s="125">
        <f t="shared" si="48"/>
        <v>25058.69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61199.95</v>
      </c>
      <c r="AA296" s="125">
        <f>IF((Valores!$C$28)*B296&gt;Valores!$F$28,Valores!$F$28,(Valores!$C$28)*B296)</f>
        <v>1574.65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1122.78</v>
      </c>
      <c r="AE296" s="192">
        <v>94</v>
      </c>
      <c r="AF296" s="125">
        <f>ROUND(AE296*Valores!$C$2,2)</f>
        <v>5047.8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25672.6</v>
      </c>
      <c r="AH296" s="125">
        <f t="shared" si="46"/>
        <v>438139.69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-48195.365899999997</v>
      </c>
      <c r="AO296" s="125">
        <f>AH296*-Valores!$C$72</f>
        <v>0</v>
      </c>
      <c r="AP296" s="125">
        <f>AH296*Valores!$C$73</f>
        <v>-19716.286049999999</v>
      </c>
      <c r="AQ296" s="125">
        <f>Valores!$C$100</f>
        <v>-554.86</v>
      </c>
      <c r="AR296" s="125">
        <f>IF($F$5=0,Valores!$C$101,(Valores!$C$101+$F$5*(Valores!$C$101)))</f>
        <v>-852</v>
      </c>
      <c r="AS296" s="125">
        <f t="shared" si="47"/>
        <v>368821.17804999999</v>
      </c>
      <c r="AT296" s="125">
        <f t="shared" si="41"/>
        <v>-48195.365899999997</v>
      </c>
      <c r="AU296" s="125">
        <f>AH296*Valores!$C$74</f>
        <v>-11829.771629999999</v>
      </c>
      <c r="AV296" s="125">
        <f>AH296*Valores!$C$75</f>
        <v>-1314.4190700000001</v>
      </c>
      <c r="AW296" s="125">
        <f t="shared" si="45"/>
        <v>376800.13339999999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152722.79999999999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0</v>
      </c>
      <c r="N297" s="125">
        <f t="shared" si="42"/>
        <v>46515.09</v>
      </c>
      <c r="O297" s="125">
        <f>Valores!$C$7*B297</f>
        <v>65560.319999999992</v>
      </c>
      <c r="P297" s="125">
        <f>ROUND(IF(B297&lt;15,(Valores!$E$5*B297),Valores!$D$5),2)</f>
        <v>27451.439999999999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33337.56</v>
      </c>
      <c r="S297" s="125">
        <f>Valores!$C$18*B297</f>
        <v>20619.72</v>
      </c>
      <c r="T297" s="125">
        <f t="shared" si="48"/>
        <v>25774.65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62948.52</v>
      </c>
      <c r="AA297" s="125">
        <f>IF((Valores!$C$28)*B297&gt;Valores!$F$28,Valores!$F$28,(Valores!$C$28)*B297)</f>
        <v>1619.64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1122.78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25672.6</v>
      </c>
      <c r="AH297" s="125">
        <f t="shared" si="46"/>
        <v>442725.4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-48699.794000000002</v>
      </c>
      <c r="AO297" s="125">
        <f>AH297*-Valores!$C$72</f>
        <v>0</v>
      </c>
      <c r="AP297" s="125">
        <f>AH297*Valores!$C$73</f>
        <v>-19922.643</v>
      </c>
      <c r="AQ297" s="125">
        <f>Valores!$C$100</f>
        <v>-554.86</v>
      </c>
      <c r="AR297" s="125">
        <f>IF($F$5=0,Valores!$C$101,(Valores!$C$101+$F$5*(Valores!$C$101)))</f>
        <v>-852</v>
      </c>
      <c r="AS297" s="125">
        <f t="shared" si="47"/>
        <v>372696.103</v>
      </c>
      <c r="AT297" s="125">
        <f t="shared" si="41"/>
        <v>-48699.794000000002</v>
      </c>
      <c r="AU297" s="125">
        <f>AH297*Valores!$C$74</f>
        <v>-11953.585800000001</v>
      </c>
      <c r="AV297" s="125">
        <f>AH297*Valores!$C$75</f>
        <v>-1328.1762000000001</v>
      </c>
      <c r="AW297" s="125">
        <f t="shared" si="45"/>
        <v>380743.84400000004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152722.79999999999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0</v>
      </c>
      <c r="N298" s="125">
        <f t="shared" si="42"/>
        <v>46515.09</v>
      </c>
      <c r="O298" s="125">
        <f>Valores!$C$7*B298</f>
        <v>65560.319999999992</v>
      </c>
      <c r="P298" s="125">
        <f>ROUND(IF(B298&lt;15,(Valores!$E$5*B298),Valores!$D$5),2)</f>
        <v>27451.439999999999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33337.56</v>
      </c>
      <c r="S298" s="125">
        <f>Valores!$C$18*B298</f>
        <v>20619.72</v>
      </c>
      <c r="T298" s="125">
        <f t="shared" si="48"/>
        <v>25774.65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62948.52</v>
      </c>
      <c r="AA298" s="125">
        <f>IF((Valores!$C$28)*B298&gt;Valores!$F$28,Valores!$F$28,(Valores!$C$28)*B298)</f>
        <v>1619.64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1122.78</v>
      </c>
      <c r="AE298" s="192">
        <v>94</v>
      </c>
      <c r="AF298" s="125">
        <f>ROUND(AE298*Valores!$C$2,2)</f>
        <v>5047.8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25672.6</v>
      </c>
      <c r="AH298" s="125">
        <f t="shared" si="46"/>
        <v>447773.2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-49255.052000000003</v>
      </c>
      <c r="AO298" s="125">
        <f>AH298*-Valores!$C$72</f>
        <v>0</v>
      </c>
      <c r="AP298" s="125">
        <f>AH298*Valores!$C$73</f>
        <v>-20149.793999999998</v>
      </c>
      <c r="AQ298" s="125">
        <f>Valores!$C$100</f>
        <v>-554.86</v>
      </c>
      <c r="AR298" s="125">
        <f>IF($F$5=0,Valores!$C$101,(Valores!$C$101+$F$5*(Valores!$C$101)))</f>
        <v>-852</v>
      </c>
      <c r="AS298" s="125">
        <f t="shared" si="47"/>
        <v>376961.49400000001</v>
      </c>
      <c r="AT298" s="125">
        <f t="shared" si="41"/>
        <v>-49255.052000000003</v>
      </c>
      <c r="AU298" s="125">
        <f>AH298*Valores!$C$74</f>
        <v>-12089.876400000001</v>
      </c>
      <c r="AV298" s="125">
        <f>AH298*Valores!$C$75</f>
        <v>-1343.3196</v>
      </c>
      <c r="AW298" s="125">
        <f t="shared" si="45"/>
        <v>385084.95199999999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4242.3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0</v>
      </c>
      <c r="N299" s="125">
        <f t="shared" si="42"/>
        <v>1300.3900000000001</v>
      </c>
      <c r="O299" s="125">
        <f>Valores!$C$7*B299</f>
        <v>1821.12</v>
      </c>
      <c r="P299" s="125">
        <f>ROUND(IF(B299&lt;15,(Valores!$E$5*B299),Valores!$D$5),2)</f>
        <v>1830.1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959.27</v>
      </c>
      <c r="S299" s="125">
        <f>Valores!$C$18*B299</f>
        <v>572.77</v>
      </c>
      <c r="T299" s="125">
        <f t="shared" si="48"/>
        <v>715.96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1748.57</v>
      </c>
      <c r="AA299" s="125">
        <f>IF((Valores!$C$28)*B299&gt;Valores!$F$28,Valores!$F$28,(Valores!$C$28)*B299)</f>
        <v>44.99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37.46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855.75</v>
      </c>
      <c r="AH299" s="125">
        <f t="shared" si="46"/>
        <v>13555.909999999998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-1491.1500999999998</v>
      </c>
      <c r="AO299" s="125">
        <f>AH299*-Valores!$C$72</f>
        <v>0</v>
      </c>
      <c r="AP299" s="125">
        <f>AH299*Valores!$C$73</f>
        <v>-610.01594999999986</v>
      </c>
      <c r="AQ299" s="125">
        <f>Valores!$C$100</f>
        <v>-554.86</v>
      </c>
      <c r="AR299" s="125">
        <f>IF($F$5=0,Valores!$C$101,(Valores!$C$101+$F$5*(Valores!$C$101)))</f>
        <v>-852</v>
      </c>
      <c r="AS299" s="125">
        <f t="shared" si="47"/>
        <v>10047.883949999998</v>
      </c>
      <c r="AT299" s="125">
        <f t="shared" si="41"/>
        <v>-1491.1500999999998</v>
      </c>
      <c r="AU299" s="125">
        <f>AH299*Valores!$C$74</f>
        <v>-366.00956999999994</v>
      </c>
      <c r="AV299" s="125">
        <f>AH299*Valores!$C$75</f>
        <v>-40.667729999999992</v>
      </c>
      <c r="AW299" s="125">
        <f t="shared" si="45"/>
        <v>11658.082599999998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13049.1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3618.82</v>
      </c>
      <c r="O300" s="125">
        <v>0</v>
      </c>
      <c r="P300" s="125">
        <f>ROUND(IF(B300&lt;15,(Valores!$E$5*B300),Valores!$D$5),2)</f>
        <v>3660.2</v>
      </c>
      <c r="Q300" s="125">
        <v>0</v>
      </c>
      <c r="R300" s="125">
        <f>IF($F$4="NO",Valores!C50,Valores!C50/2)</f>
        <v>1426.19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3759.11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1292.4100000000001</v>
      </c>
      <c r="AH300" s="125">
        <f t="shared" si="46"/>
        <v>26805.83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-2948.6413000000002</v>
      </c>
      <c r="AO300" s="125">
        <f>AH300*-Valores!$C$72</f>
        <v>0</v>
      </c>
      <c r="AP300" s="125">
        <f>AH300*Valores!$C$73</f>
        <v>-1206.26235</v>
      </c>
      <c r="AQ300" s="125">
        <f>Valores!$C$100</f>
        <v>-554.86</v>
      </c>
      <c r="AR300" s="125">
        <f>IF($F$5=0,Valores!$C$101,(Valores!$C$101+$F$5*(Valores!$C$101)))</f>
        <v>-852</v>
      </c>
      <c r="AS300" s="125">
        <f t="shared" si="47"/>
        <v>21244.066350000001</v>
      </c>
      <c r="AT300" s="125">
        <f t="shared" si="41"/>
        <v>-2948.6413000000002</v>
      </c>
      <c r="AU300" s="125">
        <f>AH300*Valores!$C$74</f>
        <v>-723.75741000000005</v>
      </c>
      <c r="AV300" s="125">
        <f>AH300*Valores!$C$75</f>
        <v>-80.417490000000001</v>
      </c>
      <c r="AW300" s="125">
        <f t="shared" si="45"/>
        <v>23053.013800000001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650</v>
      </c>
      <c r="B301" s="123">
        <v>1</v>
      </c>
      <c r="C301" s="126">
        <v>294</v>
      </c>
      <c r="D301" s="124" t="s">
        <v>651</v>
      </c>
      <c r="E301" s="194">
        <f>E300/2</f>
        <v>121.5</v>
      </c>
      <c r="F301" s="125">
        <f>ROUND(E301*Valores!$C$2,2)</f>
        <v>6524.55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1809.41</v>
      </c>
      <c r="O301" s="125">
        <v>0</v>
      </c>
      <c r="P301" s="125">
        <f>ROUND(IF(B301&lt;15,(Valores!$E$5*B301),Valores!$D$5),2)</f>
        <v>1830.1</v>
      </c>
      <c r="Q301" s="125">
        <v>0</v>
      </c>
      <c r="R301" s="125">
        <f>IF($F$4="NO",Valores!C51,Valores!C51/2)</f>
        <v>713.1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1879.55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646.21</v>
      </c>
      <c r="AH301" s="125">
        <f t="shared" si="46"/>
        <v>13402.920000000002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-1474.3212000000003</v>
      </c>
      <c r="AO301" s="125">
        <v>0</v>
      </c>
      <c r="AP301" s="125">
        <f>AH301*Valores!$C$73</f>
        <v>-603.1314000000001</v>
      </c>
      <c r="AQ301" s="125">
        <f>Valores!$C$100</f>
        <v>-554.86</v>
      </c>
      <c r="AR301" s="125">
        <f>IF($F$5=0,Valores!$C$101,(Valores!$C$101+$F$5*(Valores!$C$101)))</f>
        <v>-852</v>
      </c>
      <c r="AS301" s="125">
        <f t="shared" si="47"/>
        <v>9918.6074000000008</v>
      </c>
      <c r="AT301" s="125">
        <f>AN301</f>
        <v>-1474.3212000000003</v>
      </c>
      <c r="AU301" s="125">
        <f>AH301*Valores!$C$74</f>
        <v>-361.87884000000003</v>
      </c>
      <c r="AV301" s="125">
        <f>AH301*Valores!$C$75</f>
        <v>-40.208760000000005</v>
      </c>
      <c r="AW301" s="125">
        <f t="shared" si="45"/>
        <v>11526.511200000001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37590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0</v>
      </c>
      <c r="N302" s="125">
        <f t="shared" si="42"/>
        <v>12994.76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14389.05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64973.81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-7147.1190999999999</v>
      </c>
      <c r="AO302" s="125">
        <f>AH302*-Valores!$C$72</f>
        <v>0</v>
      </c>
      <c r="AP302" s="125">
        <f>AH302*Valores!$C$73</f>
        <v>-2923.8214499999999</v>
      </c>
      <c r="AQ302" s="125">
        <v>0</v>
      </c>
      <c r="AR302" s="125">
        <v>0</v>
      </c>
      <c r="AS302" s="125">
        <f t="shared" si="47"/>
        <v>54902.869449999998</v>
      </c>
      <c r="AT302" s="125">
        <f t="shared" si="41"/>
        <v>-7147.1190999999999</v>
      </c>
      <c r="AU302" s="125">
        <f>AH302*Valores!$C$74</f>
        <v>-1754.29287</v>
      </c>
      <c r="AV302" s="125">
        <f>AH302*Valores!$C$75</f>
        <v>-194.92142999999999</v>
      </c>
      <c r="AW302" s="125">
        <f t="shared" si="45"/>
        <v>55877.476599999995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26850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0</v>
      </c>
      <c r="N303" s="125">
        <f t="shared" si="42"/>
        <v>9110.68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9592.7000000000007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45553.380000000005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-5010.8718000000008</v>
      </c>
      <c r="AO303" s="125">
        <f>AH303*-Valores!$C$72</f>
        <v>0</v>
      </c>
      <c r="AP303" s="125">
        <f>AH303*Valores!$C$73</f>
        <v>-2049.9021000000002</v>
      </c>
      <c r="AQ303" s="125">
        <v>0</v>
      </c>
      <c r="AR303" s="125">
        <v>0</v>
      </c>
      <c r="AS303" s="125">
        <f t="shared" si="47"/>
        <v>38492.606100000005</v>
      </c>
      <c r="AT303" s="125">
        <f t="shared" si="41"/>
        <v>-5010.8718000000008</v>
      </c>
      <c r="AU303" s="125">
        <f>AH303*Valores!$C$74</f>
        <v>-1229.9412600000001</v>
      </c>
      <c r="AV303" s="125">
        <f>AH303*Valores!$C$75</f>
        <v>-136.66014000000001</v>
      </c>
      <c r="AW303" s="125">
        <f t="shared" si="45"/>
        <v>39175.906800000004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16110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0</v>
      </c>
      <c r="N304" s="125">
        <f t="shared" si="42"/>
        <v>5226.59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4796.3500000000004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26132.940000000002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-2874.6234000000004</v>
      </c>
      <c r="AO304" s="125">
        <f>AH304*-Valores!$C$72</f>
        <v>0</v>
      </c>
      <c r="AP304" s="125">
        <f>AH304*Valores!$C$73</f>
        <v>-1175.9823000000001</v>
      </c>
      <c r="AQ304" s="125">
        <v>0</v>
      </c>
      <c r="AR304" s="125">
        <v>0</v>
      </c>
      <c r="AS304" s="125">
        <f t="shared" si="47"/>
        <v>22082.334300000002</v>
      </c>
      <c r="AT304" s="125">
        <f t="shared" si="41"/>
        <v>-2874.6234000000004</v>
      </c>
      <c r="AU304" s="125">
        <f>AH304*Valores!$C$74</f>
        <v>-705.58938000000001</v>
      </c>
      <c r="AV304" s="125">
        <f>AH304*Valores!$C$75</f>
        <v>-78.398820000000015</v>
      </c>
      <c r="AW304" s="125">
        <f t="shared" si="45"/>
        <v>22474.328400000002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8323.5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0</v>
      </c>
      <c r="N305" s="125">
        <f t="shared" si="42"/>
        <v>2320.69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959.27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11603.460000000001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-1276.3806000000002</v>
      </c>
      <c r="AO305" s="125">
        <f>AH305*-Valores!$C$72</f>
        <v>0</v>
      </c>
      <c r="AP305" s="125">
        <f>AH305*Valores!$C$73</f>
        <v>-522.15570000000002</v>
      </c>
      <c r="AQ305" s="125">
        <v>0</v>
      </c>
      <c r="AR305" s="125">
        <v>0</v>
      </c>
      <c r="AS305" s="125">
        <f t="shared" si="47"/>
        <v>9804.9237000000012</v>
      </c>
      <c r="AT305" s="125">
        <f t="shared" si="41"/>
        <v>-1276.3806000000002</v>
      </c>
      <c r="AU305" s="125">
        <f>AH305*Valores!$C$74</f>
        <v>-313.29342000000003</v>
      </c>
      <c r="AV305" s="125">
        <f>AH305*Valores!$C$75</f>
        <v>-34.810380000000002</v>
      </c>
      <c r="AW305" s="125">
        <f t="shared" si="45"/>
        <v>9978.9756000000016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16647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0</v>
      </c>
      <c r="N306" s="125">
        <f t="shared" si="42"/>
        <v>4641.3900000000003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1918.54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23206.93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-2552.7622999999999</v>
      </c>
      <c r="AO306" s="125">
        <f>AH306*-Valores!$C$72</f>
        <v>0</v>
      </c>
      <c r="AP306" s="125">
        <f>AH306*Valores!$C$73</f>
        <v>-1044.31185</v>
      </c>
      <c r="AQ306" s="125">
        <v>0</v>
      </c>
      <c r="AR306" s="125">
        <v>0</v>
      </c>
      <c r="AS306" s="125">
        <f t="shared" si="47"/>
        <v>19609.85585</v>
      </c>
      <c r="AT306" s="125">
        <f t="shared" si="41"/>
        <v>-2552.7622999999999</v>
      </c>
      <c r="AU306" s="125">
        <f>AH306*Valores!$C$74</f>
        <v>-626.58711000000005</v>
      </c>
      <c r="AV306" s="125">
        <f>AH306*Valores!$C$75</f>
        <v>-69.62079</v>
      </c>
      <c r="AW306" s="125">
        <f t="shared" si="45"/>
        <v>19957.959800000001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24970.5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0</v>
      </c>
      <c r="N307" s="125">
        <f t="shared" si="42"/>
        <v>6962.08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2877.81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34810.39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-3829.1428999999998</v>
      </c>
      <c r="AO307" s="125">
        <f>AH307*-Valores!$C$72</f>
        <v>0</v>
      </c>
      <c r="AP307" s="125">
        <f>AH307*Valores!$C$73</f>
        <v>-1566.4675499999998</v>
      </c>
      <c r="AQ307" s="125">
        <v>0</v>
      </c>
      <c r="AR307" s="125">
        <v>0</v>
      </c>
      <c r="AS307" s="125">
        <f t="shared" si="47"/>
        <v>29414.779549999999</v>
      </c>
      <c r="AT307" s="125">
        <f t="shared" si="41"/>
        <v>-3829.1428999999998</v>
      </c>
      <c r="AU307" s="125">
        <f>AH307*Valores!$C$74</f>
        <v>-939.88053000000002</v>
      </c>
      <c r="AV307" s="125">
        <f>AH307*Valores!$C$75</f>
        <v>-104.43116999999999</v>
      </c>
      <c r="AW307" s="125">
        <f t="shared" si="45"/>
        <v>29936.935399999998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33294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0</v>
      </c>
      <c r="N308" s="125">
        <f t="shared" si="42"/>
        <v>9282.77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3837.08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46413.850000000006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-5105.5235000000002</v>
      </c>
      <c r="AO308" s="125">
        <f>AH308*-Valores!$C$72</f>
        <v>0</v>
      </c>
      <c r="AP308" s="125">
        <f>AH308*Valores!$C$73</f>
        <v>-2088.6232500000001</v>
      </c>
      <c r="AQ308" s="125">
        <v>0</v>
      </c>
      <c r="AR308" s="125">
        <v>0</v>
      </c>
      <c r="AS308" s="125">
        <f t="shared" si="47"/>
        <v>39219.703250000006</v>
      </c>
      <c r="AT308" s="125">
        <f t="shared" si="41"/>
        <v>-5105.5235000000002</v>
      </c>
      <c r="AU308" s="125">
        <f>AH308*Valores!$C$74</f>
        <v>-1253.1739500000001</v>
      </c>
      <c r="AV308" s="125">
        <f>AH308*Valores!$C$75</f>
        <v>-139.24155000000002</v>
      </c>
      <c r="AW308" s="125">
        <f t="shared" si="45"/>
        <v>39915.911000000007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41617.5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0</v>
      </c>
      <c r="N309" s="125">
        <f t="shared" si="42"/>
        <v>11603.46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4796.3500000000004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58017.31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-6381.9040999999997</v>
      </c>
      <c r="AO309" s="125">
        <f>AH309*-Valores!$C$72</f>
        <v>0</v>
      </c>
      <c r="AP309" s="125">
        <f>AH309*Valores!$C$73</f>
        <v>-2610.7789499999999</v>
      </c>
      <c r="AQ309" s="125">
        <v>0</v>
      </c>
      <c r="AR309" s="125">
        <v>0</v>
      </c>
      <c r="AS309" s="125">
        <f t="shared" si="47"/>
        <v>49024.626949999998</v>
      </c>
      <c r="AT309" s="125">
        <f t="shared" si="41"/>
        <v>-6381.9040999999997</v>
      </c>
      <c r="AU309" s="125">
        <f>AH309*Valores!$C$74</f>
        <v>-1566.4673699999998</v>
      </c>
      <c r="AV309" s="125">
        <f>AH309*Valores!$C$75</f>
        <v>-174.05193</v>
      </c>
      <c r="AW309" s="125">
        <f t="shared" si="45"/>
        <v>49894.886599999998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49941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0</v>
      </c>
      <c r="N310" s="125">
        <f t="shared" si="42"/>
        <v>13924.16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5755.62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69620.78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-7658.2857999999997</v>
      </c>
      <c r="AO310" s="125">
        <f>AH310*-Valores!$C$72</f>
        <v>0</v>
      </c>
      <c r="AP310" s="125">
        <f>AH310*Valores!$C$73</f>
        <v>-3132.9350999999997</v>
      </c>
      <c r="AQ310" s="125">
        <v>0</v>
      </c>
      <c r="AR310" s="125">
        <v>0</v>
      </c>
      <c r="AS310" s="125">
        <f t="shared" si="47"/>
        <v>58829.559099999999</v>
      </c>
      <c r="AT310" s="125">
        <f t="shared" si="41"/>
        <v>-7658.2857999999997</v>
      </c>
      <c r="AU310" s="125">
        <f>AH310*Valores!$C$74</f>
        <v>-1879.76106</v>
      </c>
      <c r="AV310" s="125">
        <f>AH310*Valores!$C$75</f>
        <v>-208.86233999999999</v>
      </c>
      <c r="AW310" s="125">
        <f t="shared" si="45"/>
        <v>59873.870799999997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58264.5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0</v>
      </c>
      <c r="N311" s="125">
        <f t="shared" si="42"/>
        <v>16244.85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6714.8899999999994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81224.240000000005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-8934.6664000000001</v>
      </c>
      <c r="AO311" s="125">
        <f>AH311*-Valores!$C$72</f>
        <v>0</v>
      </c>
      <c r="AP311" s="125">
        <f>AH311*Valores!$C$73</f>
        <v>-3655.0907999999999</v>
      </c>
      <c r="AQ311" s="125">
        <v>0</v>
      </c>
      <c r="AR311" s="125">
        <v>0</v>
      </c>
      <c r="AS311" s="125">
        <f t="shared" si="47"/>
        <v>68634.482799999998</v>
      </c>
      <c r="AT311" s="125">
        <f t="shared" si="41"/>
        <v>-8934.6664000000001</v>
      </c>
      <c r="AU311" s="125">
        <f>AH311*Valores!$C$74</f>
        <v>-2193.0544800000002</v>
      </c>
      <c r="AV311" s="125">
        <f>AH311*Valores!$C$75</f>
        <v>-243.67272000000003</v>
      </c>
      <c r="AW311" s="125">
        <f t="shared" si="45"/>
        <v>69852.846400000009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66588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0</v>
      </c>
      <c r="N312" s="125">
        <f t="shared" si="42"/>
        <v>18565.54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7674.16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92827.700000000012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-10211.047</v>
      </c>
      <c r="AO312" s="125">
        <f>AH312*-Valores!$C$72</f>
        <v>0</v>
      </c>
      <c r="AP312" s="125">
        <f>AH312*Valores!$C$73</f>
        <v>-4177.2465000000002</v>
      </c>
      <c r="AQ312" s="125">
        <v>0</v>
      </c>
      <c r="AR312" s="125">
        <v>0</v>
      </c>
      <c r="AS312" s="125">
        <f t="shared" si="47"/>
        <v>78439.406500000012</v>
      </c>
      <c r="AT312" s="125">
        <f t="shared" si="41"/>
        <v>-10211.047</v>
      </c>
      <c r="AU312" s="125">
        <f>AH312*Valores!$C$74</f>
        <v>-2506.3479000000002</v>
      </c>
      <c r="AV312" s="125">
        <f>AH312*Valores!$C$75</f>
        <v>-278.48310000000004</v>
      </c>
      <c r="AW312" s="125">
        <f t="shared" si="45"/>
        <v>79831.822000000015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74911.5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0</v>
      </c>
      <c r="N313" s="125">
        <f t="shared" si="42"/>
        <v>20886.23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8633.43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104431.16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-11487.427600000001</v>
      </c>
      <c r="AO313" s="125">
        <f>AH313*-Valores!$C$72</f>
        <v>0</v>
      </c>
      <c r="AP313" s="125">
        <f>AH313*Valores!$C$73</f>
        <v>-4699.4021999999995</v>
      </c>
      <c r="AQ313" s="125">
        <v>0</v>
      </c>
      <c r="AR313" s="125">
        <v>0</v>
      </c>
      <c r="AS313" s="125">
        <f t="shared" si="47"/>
        <v>88244.330199999997</v>
      </c>
      <c r="AT313" s="125">
        <f t="shared" si="41"/>
        <v>-11487.427600000001</v>
      </c>
      <c r="AU313" s="125">
        <f>AH313*Valores!$C$74</f>
        <v>-2819.6413200000002</v>
      </c>
      <c r="AV313" s="125">
        <f>AH313*Valores!$C$75</f>
        <v>-313.29348000000005</v>
      </c>
      <c r="AW313" s="125">
        <f t="shared" si="45"/>
        <v>89810.797600000005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83235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0</v>
      </c>
      <c r="N314" s="125">
        <f t="shared" si="42"/>
        <v>23206.93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9592.7000000000007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116034.62999999999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-12763.809299999999</v>
      </c>
      <c r="AO314" s="125">
        <f>AH314*-Valores!$C$72</f>
        <v>0</v>
      </c>
      <c r="AP314" s="125">
        <f>AH314*Valores!$C$73</f>
        <v>-5221.5583499999993</v>
      </c>
      <c r="AQ314" s="125">
        <v>0</v>
      </c>
      <c r="AR314" s="125">
        <v>0</v>
      </c>
      <c r="AS314" s="125">
        <f t="shared" si="47"/>
        <v>98049.26234999999</v>
      </c>
      <c r="AT314" s="125">
        <f t="shared" si="41"/>
        <v>-12763.809299999999</v>
      </c>
      <c r="AU314" s="125">
        <f>AH314*Valores!$C$74</f>
        <v>-3132.9350099999997</v>
      </c>
      <c r="AV314" s="125">
        <f>AH314*Valores!$C$75</f>
        <v>-348.10388999999998</v>
      </c>
      <c r="AW314" s="125">
        <f t="shared" si="45"/>
        <v>99789.781799999997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91558.5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0</v>
      </c>
      <c r="N315" s="125">
        <f t="shared" si="42"/>
        <v>25527.62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10551.97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127638.09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-14040.189899999999</v>
      </c>
      <c r="AO315" s="125">
        <f>AH315*-Valores!$C$72</f>
        <v>0</v>
      </c>
      <c r="AP315" s="125">
        <f>AH315*Valores!$C$73</f>
        <v>-5743.7140499999996</v>
      </c>
      <c r="AQ315" s="125">
        <v>0</v>
      </c>
      <c r="AR315" s="125">
        <v>0</v>
      </c>
      <c r="AS315" s="125">
        <f t="shared" si="47"/>
        <v>107854.18604999999</v>
      </c>
      <c r="AT315" s="125">
        <f t="shared" si="41"/>
        <v>-14040.189899999999</v>
      </c>
      <c r="AU315" s="125">
        <f>AH315*Valores!$C$74</f>
        <v>-3446.2284299999997</v>
      </c>
      <c r="AV315" s="125">
        <f>AH315*Valores!$C$75</f>
        <v>-382.91426999999999</v>
      </c>
      <c r="AW315" s="125">
        <f t="shared" si="45"/>
        <v>109768.7574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99882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0</v>
      </c>
      <c r="N316" s="125">
        <f t="shared" si="42"/>
        <v>27848.31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11511.24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139241.54999999999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-15316.570499999998</v>
      </c>
      <c r="AO316" s="125">
        <f>AH316*-Valores!$C$72</f>
        <v>0</v>
      </c>
      <c r="AP316" s="125">
        <f>AH316*Valores!$C$73</f>
        <v>-6265.8697499999989</v>
      </c>
      <c r="AQ316" s="125">
        <v>0</v>
      </c>
      <c r="AR316" s="125">
        <v>0</v>
      </c>
      <c r="AS316" s="125">
        <f t="shared" si="47"/>
        <v>117659.10974999999</v>
      </c>
      <c r="AT316" s="125">
        <f t="shared" si="41"/>
        <v>-15316.570499999998</v>
      </c>
      <c r="AU316" s="125">
        <f>AH316*Valores!$C$74</f>
        <v>-3759.5218499999996</v>
      </c>
      <c r="AV316" s="125">
        <f>AH316*Valores!$C$75</f>
        <v>-417.72465</v>
      </c>
      <c r="AW316" s="125">
        <f t="shared" si="45"/>
        <v>119747.73299999999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108205.5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0</v>
      </c>
      <c r="N317" s="125">
        <f t="shared" si="42"/>
        <v>30169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12470.51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150845.01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-16592.951100000002</v>
      </c>
      <c r="AO317" s="125">
        <f>AH317*-Valores!$C$72</f>
        <v>0</v>
      </c>
      <c r="AP317" s="125">
        <f>AH317*Valores!$C$73</f>
        <v>-6788.0254500000001</v>
      </c>
      <c r="AQ317" s="125">
        <v>0</v>
      </c>
      <c r="AR317" s="125">
        <v>0</v>
      </c>
      <c r="AS317" s="125">
        <f t="shared" si="47"/>
        <v>127464.03345</v>
      </c>
      <c r="AT317" s="125">
        <f t="shared" si="41"/>
        <v>-16592.951100000002</v>
      </c>
      <c r="AU317" s="125">
        <f>AH317*Valores!$C$74</f>
        <v>-4072.8152700000001</v>
      </c>
      <c r="AV317" s="125">
        <f>AH317*Valores!$C$75</f>
        <v>-452.53503000000006</v>
      </c>
      <c r="AW317" s="125">
        <f t="shared" si="45"/>
        <v>129726.70860000001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116529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0</v>
      </c>
      <c r="N318" s="125">
        <f t="shared" si="42"/>
        <v>32489.7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13429.779999999999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162448.48000000001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-17869.3328</v>
      </c>
      <c r="AO318" s="125">
        <f>AH318*-Valores!$C$72</f>
        <v>0</v>
      </c>
      <c r="AP318" s="125">
        <f>AH318*Valores!$C$73</f>
        <v>-7310.1815999999999</v>
      </c>
      <c r="AQ318" s="125">
        <v>0</v>
      </c>
      <c r="AR318" s="125">
        <v>0</v>
      </c>
      <c r="AS318" s="125">
        <f t="shared" si="47"/>
        <v>137268.9656</v>
      </c>
      <c r="AT318" s="125">
        <f t="shared" si="41"/>
        <v>-17869.3328</v>
      </c>
      <c r="AU318" s="125">
        <f>AH318*Valores!$C$74</f>
        <v>-4386.1089600000005</v>
      </c>
      <c r="AV318" s="125">
        <f>AH318*Valores!$C$75</f>
        <v>-487.34544000000005</v>
      </c>
      <c r="AW318" s="125">
        <f t="shared" si="45"/>
        <v>139705.69280000002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124852.5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0</v>
      </c>
      <c r="N319" s="125">
        <f t="shared" si="42"/>
        <v>34810.39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14389.05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174051.94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-19145.713400000001</v>
      </c>
      <c r="AO319" s="125">
        <f>AH319*-Valores!$C$72</f>
        <v>0</v>
      </c>
      <c r="AP319" s="125">
        <f>AH319*Valores!$C$73</f>
        <v>-7832.3373000000001</v>
      </c>
      <c r="AQ319" s="125">
        <v>0</v>
      </c>
      <c r="AR319" s="125">
        <v>0</v>
      </c>
      <c r="AS319" s="125">
        <f t="shared" si="47"/>
        <v>147073.88930000001</v>
      </c>
      <c r="AT319" s="125">
        <f t="shared" si="41"/>
        <v>-19145.713400000001</v>
      </c>
      <c r="AU319" s="125">
        <f>AH319*Valores!$C$74</f>
        <v>-4699.4023800000004</v>
      </c>
      <c r="AV319" s="125">
        <f>AH319*Valores!$C$75</f>
        <v>-522.15582000000006</v>
      </c>
      <c r="AW319" s="125">
        <f t="shared" si="45"/>
        <v>149684.6684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133176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0</v>
      </c>
      <c r="N320" s="125">
        <f t="shared" si="42"/>
        <v>37131.08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15348.32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185655.40000000002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-20422.094000000001</v>
      </c>
      <c r="AO320" s="125">
        <f>AH320*-Valores!$C$72</f>
        <v>0</v>
      </c>
      <c r="AP320" s="125">
        <f>AH320*Valores!$C$73</f>
        <v>-8354.4930000000004</v>
      </c>
      <c r="AQ320" s="125">
        <v>0</v>
      </c>
      <c r="AR320" s="125">
        <v>0</v>
      </c>
      <c r="AS320" s="125">
        <f t="shared" si="47"/>
        <v>156878.81300000002</v>
      </c>
      <c r="AT320" s="125">
        <f t="shared" si="41"/>
        <v>-20422.094000000001</v>
      </c>
      <c r="AU320" s="125">
        <f>AH320*Valores!$C$74</f>
        <v>-5012.6958000000004</v>
      </c>
      <c r="AV320" s="125">
        <f>AH320*Valores!$C$75</f>
        <v>-556.96620000000007</v>
      </c>
      <c r="AW320" s="125">
        <f t="shared" si="45"/>
        <v>159663.64400000003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14767.5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4048.42</v>
      </c>
      <c r="O321" s="125">
        <v>0</v>
      </c>
      <c r="P321" s="125">
        <v>0</v>
      </c>
      <c r="Q321" s="125">
        <v>0</v>
      </c>
      <c r="R321" s="125">
        <f>IF($F$4="NO",Valores!$C$50,Valores!$C$50/2)</f>
        <v>1426.19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3759.11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1292.4100000000001</v>
      </c>
      <c r="AH321" s="125">
        <f t="shared" si="46"/>
        <v>25293.629999999997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-2782.2992999999997</v>
      </c>
      <c r="AO321" s="125">
        <f>AH321*-Valores!$C$72</f>
        <v>0</v>
      </c>
      <c r="AP321" s="125">
        <f>AH321*Valores!$C$73</f>
        <v>-1138.2133499999998</v>
      </c>
      <c r="AQ321" s="125">
        <v>0</v>
      </c>
      <c r="AR321" s="125">
        <v>0</v>
      </c>
      <c r="AS321" s="125">
        <f t="shared" si="47"/>
        <v>21373.117349999997</v>
      </c>
      <c r="AT321" s="125">
        <f t="shared" si="41"/>
        <v>-2782.2992999999997</v>
      </c>
      <c r="AU321" s="125">
        <f>AH321*Valores!$C$74</f>
        <v>-682.92800999999997</v>
      </c>
      <c r="AV321" s="125">
        <f>AH321*Valores!$C$75</f>
        <v>-75.880889999999994</v>
      </c>
      <c r="AW321" s="125">
        <f t="shared" si="45"/>
        <v>21752.521799999999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13156.5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3645.67</v>
      </c>
      <c r="O322" s="125">
        <v>0</v>
      </c>
      <c r="P322" s="125">
        <v>0</v>
      </c>
      <c r="Q322" s="125">
        <v>0</v>
      </c>
      <c r="R322" s="125">
        <f>IF($F$4="NO",Valores!$C$50,Valores!$C$50/2)</f>
        <v>1426.19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3759.11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1292.4100000000001</v>
      </c>
      <c r="AH322" s="125">
        <f t="shared" si="46"/>
        <v>23279.879999999997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-2560.7867999999999</v>
      </c>
      <c r="AO322" s="125">
        <f>AH322*-Valores!$C$72</f>
        <v>0</v>
      </c>
      <c r="AP322" s="125">
        <f>AH322*Valores!$C$73</f>
        <v>-1047.5945999999999</v>
      </c>
      <c r="AQ322" s="125">
        <v>0</v>
      </c>
      <c r="AR322" s="125">
        <v>0</v>
      </c>
      <c r="AS322" s="125">
        <f t="shared" si="47"/>
        <v>19671.498599999999</v>
      </c>
      <c r="AT322" s="125">
        <f t="shared" si="41"/>
        <v>-2560.7867999999999</v>
      </c>
      <c r="AU322" s="125">
        <f>AH322*Valores!$C$74</f>
        <v>-628.55675999999994</v>
      </c>
      <c r="AV322" s="125">
        <f>AH322*Valores!$C$75</f>
        <v>-69.839639999999989</v>
      </c>
      <c r="AW322" s="125">
        <f t="shared" si="45"/>
        <v>20020.696799999998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12780.6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3551.7</v>
      </c>
      <c r="O323" s="125">
        <v>0</v>
      </c>
      <c r="P323" s="125">
        <v>0</v>
      </c>
      <c r="Q323" s="125">
        <v>0</v>
      </c>
      <c r="R323" s="125">
        <f>IF($F$4="NO",Valores!$C$50,Valores!$C$50/2)</f>
        <v>1426.19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3759.11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1292.4100000000001</v>
      </c>
      <c r="AH323" s="125">
        <f t="shared" si="46"/>
        <v>22810.01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-2509.1010999999999</v>
      </c>
      <c r="AO323" s="125">
        <f>AH323*-Valores!$C$72</f>
        <v>0</v>
      </c>
      <c r="AP323" s="125">
        <f>AH323*Valores!$C$73</f>
        <v>-1026.4504499999998</v>
      </c>
      <c r="AQ323" s="125">
        <v>0</v>
      </c>
      <c r="AR323" s="125">
        <v>0</v>
      </c>
      <c r="AS323" s="125">
        <f t="shared" si="47"/>
        <v>19274.458449999998</v>
      </c>
      <c r="AT323" s="125">
        <f t="shared" si="41"/>
        <v>-2509.1010999999999</v>
      </c>
      <c r="AU323" s="125">
        <f>AH323*Valores!$C$74</f>
        <v>-615.87027</v>
      </c>
      <c r="AV323" s="125">
        <f>AH323*Valores!$C$75</f>
        <v>-68.430030000000002</v>
      </c>
      <c r="AW323" s="125">
        <f t="shared" si="45"/>
        <v>19616.6086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13156.5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3645.67</v>
      </c>
      <c r="O324" s="125">
        <v>0</v>
      </c>
      <c r="P324" s="125">
        <v>0</v>
      </c>
      <c r="Q324" s="125">
        <v>0</v>
      </c>
      <c r="R324" s="125">
        <f>IF($F$4="NO",Valores!$C$50,Valores!$C$50/2)</f>
        <v>1426.19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3759.11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1292.4100000000001</v>
      </c>
      <c r="AH324" s="125">
        <f t="shared" si="46"/>
        <v>23279.879999999997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-2560.7867999999999</v>
      </c>
      <c r="AO324" s="125">
        <f>AH324*-Valores!$C$72</f>
        <v>0</v>
      </c>
      <c r="AP324" s="125">
        <f>AH324*Valores!$C$73</f>
        <v>-1047.5945999999999</v>
      </c>
      <c r="AQ324" s="125">
        <v>0</v>
      </c>
      <c r="AR324" s="125">
        <v>0</v>
      </c>
      <c r="AS324" s="125">
        <f t="shared" si="47"/>
        <v>19671.498599999999</v>
      </c>
      <c r="AT324" s="125">
        <f t="shared" si="41"/>
        <v>-2560.7867999999999</v>
      </c>
      <c r="AU324" s="125">
        <f>AH324*Valores!$C$74</f>
        <v>-628.55675999999994</v>
      </c>
      <c r="AV324" s="125">
        <f>AH324*Valores!$C$75</f>
        <v>-69.839639999999989</v>
      </c>
      <c r="AW324" s="125">
        <f t="shared" si="45"/>
        <v>20020.696799999998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13049.1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3618.82</v>
      </c>
      <c r="O325" s="125">
        <v>0</v>
      </c>
      <c r="P325" s="125">
        <v>0</v>
      </c>
      <c r="Q325" s="125">
        <v>0</v>
      </c>
      <c r="R325" s="125">
        <f>IF($F$4="NO",Valores!$C$50,Valores!$C$50/2)</f>
        <v>1426.19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3759.11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1292.4100000000001</v>
      </c>
      <c r="AH325" s="125">
        <f t="shared" si="46"/>
        <v>23145.63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-2546.0192999999999</v>
      </c>
      <c r="AO325" s="125">
        <f>AH325*-Valores!$C$72</f>
        <v>0</v>
      </c>
      <c r="AP325" s="125">
        <f>AH325*Valores!$C$73</f>
        <v>-1041.5533499999999</v>
      </c>
      <c r="AQ325" s="125">
        <v>0</v>
      </c>
      <c r="AR325" s="125">
        <v>0</v>
      </c>
      <c r="AS325" s="125">
        <f t="shared" si="47"/>
        <v>19558.057350000003</v>
      </c>
      <c r="AT325" s="125">
        <f t="shared" si="41"/>
        <v>-2546.0192999999999</v>
      </c>
      <c r="AU325" s="125">
        <f>AH325*Valores!$C$74</f>
        <v>-624.93200999999999</v>
      </c>
      <c r="AV325" s="125">
        <f>AH325*Valores!$C$75</f>
        <v>-69.436890000000005</v>
      </c>
      <c r="AW325" s="125">
        <f t="shared" si="45"/>
        <v>19905.2418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12619.5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3511.42</v>
      </c>
      <c r="O326" s="125">
        <v>0</v>
      </c>
      <c r="P326" s="125">
        <v>0</v>
      </c>
      <c r="Q326" s="125">
        <v>0</v>
      </c>
      <c r="R326" s="125">
        <f>IF($F$4="NO",Valores!$C$50,Valores!$C$50/2)</f>
        <v>1426.19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3759.11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1292.4100000000001</v>
      </c>
      <c r="AH326" s="125">
        <f t="shared" si="46"/>
        <v>22608.63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-2486.9493000000002</v>
      </c>
      <c r="AO326" s="125">
        <f>AH326*-Valores!$C$72</f>
        <v>0</v>
      </c>
      <c r="AP326" s="125">
        <f>AH326*Valores!$C$73</f>
        <v>-1017.3883500000001</v>
      </c>
      <c r="AQ326" s="125">
        <v>0</v>
      </c>
      <c r="AR326" s="125">
        <v>0</v>
      </c>
      <c r="AS326" s="125">
        <f t="shared" si="47"/>
        <v>19104.29235</v>
      </c>
      <c r="AT326" s="125">
        <f>AN326</f>
        <v>-2486.9493000000002</v>
      </c>
      <c r="AU326" s="125">
        <f>AH326*Valores!$C$74</f>
        <v>-610.43300999999997</v>
      </c>
      <c r="AV326" s="125">
        <f>AH326*Valores!$C$75</f>
        <v>-67.825890000000001</v>
      </c>
      <c r="AW326" s="125">
        <f t="shared" si="45"/>
        <v>19443.4218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4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659</v>
      </c>
      <c r="B1" t="s">
        <v>660</v>
      </c>
      <c r="C1" t="s">
        <v>76</v>
      </c>
      <c r="D1" t="s">
        <v>690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651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662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691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686</v>
      </c>
      <c r="B3" s="204" t="s">
        <v>689</v>
      </c>
      <c r="E3" s="206" t="s">
        <v>804</v>
      </c>
      <c r="F3" s="207"/>
      <c r="G3" s="206" t="s">
        <v>805</v>
      </c>
      <c r="H3" s="207"/>
      <c r="I3" s="206" t="s">
        <v>806</v>
      </c>
      <c r="J3" s="207"/>
      <c r="K3" s="206" t="s">
        <v>693</v>
      </c>
    </row>
    <row r="4" spans="1:11" hidden="1" x14ac:dyDescent="0.2">
      <c r="B4" t="s">
        <v>688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686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663</v>
      </c>
      <c r="C6" s="8">
        <v>0</v>
      </c>
      <c r="D6" s="209">
        <f>_xlfn.IFNA(VLOOKUP(E$4,'Escala Docente'!$C$8:$AW$326,4,FALSE),0)</f>
        <v>12726.9</v>
      </c>
      <c r="E6" s="203">
        <f>ROUND(D6*E$1/30,2)</f>
        <v>12726.9</v>
      </c>
      <c r="F6" s="209">
        <f>_xlfn.IFNA(VLOOKUP(G$4,'Escala Docente'!$C$8:$AW$326,4,FALSE),0)</f>
        <v>52142.7</v>
      </c>
      <c r="G6" s="203">
        <f>ROUND(F6*G$1/30,2)</f>
        <v>52142.7</v>
      </c>
      <c r="H6" s="209">
        <f>_xlfn.IFNA(VLOOKUP(I$4,'Escala Docente'!$C$8:$AW$326,4,FALSE),0)</f>
        <v>133176</v>
      </c>
      <c r="I6" s="203">
        <f>ROUND(H6*I$1/30,2)</f>
        <v>133176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664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665</v>
      </c>
      <c r="C8" s="8">
        <f>Valores!F96</f>
        <v>75182.289999999994</v>
      </c>
      <c r="D8" s="209">
        <f>_xlfn.IFNA(VLOOKUP(E$4,'Escala Docente'!$C$8:$AW$326,24,FALSE),0)</f>
        <v>5245.71</v>
      </c>
      <c r="E8" s="203">
        <f>IF((ROUND(D8*E$1/30,2)+(ROUND(F8*$G$1/30,2))+ROUND(H8*$I$1/30,2)+ROUND(J8*$K$1/30,2))&gt;C8,C8,(ROUND(D8*E$1/30,2)+ROUND(F8*$G$1/30,2)+ROUND(H8*$I$1/30,2)+ROUND(J8*$K$1/30,2)))</f>
        <v>42836.85</v>
      </c>
      <c r="F8" s="209">
        <f>_xlfn.IFNA(VLOOKUP(G$4,'Escala Docente'!$C$8:$AW$326,24,FALSE),0)</f>
        <v>37591.14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666</v>
      </c>
      <c r="C9" s="8">
        <v>0</v>
      </c>
      <c r="D9" s="209">
        <f>_xlfn.IFNA(VLOOKUP(E$4,'Escala Docente'!$C$8:$AW$326,13,FALSE),0)</f>
        <v>5463.36</v>
      </c>
      <c r="E9" s="203">
        <f>ROUND(D9*E$1/30,2)</f>
        <v>5463.36</v>
      </c>
      <c r="F9" s="209">
        <f>_xlfn.IFNA(VLOOKUP(G$4,'Escala Docente'!$C$8:$AW$326,13,FALSE),0)</f>
        <v>46403.78</v>
      </c>
      <c r="G9" s="203">
        <f>ROUND(F9*G$1/30,2)</f>
        <v>46403.78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667</v>
      </c>
      <c r="C10" s="8">
        <f>IF('Escala Docente'!$F$4="NO",Valores!F46,Valores!F46/2)</f>
        <v>33337.56</v>
      </c>
      <c r="D10" s="209">
        <f>_xlfn.IFNA(VLOOKUP(E$4,'Escala Docente'!$C$8:$AW$326,16,FALSE),0)</f>
        <v>2877.81</v>
      </c>
      <c r="E10" s="203">
        <f>IF((ROUND(D10*E$1/30,2)+(ROUND(F10*$G$1/30,2))+ROUND(H10*$I$1/30,2)+ROUND(J10*$K$1/30,2))&gt;C10,C10,(ROUND(D10*E$1/30,2)+ROUND(F10*$G$1/30,2)+ROUND(H10*$I$1/30,2)+ROUND(J10*$K$1/30,2)))</f>
        <v>33337.56</v>
      </c>
      <c r="F10" s="209">
        <f>_xlfn.IFNA(VLOOKUP(G$4,'Escala Docente'!$C$8:$AW$326,16,FALSE),0)</f>
        <v>17995.759999999998</v>
      </c>
      <c r="G10" s="203">
        <f>IF($E10&gt;0,0,ROUND($F10*G$1/30,2))</f>
        <v>0</v>
      </c>
      <c r="H10" s="209">
        <f>_xlfn.IFNA(VLOOKUP(I$4,'Escala Docente'!$C$8:$AW$326,16,FALSE),0)</f>
        <v>15348.32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668</v>
      </c>
      <c r="C11" s="8">
        <f>Valores!F26</f>
        <v>1122.78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669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681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22794.65</v>
      </c>
      <c r="G13" s="203">
        <f>ROUND(F13*G$1/30,2)</f>
        <v>22794.65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670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671</v>
      </c>
      <c r="C15" s="8">
        <f>Valores!D5</f>
        <v>27451.439999999999</v>
      </c>
      <c r="D15" s="209">
        <f>_xlfn.IFNA(VLOOKUP(E$4,'Escala Docente'!$C$8:$AW$326,14,FALSE),0)</f>
        <v>5490.3</v>
      </c>
      <c r="E15" s="203">
        <f>IF((ROUND(D15*E$1/30,2)+(ROUND(F15*$G$1/30,2))+ROUND(H15*$I$1/30,2)+ROUND(J15*$K$1/30,2))&gt;C15,C15,(ROUND(D15*E$1/30,2)+ROUND(F15*$G$1/30,2)+ROUND(H15*$I$1/30,2)+ROUND(J15*$K$1/30,2)))</f>
        <v>27451.439999999999</v>
      </c>
      <c r="F15" s="209">
        <f>_xlfn.IFNA(VLOOKUP(G$4,'Escala Docente'!$C$8:$AW$326,14,FALSE),0)</f>
        <v>27451.439999999999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672</v>
      </c>
      <c r="C16" s="8">
        <f>Valores!F25</f>
        <v>1685.1000000000001</v>
      </c>
      <c r="D16" s="209">
        <f>_xlfn.IFNA(VLOOKUP(E$4,'Escala Docente'!$C$8:$AW$326,25,FALSE),0)</f>
        <v>134.97</v>
      </c>
      <c r="E16" s="203">
        <f>ROUND(D16*E$1/30,2)</f>
        <v>134.97</v>
      </c>
      <c r="F16" s="209">
        <f>_xlfn.IFNA(VLOOKUP(G$4,'Escala Docente'!$C$8:$AW$326,25,FALSE),0)</f>
        <v>1122.78</v>
      </c>
      <c r="G16" s="203">
        <f>IF(E16&gt;=C16,0,IF((F16*G$1/30)&gt;(E16-C16),F16*G$1/30,E16-C16))</f>
        <v>1122.78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685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684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673</v>
      </c>
      <c r="B19" s="102"/>
      <c r="C19" s="8">
        <v>0</v>
      </c>
      <c r="D19" s="209">
        <f>_xlfn.IFNA(VLOOKUP(E$4,'Escala Docente'!$C$8:$AW$326,12,FALSE),0)</f>
        <v>3901.18</v>
      </c>
      <c r="E19" s="203">
        <f>ROUND(E6+E12+E18+E10+E17,2)*'Escala Docente'!$H$2</f>
        <v>11516.115</v>
      </c>
      <c r="F19" s="209">
        <f>_xlfn.IFNA(VLOOKUP(G$4,'Escala Docente'!$C$8:$AW$326,12,FALSE),0)</f>
        <v>17534.62</v>
      </c>
      <c r="G19" s="203">
        <f>ROUND(G6+G12+G18+G10+G17,2)*'Escala Docente'!$H$2</f>
        <v>13035.674999999999</v>
      </c>
      <c r="H19" s="209">
        <f>_xlfn.IFNA(VLOOKUP(I$4,'Escala Docente'!$C$8:$AW$326,12,FALSE),0)</f>
        <v>37131.08</v>
      </c>
      <c r="I19" s="203">
        <f>ROUND(I6+I12+I18+I10+I17,2)*'Escala Docente'!$H$2</f>
        <v>33294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680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674</v>
      </c>
      <c r="C21" s="8">
        <v>0</v>
      </c>
      <c r="D21" s="209">
        <f>_xlfn.IFNA(VLOOKUP(E$4,'Escala Docente'!$C$8:$AW$326,18,FALSE),0)</f>
        <v>2147.89</v>
      </c>
      <c r="E21" s="203">
        <f>ROUND(D21*E$1/30,2)</f>
        <v>2147.89</v>
      </c>
      <c r="F21" s="209">
        <f>_xlfn.IFNA(VLOOKUP(G$4,'Escala Docente'!$C$8:$AW$326,18,FALSE),0)</f>
        <v>31930</v>
      </c>
      <c r="G21" s="203">
        <f>ROUND(F21*G$1/30,2)</f>
        <v>31930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678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683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694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675</v>
      </c>
      <c r="C25" s="8">
        <f>IF('Escala Docente'!$F$4="NO",Valores!F63,Valores!F63/2)</f>
        <v>25672.6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676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677</v>
      </c>
      <c r="C27" s="8" t="e">
        <f>IF('Escala Docente'!$F$4="NO",Valores!#REF!,Valores!#REF!/2)</f>
        <v>#REF!</v>
      </c>
      <c r="D27" s="209">
        <f>_xlfn.IFNA(VLOOKUP(E$4,'Escala Docente'!$C$8:$AW$326,31,FALSE),0)</f>
        <v>2567.25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12836.3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679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682</v>
      </c>
      <c r="C29" s="8">
        <v>0</v>
      </c>
      <c r="D29" s="209">
        <f>_xlfn.IFNA(VLOOKUP(E$4,'Escala Docente'!$C$8:$AW$326,11,FALSE),0)</f>
        <v>0</v>
      </c>
      <c r="E29" s="210">
        <f>ROUND(IF('Escala Docente'!$H$2=0,IF(AND(MID(E$3,1,5)&lt;&gt;"13930",MID(E$3,1,5)&lt;&gt;"13940"),(SUM(E6+E12+E14+E18+E10+E17+E21)*Valores!$C$4),0),0),2)</f>
        <v>0</v>
      </c>
      <c r="F29" s="209">
        <f>_xlfn.IFNA(VLOOKUP(G$4,'Escala Docente'!$C$8:$AW$326,11,FALSE),0)</f>
        <v>0</v>
      </c>
      <c r="G29" s="210">
        <f>ROUND(IF('Escala Docente'!$H$2=0,IF(AND(MID(G$3,1,5)&lt;&gt;"13930",MID(G$3,1,5)&lt;&gt;"13940"),(SUM(G6+G12+G14+G18+G10+G17+G21)*Valores!$C$4),0),0),2)</f>
        <v>0</v>
      </c>
      <c r="H29" s="209">
        <f>_xlfn.IFNA(VLOOKUP(I$4,'Escala Docente'!$C$8:$AW$326,11,FALSE),0)</f>
        <v>0</v>
      </c>
      <c r="I29" s="210">
        <f>ROUND(IF('Escala Docente'!$H$2=0,IF(AND(MID(I$3,1,5)&lt;&gt;"13930",MID(I$3,1,5)&lt;&gt;"13940"),(SUM(I6+I12+I14+I18+I10+I17+I21)*Valores!$C$4),0),0),2)</f>
        <v>0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5" t="str">
        <f ca="1">MID(CELL("FILENAME",L41),FIND("[",CELL("FILENAME",L41))+1,FIND("]",CELL("FILENAME",L41))-FIND("[",CELL("FILENAME",L41))-1)</f>
        <v>Esc Doc 2023 09 Cba V 1 1.xlsx</v>
      </c>
      <c r="B1" s="235"/>
      <c r="C1" s="235"/>
      <c r="D1" s="235"/>
      <c r="E1" s="235"/>
      <c r="F1" s="235"/>
      <c r="G1" s="235"/>
      <c r="H1" s="235"/>
      <c r="I1" s="235"/>
      <c r="J1" s="23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6" t="s">
        <v>49</v>
      </c>
      <c r="B2" s="236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7" t="s">
        <v>501</v>
      </c>
      <c r="R3" s="237"/>
      <c r="S3" s="237"/>
      <c r="T3" s="238" t="s">
        <v>502</v>
      </c>
      <c r="U3" s="238"/>
      <c r="V3" s="238"/>
      <c r="W3" s="238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2023-04-02T21:02:07Z</cp:lastPrinted>
  <dcterms:created xsi:type="dcterms:W3CDTF">2005-08-10T23:49:01Z</dcterms:created>
  <dcterms:modified xsi:type="dcterms:W3CDTF">2023-09-28T19:27:12Z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