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22800" windowWidth="20490" windowHeight="7620" tabRatio="501" firstSheet="1" activeTab="1"/>
  </bookViews>
  <sheets>
    <sheet name="Valores" sheetId="1" state="hidden" r:id="rId1"/>
    <sheet name="Escala Docente" sheetId="2" r:id="rId2"/>
    <sheet name="Hoja2" sheetId="5" state="hidden" r:id="rId3"/>
    <sheet name="Liquidación" sheetId="4" state="hidden" r:id="rId4"/>
    <sheet name="UPC" sheetId="3" state="hidden" r:id="rId5"/>
  </sheets>
  <definedNames>
    <definedName name="_xlnm._FilterDatabase" localSheetId="1" hidden="1">'Escala Docente'!$A$7:$AZ$326</definedName>
    <definedName name="_xlnm._FilterDatabase" localSheetId="2" hidden="1">'Hoja2'!$C$1:$D$321</definedName>
    <definedName name="_xlnm._FilterDatabase" localSheetId="3" hidden="1">'Liquidación'!$A$5:$G$29</definedName>
    <definedName name="_xlnm._FilterDatabase" localSheetId="4" hidden="1">'UPC'!$A$5:$K$37</definedName>
    <definedName name="_xlnm._FilterDatabase" localSheetId="0" hidden="1">'Valores'!$A$1:$J$102</definedName>
    <definedName name="_xlnm.Print_Area" localSheetId="1">'Escala Docente'!$A$1:$AL$326</definedName>
    <definedName name="_xlnm.Print_Area" localSheetId="4">'UPC'!$A$2:$J$37</definedName>
    <definedName name="_xlnm.Print_Area" localSheetId="0">'Valores'!$A$1:$G$89</definedName>
    <definedName name="wrn.Planilla._.de._.Sueldos._.Docentes." localSheetId="1">{#N/A,#N/A,TRUE,"CARGOS"}</definedName>
    <definedName name="wrn.Planilla._.de._.Sueldos._.Docentes.">{#N/A,#N/A,TRUE,"CARGOS"}</definedName>
    <definedName name="_xlnm.Print_Titles" localSheetId="1">'Escala Docente'!$A:$D,'Escala Docente'!$6:$7</definedName>
  </definedNames>
  <calcPr calcId="162913"/>
</workbook>
</file>

<file path=xl/sharedStrings.xml><?xml version="1.0" encoding="utf-8"?>
<sst xmlns="http://schemas.openxmlformats.org/spreadsheetml/2006/main" count="1607" uniqueCount="819">
  <si>
    <t>CONTROL</t>
  </si>
  <si>
    <t>TOPE</t>
  </si>
  <si>
    <t>Años</t>
  </si>
  <si>
    <t>Porcentaje</t>
  </si>
  <si>
    <t>SI</t>
  </si>
  <si>
    <t>Valor del Punto</t>
  </si>
  <si>
    <t>Bon. Por Minoridad</t>
  </si>
  <si>
    <t>Estado Docente %</t>
  </si>
  <si>
    <t>NO</t>
  </si>
  <si>
    <t>Ad Rem Hs</t>
  </si>
  <si>
    <t>Adic Rem Cgo 1 DIRECTOR CORO</t>
  </si>
  <si>
    <t>Adic Rem Cgo 2 DIR ENS SUP</t>
  </si>
  <si>
    <t>Adic Rem Cgo 5 SUPERV</t>
  </si>
  <si>
    <t>Adic Rem Cgo 6 ASESOR TECNICO</t>
  </si>
  <si>
    <t>Adic Rem Cgo 7 SECR DOCENTE</t>
  </si>
  <si>
    <t>Prom hs</t>
  </si>
  <si>
    <t>ARD Cgo</t>
  </si>
  <si>
    <t>NARD Cgo</t>
  </si>
  <si>
    <t>Ad. Rem. Doc HS</t>
  </si>
  <si>
    <t>Nvo Ad. Rem Doc HS</t>
  </si>
  <si>
    <t>Corr pauta FONID CGO</t>
  </si>
  <si>
    <t>Corr pauta FONID HS</t>
  </si>
  <si>
    <t>Ad. Extr</t>
  </si>
  <si>
    <t>Gto. Inh. Lab. Doc hs</t>
  </si>
  <si>
    <t>Gto. Inh. Lab. Doc 930</t>
  </si>
  <si>
    <t>Fonid hs</t>
  </si>
  <si>
    <t>Fonid cgos</t>
  </si>
  <si>
    <t>Adelanto Fonid cgos 01</t>
  </si>
  <si>
    <t>Adelanto Fonid cgos 02</t>
  </si>
  <si>
    <t>Adelanto Fonid cgos 03</t>
  </si>
  <si>
    <t>Adelanto Fonid cgos 04</t>
  </si>
  <si>
    <t>Adelanto Fonid cgos 05</t>
  </si>
  <si>
    <t>Adelanto Fonid cgos 06</t>
  </si>
  <si>
    <t>Adelanto Fonid HS 900</t>
  </si>
  <si>
    <t>Adelanto Fonid HS 910</t>
  </si>
  <si>
    <t>Ap Mat Did Rem. 930</t>
  </si>
  <si>
    <t>Correccion Pauta Salarial</t>
  </si>
  <si>
    <t xml:space="preserve">Aporte Jubil </t>
  </si>
  <si>
    <t>Aporte Jubil Compl</t>
  </si>
  <si>
    <t>Aporte APROSS</t>
  </si>
  <si>
    <t>Aporte DIPE</t>
  </si>
  <si>
    <t>Aporte DIPE ANSSAL</t>
  </si>
  <si>
    <t>Contr Patr Jub</t>
  </si>
  <si>
    <t>Contr Patr Jub Compl</t>
  </si>
  <si>
    <t>Contr Patr Adicional</t>
  </si>
  <si>
    <t>Contr Patr APROSS</t>
  </si>
  <si>
    <t>Contr Patr DIPE ANSSAL</t>
  </si>
  <si>
    <t>Contr Patr OS DIPE</t>
  </si>
  <si>
    <t>Fondo</t>
  </si>
  <si>
    <t>ANTIGÜEDAD (EN AÑOS)</t>
  </si>
  <si>
    <t>Valor Punto:$</t>
  </si>
  <si>
    <t>COBRA ADEL INC DOC (SI/NO)</t>
  </si>
  <si>
    <t xml:space="preserve">Basico </t>
  </si>
  <si>
    <t>Ded. Funcional</t>
  </si>
  <si>
    <t>Ded. Excl.</t>
  </si>
  <si>
    <t>Compl. Esp.</t>
  </si>
  <si>
    <t>Compl. Inicial</t>
  </si>
  <si>
    <t>Antig</t>
  </si>
  <si>
    <t xml:space="preserve">Ad. Rem </t>
  </si>
  <si>
    <t>Supl. Cap.</t>
  </si>
  <si>
    <t>P.Cal Ed.</t>
  </si>
  <si>
    <t>Func. Jer</t>
  </si>
  <si>
    <t>Pr.Jor Func.</t>
  </si>
  <si>
    <t>Pr.Jor Pts.</t>
  </si>
  <si>
    <t>Bon Minor.</t>
  </si>
  <si>
    <t>Zona</t>
  </si>
  <si>
    <t>Fun. Dif</t>
  </si>
  <si>
    <t>Total Rem</t>
  </si>
  <si>
    <t>Total No Rem</t>
  </si>
  <si>
    <t>Ap Pers Jub</t>
  </si>
  <si>
    <t>Ap Pers Jub Compl</t>
  </si>
  <si>
    <t>APROSS</t>
  </si>
  <si>
    <t>LIQUIDO C/ OS APROSS</t>
  </si>
  <si>
    <t>HS FONID</t>
  </si>
  <si>
    <t>HS SEM</t>
  </si>
  <si>
    <t>LIQ PN</t>
  </si>
  <si>
    <t>CGO</t>
  </si>
  <si>
    <t>DENOMINACION</t>
  </si>
  <si>
    <t>P001</t>
  </si>
  <si>
    <t>C100003</t>
  </si>
  <si>
    <t>P1723</t>
  </si>
  <si>
    <t>C117230</t>
  </si>
  <si>
    <t>P1763</t>
  </si>
  <si>
    <t>C117630</t>
  </si>
  <si>
    <t>P1821</t>
  </si>
  <si>
    <t>C118210</t>
  </si>
  <si>
    <t>C130300</t>
  </si>
  <si>
    <t>C118360</t>
  </si>
  <si>
    <t>C110230</t>
  </si>
  <si>
    <t>C117730</t>
  </si>
  <si>
    <t>C117430</t>
  </si>
  <si>
    <t>C112620</t>
  </si>
  <si>
    <t>C118420</t>
  </si>
  <si>
    <t>C117930</t>
  </si>
  <si>
    <t>C117830</t>
  </si>
  <si>
    <t>P1803</t>
  </si>
  <si>
    <t>C118030</t>
  </si>
  <si>
    <t>C118510</t>
  </si>
  <si>
    <t>C 117900</t>
  </si>
  <si>
    <t>C118460</t>
  </si>
  <si>
    <t>C114200</t>
  </si>
  <si>
    <t>P1839</t>
  </si>
  <si>
    <t>C118390</t>
  </si>
  <si>
    <t>C120170</t>
  </si>
  <si>
    <t>TR</t>
  </si>
  <si>
    <t>C130030</t>
  </si>
  <si>
    <t>TNR</t>
  </si>
  <si>
    <t>C660060</t>
  </si>
  <si>
    <t>C660070</t>
  </si>
  <si>
    <t>C660300</t>
  </si>
  <si>
    <t>13-001</t>
  </si>
  <si>
    <t>Director D.E.M.E.S.</t>
  </si>
  <si>
    <t>13-002</t>
  </si>
  <si>
    <t>Director D.N.I.P.y P</t>
  </si>
  <si>
    <t>13-003</t>
  </si>
  <si>
    <t>Asesor Técnico</t>
  </si>
  <si>
    <t>13-004</t>
  </si>
  <si>
    <t>Director D.I.I.E.</t>
  </si>
  <si>
    <t>13-005</t>
  </si>
  <si>
    <t>Director D.I.P.E.</t>
  </si>
  <si>
    <t>13-006</t>
  </si>
  <si>
    <t>Director D.A.E.I.</t>
  </si>
  <si>
    <t>13-007</t>
  </si>
  <si>
    <t>Director D.E.A</t>
  </si>
  <si>
    <t>13-009</t>
  </si>
  <si>
    <t>Director D.E.F.</t>
  </si>
  <si>
    <t>13-010</t>
  </si>
  <si>
    <t>Subdirector D.I.I.E.</t>
  </si>
  <si>
    <t>13-011</t>
  </si>
  <si>
    <t>Subdirector D.E.M.E.S.</t>
  </si>
  <si>
    <t>13-012</t>
  </si>
  <si>
    <t>Subdirector Perfecc. Educativo</t>
  </si>
  <si>
    <t>13-013</t>
  </si>
  <si>
    <t>Subdirector D.N.I.P.y P.</t>
  </si>
  <si>
    <t>13-014</t>
  </si>
  <si>
    <t>Subdirector D.I.P.E.</t>
  </si>
  <si>
    <t>13-015</t>
  </si>
  <si>
    <t>Inspector Gral. D.N.I.P. y P.</t>
  </si>
  <si>
    <t>13-016</t>
  </si>
  <si>
    <t>Subdirector D.A.E.I.</t>
  </si>
  <si>
    <t>13-017</t>
  </si>
  <si>
    <t>Subdirector D.E.F.</t>
  </si>
  <si>
    <t>13-018</t>
  </si>
  <si>
    <t>Subdirector D.E.A.</t>
  </si>
  <si>
    <t>13-019</t>
  </si>
  <si>
    <t>Inspector Gral.D.E.M.E.S.</t>
  </si>
  <si>
    <t>13-020</t>
  </si>
  <si>
    <t xml:space="preserve">Inspector Gral. De Adultos </t>
  </si>
  <si>
    <t>13-021</t>
  </si>
  <si>
    <t>Inspector Gral. D.I.P.E.</t>
  </si>
  <si>
    <t>13-023</t>
  </si>
  <si>
    <t>Inspector Gral. D.E.F.</t>
  </si>
  <si>
    <t>13-024</t>
  </si>
  <si>
    <t>Subinspector Gral. D.E.M.E.S.</t>
  </si>
  <si>
    <t>13-025</t>
  </si>
  <si>
    <t>Subinspector Gral. D.E.F.</t>
  </si>
  <si>
    <t>13-030</t>
  </si>
  <si>
    <t>Subinspector Gral. D.N.I.P. y P.</t>
  </si>
  <si>
    <t>13-035</t>
  </si>
  <si>
    <t>Inspector Gral. Instituto del Menor</t>
  </si>
  <si>
    <t>13-040</t>
  </si>
  <si>
    <t>Inspector D.E.M.E.S.</t>
  </si>
  <si>
    <t>13-041</t>
  </si>
  <si>
    <t>Inspector de Jovenes y Adultos</t>
  </si>
  <si>
    <t>13-045</t>
  </si>
  <si>
    <t>Inspector D.E.F.</t>
  </si>
  <si>
    <t>13-050</t>
  </si>
  <si>
    <t>Inspector Educación Complem.</t>
  </si>
  <si>
    <t>13-055</t>
  </si>
  <si>
    <t>Inspector Instituto del Menor</t>
  </si>
  <si>
    <t>13-060</t>
  </si>
  <si>
    <t>Jefe Departamento Nutrición</t>
  </si>
  <si>
    <t>13-065</t>
  </si>
  <si>
    <t>Inspector D.N.I.P.y P.</t>
  </si>
  <si>
    <t>13-070</t>
  </si>
  <si>
    <t>Supervisor Enseñanza Religiosa</t>
  </si>
  <si>
    <t>13-080</t>
  </si>
  <si>
    <t>Jefe Departamento Planeamiento</t>
  </si>
  <si>
    <t>13-085</t>
  </si>
  <si>
    <t>13-090</t>
  </si>
  <si>
    <t>Analista Mayor Planeamiento</t>
  </si>
  <si>
    <t>13-095</t>
  </si>
  <si>
    <t>Analista Principal Planeamiento</t>
  </si>
  <si>
    <t>13-100</t>
  </si>
  <si>
    <t>Presidente Junta Clas. Primaria</t>
  </si>
  <si>
    <t>13-101</t>
  </si>
  <si>
    <t>Vocal Junta Clas. Primaria</t>
  </si>
  <si>
    <t>13-102</t>
  </si>
  <si>
    <t>Miembro Vocal de Junta D.E.M.E.S.</t>
  </si>
  <si>
    <t>13-105</t>
  </si>
  <si>
    <t>Director de 1ª Enseñanza Superior</t>
  </si>
  <si>
    <t>13-110</t>
  </si>
  <si>
    <t>Director de 2ª Enseñanza Superior</t>
  </si>
  <si>
    <t>13-115</t>
  </si>
  <si>
    <t>Vicedirector de Enseñ. Superior</t>
  </si>
  <si>
    <t>13-120</t>
  </si>
  <si>
    <t>Regente de Enseñ. Superior</t>
  </si>
  <si>
    <t>13-140</t>
  </si>
  <si>
    <t>Director de 1ª Ens. Media J. Comp</t>
  </si>
  <si>
    <t>13-143</t>
  </si>
  <si>
    <t>Director de 2ª Ens. Media J. Comp</t>
  </si>
  <si>
    <t>13-145</t>
  </si>
  <si>
    <t>Director de 3ª Ens. Media J. Comp</t>
  </si>
  <si>
    <t>13-150</t>
  </si>
  <si>
    <t>Director de 1ª Ens. Media</t>
  </si>
  <si>
    <t>13-153</t>
  </si>
  <si>
    <t>Director de 1ª Ens. Especial</t>
  </si>
  <si>
    <t>13-155</t>
  </si>
  <si>
    <t>Director de 2ª Ens. Media</t>
  </si>
  <si>
    <t>13-157</t>
  </si>
  <si>
    <t>Director de 2ª Ens. Especial</t>
  </si>
  <si>
    <t>13-160</t>
  </si>
  <si>
    <t>Director de 3ª Ens. Media</t>
  </si>
  <si>
    <t>13-163</t>
  </si>
  <si>
    <t>Director de 3ª Ens. Especial</t>
  </si>
  <si>
    <t>13-164</t>
  </si>
  <si>
    <t>Vicedirector Ens. Media J. Compl.</t>
  </si>
  <si>
    <t>13-165</t>
  </si>
  <si>
    <t>Vicedirector de 1ª  Ens. Media</t>
  </si>
  <si>
    <t>13-167</t>
  </si>
  <si>
    <t>Vicedirector de 1ª  Ens. Especial</t>
  </si>
  <si>
    <t>13-170</t>
  </si>
  <si>
    <t>Vicedirector de 2ª  Ens. Media</t>
  </si>
  <si>
    <t>13-173</t>
  </si>
  <si>
    <t>Vicedirector de 2ª  Ens. Especial</t>
  </si>
  <si>
    <t>13-175</t>
  </si>
  <si>
    <t>Vicedirector de 3ª  Ens. Media</t>
  </si>
  <si>
    <t>13-178</t>
  </si>
  <si>
    <t>Vicedirector de 3ª  Ens. Especial</t>
  </si>
  <si>
    <t>13-179</t>
  </si>
  <si>
    <t>Asesor Pedagógico Proyecto 13</t>
  </si>
  <si>
    <t>13-180</t>
  </si>
  <si>
    <t>Regente de 1ª Ens. Media</t>
  </si>
  <si>
    <t>13-181</t>
  </si>
  <si>
    <t>Regente de 1ª Ens. Media J. Com.</t>
  </si>
  <si>
    <t>13-183</t>
  </si>
  <si>
    <t>Regente de 1ª Ens. Primaria</t>
  </si>
  <si>
    <t>13-184</t>
  </si>
  <si>
    <t>Regente de 2ª Ens. Media J. Com.</t>
  </si>
  <si>
    <t>13-185</t>
  </si>
  <si>
    <t>Regente Educación Artística</t>
  </si>
  <si>
    <t>13-186</t>
  </si>
  <si>
    <t>Regente de 3ª Ens. Media J. Com.</t>
  </si>
  <si>
    <t>13-187</t>
  </si>
  <si>
    <t>Director de Coro</t>
  </si>
  <si>
    <t>13-188</t>
  </si>
  <si>
    <t>Director de Coro Jornada Reducida</t>
  </si>
  <si>
    <t>13-189</t>
  </si>
  <si>
    <t>Director de Orquesta de Ctro.Educ</t>
  </si>
  <si>
    <t>13-190</t>
  </si>
  <si>
    <t>Jefe Gabinete Psicopedagógico</t>
  </si>
  <si>
    <t>13-195</t>
  </si>
  <si>
    <t>Regente de 2ª Ens. Media</t>
  </si>
  <si>
    <t>13-196</t>
  </si>
  <si>
    <t>Regente de 3ª Ens. Media</t>
  </si>
  <si>
    <t>13-197</t>
  </si>
  <si>
    <t>Regente de 2ª Ens. Primaria</t>
  </si>
  <si>
    <t>13-200</t>
  </si>
  <si>
    <t>Subregente de 1ª Ens. Media</t>
  </si>
  <si>
    <t>13-203</t>
  </si>
  <si>
    <t>Subregente de 1ª Ens. Primaria</t>
  </si>
  <si>
    <t>13-205</t>
  </si>
  <si>
    <t>Jefe Departamento Didáctico</t>
  </si>
  <si>
    <t>13-210</t>
  </si>
  <si>
    <t>Coordinador Curso Ens. Superior</t>
  </si>
  <si>
    <t>13-215</t>
  </si>
  <si>
    <t>Coordinador Curso Ens. Media</t>
  </si>
  <si>
    <t>13-250</t>
  </si>
  <si>
    <t>Director Cantina Base</t>
  </si>
  <si>
    <t>13-255</t>
  </si>
  <si>
    <t>Director de 1ª Ens. Primaria</t>
  </si>
  <si>
    <t>Director de 1ª Ens. Primaria (Jardin Inf)</t>
  </si>
  <si>
    <t>13-260</t>
  </si>
  <si>
    <t>Director de 2ª Ens. Primaria</t>
  </si>
  <si>
    <t>Director de 2ª Ens. Primaria (Jardin Inf)</t>
  </si>
  <si>
    <t>13-265</t>
  </si>
  <si>
    <t>Director de 3ª Ens. Primaria</t>
  </si>
  <si>
    <t>Director de 3ª Ens. Primaria (Jardin Inf)</t>
  </si>
  <si>
    <t>13-270</t>
  </si>
  <si>
    <t>Vicedirector Ens. Primaria</t>
  </si>
  <si>
    <t>13-290</t>
  </si>
  <si>
    <t>Regente Ctro. Educ. Complemen.</t>
  </si>
  <si>
    <t>13-293</t>
  </si>
  <si>
    <t>Dir. 1ª Ctro. Dep. Educ. Física</t>
  </si>
  <si>
    <t>13-294</t>
  </si>
  <si>
    <t>Dir. 2ª Ctro. Dep. Educ. Física</t>
  </si>
  <si>
    <t>13-295</t>
  </si>
  <si>
    <t>Dir. 3ª Ctro. Dep. Educ. Física</t>
  </si>
  <si>
    <t>13-298</t>
  </si>
  <si>
    <t>Coordinador Reg. Educ. Física</t>
  </si>
  <si>
    <t>13-300</t>
  </si>
  <si>
    <t>Vicedirec. de 1ª Ctro.Dep.Ed.F.</t>
  </si>
  <si>
    <t>13-301</t>
  </si>
  <si>
    <t>Vicedirec. de 2ª Ctro.Dep.Ed.F.</t>
  </si>
  <si>
    <t>13-302</t>
  </si>
  <si>
    <t>Vicedirec. de 3ª Ctro.Dep.Ed.F.</t>
  </si>
  <si>
    <t>13-305</t>
  </si>
  <si>
    <t>Secretario (Enseñanza Superior)</t>
  </si>
  <si>
    <t>13-307</t>
  </si>
  <si>
    <t>Prosecr. Docente Ens. Superior</t>
  </si>
  <si>
    <t>13-310</t>
  </si>
  <si>
    <t>Secretario Doc. de 1ª Ens. Media</t>
  </si>
  <si>
    <t>13-315</t>
  </si>
  <si>
    <t>Secretario Doc. de 2ª Ens. Media</t>
  </si>
  <si>
    <t>13-320</t>
  </si>
  <si>
    <t>Secretario Doc. de 3ª Ens. Media</t>
  </si>
  <si>
    <t>13-325</t>
  </si>
  <si>
    <t>Prosecr. Doc. de 1ª Ens. Media</t>
  </si>
  <si>
    <t>13-330</t>
  </si>
  <si>
    <t>Prosecr. Doc. de 2ª Ens. Media</t>
  </si>
  <si>
    <t>13-335</t>
  </si>
  <si>
    <t>Prosecr. Doc. de 3ª Ens. Media</t>
  </si>
  <si>
    <t>13-340</t>
  </si>
  <si>
    <t>Secretario Docente Ens. Especial</t>
  </si>
  <si>
    <t>13-345</t>
  </si>
  <si>
    <t>Prosecr. Docente Ens. Especial</t>
  </si>
  <si>
    <t>13-350</t>
  </si>
  <si>
    <t>Secr. Doc. de 1ª Ens. Primaria</t>
  </si>
  <si>
    <t>13-355</t>
  </si>
  <si>
    <t>Secr. Doc. de 2ª Ens. Primaria</t>
  </si>
  <si>
    <t>13-360</t>
  </si>
  <si>
    <t>Secr. Doc. de 3ª Ens. Primaria</t>
  </si>
  <si>
    <t>13-365</t>
  </si>
  <si>
    <t>Secr. Doc. de 4ª Ens. Primaria</t>
  </si>
  <si>
    <t>13-370</t>
  </si>
  <si>
    <t>Secr. Doc. de 5ª Ens. Primaria</t>
  </si>
  <si>
    <t>13-420</t>
  </si>
  <si>
    <t>Jefe de Internado</t>
  </si>
  <si>
    <t>13-425</t>
  </si>
  <si>
    <t>Jefe Enseñanza Practica de 1ª</t>
  </si>
  <si>
    <t>13-430</t>
  </si>
  <si>
    <t>Jefe Enseñanza Practica de 2ª</t>
  </si>
  <si>
    <t>13-435</t>
  </si>
  <si>
    <t>Jefe Enseñanza Practica de 3ª</t>
  </si>
  <si>
    <t>13-436</t>
  </si>
  <si>
    <t>Instructor Jor. Compl. Agr.</t>
  </si>
  <si>
    <t>13-437</t>
  </si>
  <si>
    <t>Jefe Sección Jorn. Completa</t>
  </si>
  <si>
    <t>13-438</t>
  </si>
  <si>
    <t>Instructor Enfermería</t>
  </si>
  <si>
    <t>13-440</t>
  </si>
  <si>
    <t>Encar.Secc.Gab.Psicop.(Med. y Sup.)</t>
  </si>
  <si>
    <t>13-443</t>
  </si>
  <si>
    <t>Encar.Secc.Gab.Psicop.(Especial)</t>
  </si>
  <si>
    <t>13-444</t>
  </si>
  <si>
    <t>Jefe de Gabinete Psicoped. (Primar.)</t>
  </si>
  <si>
    <t>13-445</t>
  </si>
  <si>
    <t>Ayudante de Gab. Psic. Ens. M y Sup</t>
  </si>
  <si>
    <t>13-447</t>
  </si>
  <si>
    <t>Ayudante de Gab. Psic. Ens. Esp.</t>
  </si>
  <si>
    <t>13-448</t>
  </si>
  <si>
    <t>Ayudante de Gab. Psic. Ens. Prim.</t>
  </si>
  <si>
    <t>13-450</t>
  </si>
  <si>
    <t>Maestro de Grupo Escolar</t>
  </si>
  <si>
    <t>13-455</t>
  </si>
  <si>
    <t>Maestro de Grado Ens. Especial</t>
  </si>
  <si>
    <t>13-457</t>
  </si>
  <si>
    <t>Reeducador Especial</t>
  </si>
  <si>
    <t>13-460</t>
  </si>
  <si>
    <t>Encargado de Taller</t>
  </si>
  <si>
    <t>13-463</t>
  </si>
  <si>
    <t>Jefe de Trabajos Prácticos</t>
  </si>
  <si>
    <t>13-464</t>
  </si>
  <si>
    <t>Jefe de Laboratorio</t>
  </si>
  <si>
    <t>13-465</t>
  </si>
  <si>
    <t>Jefe de Gabinete Contabilidad</t>
  </si>
  <si>
    <t>13-466</t>
  </si>
  <si>
    <t>Jefe de Dpto. Educ. Física</t>
  </si>
  <si>
    <t>13-470</t>
  </si>
  <si>
    <t>Prof. Ctro. Depor. Educ. Física</t>
  </si>
  <si>
    <t>13-472</t>
  </si>
  <si>
    <t>Jefe de Ens. Pract. Ens. Especial</t>
  </si>
  <si>
    <t>13-473</t>
  </si>
  <si>
    <t>Jefe de Sección Ens. Practica</t>
  </si>
  <si>
    <t>13-475</t>
  </si>
  <si>
    <t>Maestra de Grado Ens. Primaria</t>
  </si>
  <si>
    <t>13-477</t>
  </si>
  <si>
    <t>Maestro de D. E. A.</t>
  </si>
  <si>
    <t>13-480</t>
  </si>
  <si>
    <t>Maestro de Jardín de Infantes</t>
  </si>
  <si>
    <t>13-484</t>
  </si>
  <si>
    <t>Maestro Ens. Practica Ens. Esp.</t>
  </si>
  <si>
    <t>13-485</t>
  </si>
  <si>
    <t>Maestro Enseñanza Practica</t>
  </si>
  <si>
    <t>13-486</t>
  </si>
  <si>
    <t>Maestro de Grado Artístico</t>
  </si>
  <si>
    <t>13-487</t>
  </si>
  <si>
    <t>Maestro de Grado Artístico Jorn. Red.</t>
  </si>
  <si>
    <t>13-488</t>
  </si>
  <si>
    <t>Maestro de Grado de Adultos</t>
  </si>
  <si>
    <t>13-490</t>
  </si>
  <si>
    <t>Maestro Cultura General</t>
  </si>
  <si>
    <t>13-495</t>
  </si>
  <si>
    <t>Bibliotecario Jefe</t>
  </si>
  <si>
    <t>13-500</t>
  </si>
  <si>
    <t>Bibliotecario</t>
  </si>
  <si>
    <t>13-505</t>
  </si>
  <si>
    <t>Ayudante Técnico</t>
  </si>
  <si>
    <t>13-507</t>
  </si>
  <si>
    <t>Jefe de Preceptores J. Completa</t>
  </si>
  <si>
    <t>13-510</t>
  </si>
  <si>
    <t>Jefe de Preceptores</t>
  </si>
  <si>
    <t>13-512</t>
  </si>
  <si>
    <t>Subjefe de Preceptores de 1ª</t>
  </si>
  <si>
    <t>13-514</t>
  </si>
  <si>
    <t>Maestro Cultura Rural Dom</t>
  </si>
  <si>
    <t>13-515</t>
  </si>
  <si>
    <t>Maestro Materia Especial</t>
  </si>
  <si>
    <t>Maestro Mat. Esp. - Ex. Cons. Menor</t>
  </si>
  <si>
    <t>13-517</t>
  </si>
  <si>
    <t>Maestro Esp Artística</t>
  </si>
  <si>
    <t>13-520</t>
  </si>
  <si>
    <t>Preceptor</t>
  </si>
  <si>
    <t>Preceptor Escuela de Mod Especial</t>
  </si>
  <si>
    <t>13-700</t>
  </si>
  <si>
    <t>Director de 1ª Inst. del Menor</t>
  </si>
  <si>
    <t>13-705</t>
  </si>
  <si>
    <t>Director de 2ª Inst. del Menor</t>
  </si>
  <si>
    <t>13-710</t>
  </si>
  <si>
    <t>Director de 3ª Inst. del Menor</t>
  </si>
  <si>
    <t>13-715</t>
  </si>
  <si>
    <t>Vicedir de 1ª Instit. del Menor</t>
  </si>
  <si>
    <t>13-720</t>
  </si>
  <si>
    <t>Vicedir de 2ª Instit. del Menor</t>
  </si>
  <si>
    <t>13-725</t>
  </si>
  <si>
    <t>Vicedir de 3ª Instit. del Menor</t>
  </si>
  <si>
    <t>13-730</t>
  </si>
  <si>
    <t>Regente de Instituto del Menor</t>
  </si>
  <si>
    <t>13-732</t>
  </si>
  <si>
    <t>Secr. Doc. de 1ª Inst. Menor</t>
  </si>
  <si>
    <t>13-733</t>
  </si>
  <si>
    <t>Secr. Doc. de 2ª Inst. Menor</t>
  </si>
  <si>
    <t>13-735</t>
  </si>
  <si>
    <t>Maestro de Inst. de Menores</t>
  </si>
  <si>
    <t>13-740</t>
  </si>
  <si>
    <t>Dir. de 1ª Jornada Completa</t>
  </si>
  <si>
    <t>13-743</t>
  </si>
  <si>
    <t>Dir. de 2ª Jornada Completa</t>
  </si>
  <si>
    <t>13-745</t>
  </si>
  <si>
    <t>Dir. de 3ª Jornada Completa</t>
  </si>
  <si>
    <t>13-747</t>
  </si>
  <si>
    <t>Vicedirector Jornada Completa</t>
  </si>
  <si>
    <t>13-748</t>
  </si>
  <si>
    <t>Maestro Grado Jorn. Completa</t>
  </si>
  <si>
    <t>13-749</t>
  </si>
  <si>
    <t>Maestro Ram. Esp. Jor. Compl.</t>
  </si>
  <si>
    <t>13-750</t>
  </si>
  <si>
    <t>Director Escuela Hogar</t>
  </si>
  <si>
    <t>13-760</t>
  </si>
  <si>
    <t>Director 2ª Anexo Albergue</t>
  </si>
  <si>
    <t>13-765</t>
  </si>
  <si>
    <t>Director 3ª Anexo Albergue</t>
  </si>
  <si>
    <t>13-767</t>
  </si>
  <si>
    <t>Maestro Anexo Albergue</t>
  </si>
  <si>
    <t>13-769</t>
  </si>
  <si>
    <t>Maestro Ram. Esp. An. Alber.</t>
  </si>
  <si>
    <t>13-770</t>
  </si>
  <si>
    <t>Vicedir. Esc. Hogar Te.</t>
  </si>
  <si>
    <t>13-775</t>
  </si>
  <si>
    <t>Secretario Téc. Esc. Hogar</t>
  </si>
  <si>
    <t>13-780</t>
  </si>
  <si>
    <t>Jefe Serv. Soc. Esc. Hogar</t>
  </si>
  <si>
    <t>13-785</t>
  </si>
  <si>
    <t>Visitador Higiene Social</t>
  </si>
  <si>
    <t>13-795</t>
  </si>
  <si>
    <t>Maestro Grado Esc. Hogar</t>
  </si>
  <si>
    <t>13-797</t>
  </si>
  <si>
    <t>Preceptor Jor Compl, Esc Hogar, An Alb</t>
  </si>
  <si>
    <t>13-800</t>
  </si>
  <si>
    <t>Mtro. Mat. Esp. Esc. Hogar</t>
  </si>
  <si>
    <t>13-900</t>
  </si>
  <si>
    <t>13-910</t>
  </si>
  <si>
    <t>13-920</t>
  </si>
  <si>
    <t>Hs. Cat. Ley 22416 01 Hora</t>
  </si>
  <si>
    <t>13-930</t>
  </si>
  <si>
    <t>Jornada Extendida Modulo de 2 hs</t>
  </si>
  <si>
    <t>Prol Jor Dir B1 (25 + 15 Hs)</t>
  </si>
  <si>
    <t>Prol Jor Dir B2 (25 + 10 Hs)</t>
  </si>
  <si>
    <t>Prol Jor Dir B3 (25 + 05 Hs)</t>
  </si>
  <si>
    <t>Prol Jor (13-515) 01 hora</t>
  </si>
  <si>
    <t>Prol Jor (13-515) 02 horas</t>
  </si>
  <si>
    <t>Prol Jor (13-515) 03 horas</t>
  </si>
  <si>
    <t>Prol Jor (13-515) 04 horas</t>
  </si>
  <si>
    <t>Prol Jor (13-515) 05 horas</t>
  </si>
  <si>
    <t>Prol Jor (13-515) 06 horas</t>
  </si>
  <si>
    <t>Prol Jor (13-515) 07 horas</t>
  </si>
  <si>
    <t>Prol Jor (13-515) 08 horas</t>
  </si>
  <si>
    <t>Prol Jor (13-515) 09 horas</t>
  </si>
  <si>
    <t>Prol Jor (13-515) 10 horas</t>
  </si>
  <si>
    <t>Prol Jor (13-515) 11 horas</t>
  </si>
  <si>
    <t>Prol Jor (13-515) 12 horas</t>
  </si>
  <si>
    <t>Prol Jor (13-515) 13 horas</t>
  </si>
  <si>
    <t>Prol Jor (13-515) 14 horas</t>
  </si>
  <si>
    <t>Prol Jor (13-515) 15 horas</t>
  </si>
  <si>
    <t>Prol Jor (13-515) 16 horas</t>
  </si>
  <si>
    <t>Jorn Ext Dir Prim de 1°  Por mod de 2 hs</t>
  </si>
  <si>
    <t>Jorn Ext Dir Prim de 2°  Por mod de 2 hs</t>
  </si>
  <si>
    <t>Jorn Ext Dir Prim de 3°  Por mod de 2 hs</t>
  </si>
  <si>
    <t>Jorn Ext Vice Dir Prim   Por mod de 2 hs</t>
  </si>
  <si>
    <t>Jorn Ext Maestra Gr. Prim   Por mod de 2 hs</t>
  </si>
  <si>
    <t>Jorn Ext Maestra Mat Especial  Por mod de 2 hs</t>
  </si>
  <si>
    <t>Aportes Personales</t>
  </si>
  <si>
    <t>Contribuciones Patronales</t>
  </si>
  <si>
    <t>Basico</t>
  </si>
  <si>
    <t>Adic. Equip Escal. Gral. RM</t>
  </si>
  <si>
    <t>Titulo</t>
  </si>
  <si>
    <t>Total</t>
  </si>
  <si>
    <t>M.Did. Anual</t>
  </si>
  <si>
    <t>Ap. Jub.</t>
  </si>
  <si>
    <t>Ap. Jub. Compl</t>
  </si>
  <si>
    <t>Ob Soc</t>
  </si>
  <si>
    <t>Jub.</t>
  </si>
  <si>
    <t>Jub. Adic</t>
  </si>
  <si>
    <t>Jub. Compl</t>
  </si>
  <si>
    <t>COSTO</t>
  </si>
  <si>
    <t>LIQUIDO</t>
  </si>
  <si>
    <t>C130230</t>
  </si>
  <si>
    <t>Remun</t>
  </si>
  <si>
    <t>C117330</t>
  </si>
  <si>
    <t>No Rem</t>
  </si>
  <si>
    <t>EQUIV</t>
  </si>
  <si>
    <t>45-100</t>
  </si>
  <si>
    <t>Titular Ded Simple</t>
  </si>
  <si>
    <t>45-110</t>
  </si>
  <si>
    <t>Titular Ded Semiexclusiva</t>
  </si>
  <si>
    <t>45-120</t>
  </si>
  <si>
    <t>Titular Ded Exclusiva</t>
  </si>
  <si>
    <t>Adic Rem</t>
  </si>
  <si>
    <t>45-200</t>
  </si>
  <si>
    <t>Asociado Ded Simple</t>
  </si>
  <si>
    <t>Est Doc</t>
  </si>
  <si>
    <t>45-210</t>
  </si>
  <si>
    <t>Asiciado  Ded Semiexclusiva</t>
  </si>
  <si>
    <t>Gildo</t>
  </si>
  <si>
    <t>45-220</t>
  </si>
  <si>
    <t>Asociado Ded Exclusiva</t>
  </si>
  <si>
    <t>Prom. Cal. Ed</t>
  </si>
  <si>
    <t>45-300</t>
  </si>
  <si>
    <t>Adjunto Ded Simple</t>
  </si>
  <si>
    <t>Ad. Rem Doc</t>
  </si>
  <si>
    <t>45-310</t>
  </si>
  <si>
    <t>Adjunto  Ded Semiexclusiva</t>
  </si>
  <si>
    <t>Ap. Mat</t>
  </si>
  <si>
    <t>45-320</t>
  </si>
  <si>
    <t>Adjunto Ded Exclusiva</t>
  </si>
  <si>
    <t>Ap. Mat.</t>
  </si>
  <si>
    <t>45-400</t>
  </si>
  <si>
    <t>Jefe Trabajos Practicos Ded Simple</t>
  </si>
  <si>
    <t>Nvo Ad. Rem. Doc</t>
  </si>
  <si>
    <t>45-410</t>
  </si>
  <si>
    <t>Jefe Trabajos Practicos Ded Semiexclusiva</t>
  </si>
  <si>
    <t>45-420</t>
  </si>
  <si>
    <t>Jefe Trabajos Practicos Ded Exclusiva</t>
  </si>
  <si>
    <t>45-500</t>
  </si>
  <si>
    <t>Ayudante Trabajos Practicos Ded Simple</t>
  </si>
  <si>
    <t>Mat. Did.</t>
  </si>
  <si>
    <t>45-510</t>
  </si>
  <si>
    <t>Ayudante Jefe Trabajos Practicos Ded Semiexclusiva</t>
  </si>
  <si>
    <t>Fonid</t>
  </si>
  <si>
    <t>45-520</t>
  </si>
  <si>
    <t>Ayudante  Trabajos Practicos Ded Exclusiva</t>
  </si>
  <si>
    <t>45-900</t>
  </si>
  <si>
    <t>Horas Universitarias 01</t>
  </si>
  <si>
    <t>Horas Universitarias 02</t>
  </si>
  <si>
    <t>Horas Universitarias 03</t>
  </si>
  <si>
    <t>Horas Universitarias 04</t>
  </si>
  <si>
    <t>Horas Universitarias 05</t>
  </si>
  <si>
    <t>Horas Universitarias 06</t>
  </si>
  <si>
    <t>Horas Universitarias 07</t>
  </si>
  <si>
    <t>Horas Universitarias 08</t>
  </si>
  <si>
    <t>Horas Universitarias 09</t>
  </si>
  <si>
    <t>Horas Universitarias 10</t>
  </si>
  <si>
    <t>Horas Universitarias 11</t>
  </si>
  <si>
    <t>Horas Universitarias 12</t>
  </si>
  <si>
    <t xml:space="preserve"> </t>
  </si>
  <si>
    <t>46-100</t>
  </si>
  <si>
    <t>Decano</t>
  </si>
  <si>
    <t>0101024</t>
  </si>
  <si>
    <t>46-110</t>
  </si>
  <si>
    <t>Vicedecano</t>
  </si>
  <si>
    <t>0205005</t>
  </si>
  <si>
    <t>según pn 45 200</t>
  </si>
  <si>
    <t>46-120</t>
  </si>
  <si>
    <t>Rector</t>
  </si>
  <si>
    <t>0101023</t>
  </si>
  <si>
    <t>según pn 45 210</t>
  </si>
  <si>
    <t>46-125</t>
  </si>
  <si>
    <t>Vicerector</t>
  </si>
  <si>
    <t>46-130</t>
  </si>
  <si>
    <t>Secretario Academico</t>
  </si>
  <si>
    <t>46-140</t>
  </si>
  <si>
    <t>Secretario de Extension</t>
  </si>
  <si>
    <t>46-150</t>
  </si>
  <si>
    <t>Secretario de Ciencia y Tecnologia</t>
  </si>
  <si>
    <t>46-160</t>
  </si>
  <si>
    <t>Secretario General</t>
  </si>
  <si>
    <t>46-165</t>
  </si>
  <si>
    <t>Director</t>
  </si>
  <si>
    <t>46-170</t>
  </si>
  <si>
    <t>Subsecretario Academico</t>
  </si>
  <si>
    <t>46-180</t>
  </si>
  <si>
    <t>Subsecretario de Formación y Vinculación Institucional</t>
  </si>
  <si>
    <t>46-190</t>
  </si>
  <si>
    <t>Subsecretario de Coordinación Administrativa</t>
  </si>
  <si>
    <t>46-200</t>
  </si>
  <si>
    <t>Subsecretaria de Asuntos Estudiantiles y Egresados</t>
  </si>
  <si>
    <t>C102190</t>
  </si>
  <si>
    <t>X</t>
  </si>
  <si>
    <t>AUMENTO</t>
  </si>
  <si>
    <t>Adic Rem Cgo 8 13255</t>
  </si>
  <si>
    <t>FONID Cuota Extraordinaria</t>
  </si>
  <si>
    <t>Bon Compensatoria Rem Cargos</t>
  </si>
  <si>
    <t>Bon Compe Rem Cargos Superv y Jor Completa</t>
  </si>
  <si>
    <t>Bon Compensatoria Rem Hs</t>
  </si>
  <si>
    <t>C102191</t>
  </si>
  <si>
    <t>AFILIADOS APROSS</t>
  </si>
  <si>
    <t>Seguro de vida obligatorio</t>
  </si>
  <si>
    <t>Fondo de Enfermedades Catastróficas</t>
  </si>
  <si>
    <t>C672600</t>
  </si>
  <si>
    <t>C660330</t>
  </si>
  <si>
    <t>TAREAS PASIVAS</t>
  </si>
  <si>
    <t>Adic Rem Cgo 3 COORD</t>
  </si>
  <si>
    <t>Ap Mat Did Rem. Cargo</t>
  </si>
  <si>
    <t>Bon Compensatoria No Rem. Cargos</t>
  </si>
  <si>
    <t>Bon Compe No Rem. Cargos Dir Med Esp y Sup</t>
  </si>
  <si>
    <t>Bon Compe No Rem. Cargos Superv y Jor Completa</t>
  </si>
  <si>
    <t>Bon Compensatoria No Rem. Hs</t>
  </si>
  <si>
    <t>Prima Seguro Vida Obligatorio IPS</t>
  </si>
  <si>
    <t>LIQUIDO C/ OS DIPE</t>
  </si>
  <si>
    <t>Supl. Cap 02 13-457</t>
  </si>
  <si>
    <t>Prom Cgos 1 13-015</t>
  </si>
  <si>
    <t>Prom Cgos 2 DIR CORO</t>
  </si>
  <si>
    <t>Supl. Cap 01 13-105</t>
  </si>
  <si>
    <t>Gto. Inh. Lab. Doc 03 13-090</t>
  </si>
  <si>
    <t>Gto. Inh. Lab. Doc 02 13-210</t>
  </si>
  <si>
    <t>Gto. Inh. Lab. Doc 01 13-305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</si>
  <si>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</si>
  <si>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</si>
  <si>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</si>
  <si>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</si>
  <si>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</si>
  <si>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</si>
  <si>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</si>
  <si>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</si>
  <si>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</si>
  <si>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</si>
  <si>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</si>
  <si>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</si>
  <si>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Complemento FONID</t>
  </si>
  <si>
    <t>Complemento FONID HS</t>
  </si>
  <si>
    <t>13-940</t>
  </si>
  <si>
    <t>Quinta Hora Primer Ciclo</t>
  </si>
  <si>
    <t>Gto. Inh. Lab. Doc 940</t>
  </si>
  <si>
    <t>Ap Mat Did Rem. 940</t>
  </si>
  <si>
    <t>Bon Compensatoria No Rem. Jornada Extendida 930</t>
  </si>
  <si>
    <t>Bon Compensatoria Rem Jornada Extendida 930</t>
  </si>
  <si>
    <t>Bon Compensatoria No Rem. Quinta Hora 940</t>
  </si>
  <si>
    <t>Bon Compensatoria Rem Quinta Hora 940</t>
  </si>
  <si>
    <t>Ad. Extr hs</t>
  </si>
  <si>
    <t>CARGOS</t>
  </si>
  <si>
    <t>NRO</t>
  </si>
  <si>
    <t>Complemento Inicial</t>
  </si>
  <si>
    <t>CANT DIAS</t>
  </si>
  <si>
    <t>1000003  Asignación Basica</t>
  </si>
  <si>
    <t>102190  Bonif. Compensatoria No Rem</t>
  </si>
  <si>
    <t>102191  Bonif. Compensatoria Rem</t>
  </si>
  <si>
    <t>110230  Adicional Remunerativo</t>
  </si>
  <si>
    <t>112620  Gastos Inherentes a la Labor Docente</t>
  </si>
  <si>
    <t>114200  Nuevo Adic. Rem. Docente</t>
  </si>
  <si>
    <t>117230  Dedicación Funcional Docente</t>
  </si>
  <si>
    <t>117630  Dedicación Exclusiva Docente</t>
  </si>
  <si>
    <t>117730  Estado Docente</t>
  </si>
  <si>
    <t>117900  Adicional Remunerativo Docente</t>
  </si>
  <si>
    <t>118360  Antiguedad</t>
  </si>
  <si>
    <t>118420  Promoción de la Calidad Educativa</t>
  </si>
  <si>
    <t>120170  Aporte Material Didáctico Rem.</t>
  </si>
  <si>
    <t>120180  Corrección Pauta Salarial sobre FONID</t>
  </si>
  <si>
    <t>121170  Aporte Material Didáctico Rem. Complementario</t>
  </si>
  <si>
    <t>118460  Bonificación por Zona</t>
  </si>
  <si>
    <t>130030  Adelanto Incentivo Docente</t>
  </si>
  <si>
    <t>118390  Tarea Diferenciada (Esc. Doc.)</t>
  </si>
  <si>
    <t>117430  Suplemento/Bonificacion Por Capacitacion</t>
  </si>
  <si>
    <t>130300  Complemento Inicial</t>
  </si>
  <si>
    <t>118510  Bonificación por Minoridad</t>
  </si>
  <si>
    <t>118210  Complemento Especial</t>
  </si>
  <si>
    <t>118030  Prolong. Jornada Puntos</t>
  </si>
  <si>
    <t>CONCEPTOS</t>
  </si>
  <si>
    <t xml:space="preserve">C119600 </t>
  </si>
  <si>
    <t>NRO CARGO</t>
  </si>
  <si>
    <t>CARGO</t>
  </si>
  <si>
    <t>DENOM</t>
  </si>
  <si>
    <t>% ZONA DESF</t>
  </si>
  <si>
    <t>SIN ESPECIFICAR</t>
  </si>
  <si>
    <t>13910   Hora Med 01</t>
  </si>
  <si>
    <t>119600  Adicional Extraordinario</t>
  </si>
  <si>
    <t>% Zona</t>
  </si>
  <si>
    <t xml:space="preserve"> 02 Hs Sup</t>
  </si>
  <si>
    <t xml:space="preserve"> 03 Hs Sup</t>
  </si>
  <si>
    <t xml:space="preserve"> 04 Hs Sup</t>
  </si>
  <si>
    <t xml:space="preserve"> 05 Hs Sup</t>
  </si>
  <si>
    <t xml:space="preserve"> 01 H Sup</t>
  </si>
  <si>
    <t xml:space="preserve"> 06 Hs Sup</t>
  </si>
  <si>
    <t xml:space="preserve"> 07Hs Sup</t>
  </si>
  <si>
    <t xml:space="preserve"> 08 Hs Sup</t>
  </si>
  <si>
    <t xml:space="preserve"> 09 Hs Sup</t>
  </si>
  <si>
    <t xml:space="preserve"> 10 Hs Sup</t>
  </si>
  <si>
    <t xml:space="preserve"> 11 Hs Sup</t>
  </si>
  <si>
    <t xml:space="preserve"> 13 Hs Sup</t>
  </si>
  <si>
    <t xml:space="preserve"> 12 Hs Sup</t>
  </si>
  <si>
    <t xml:space="preserve"> 14 Hs Sup</t>
  </si>
  <si>
    <t xml:space="preserve"> 15 Hs Sup</t>
  </si>
  <si>
    <t xml:space="preserve"> 16 Hs Sup</t>
  </si>
  <si>
    <t xml:space="preserve"> 17 Hs Sup</t>
  </si>
  <si>
    <t xml:space="preserve"> 18 Hs Sup</t>
  </si>
  <si>
    <t xml:space="preserve"> 19 Hs Sup</t>
  </si>
  <si>
    <t xml:space="preserve"> 20 Hs Sup</t>
  </si>
  <si>
    <t xml:space="preserve"> 21 Hs Sup</t>
  </si>
  <si>
    <t xml:space="preserve"> 22 Hs Sup</t>
  </si>
  <si>
    <t xml:space="preserve"> 23 Hs Sup</t>
  </si>
  <si>
    <t xml:space="preserve"> 24 Hs Sup</t>
  </si>
  <si>
    <t xml:space="preserve"> 25 Hs Sup</t>
  </si>
  <si>
    <t xml:space="preserve"> 26 Hs Sup</t>
  </si>
  <si>
    <t xml:space="preserve"> 27 Hs Sup</t>
  </si>
  <si>
    <t xml:space="preserve"> 28 Hs Sup</t>
  </si>
  <si>
    <t xml:space="preserve"> 29 Hs Sup</t>
  </si>
  <si>
    <t xml:space="preserve"> 30 Hs Sup</t>
  </si>
  <si>
    <t xml:space="preserve"> 31 Hs Sup</t>
  </si>
  <si>
    <t xml:space="preserve"> 32 Hs Sup</t>
  </si>
  <si>
    <t xml:space="preserve"> 33 Hs Sup</t>
  </si>
  <si>
    <t xml:space="preserve"> 34 Hs Sup</t>
  </si>
  <si>
    <t xml:space="preserve"> 35 Hs Sup</t>
  </si>
  <si>
    <t xml:space="preserve"> 36 Hs Sup</t>
  </si>
  <si>
    <t>01 H Med</t>
  </si>
  <si>
    <t>01 H Med Ens Esp</t>
  </si>
  <si>
    <t>02 Hs Med</t>
  </si>
  <si>
    <t>02 Hs Med Ens Esp</t>
  </si>
  <si>
    <t>03 Hs Med</t>
  </si>
  <si>
    <t>03 Hs Med Ens Esp</t>
  </si>
  <si>
    <t>04 Hs Med</t>
  </si>
  <si>
    <t>04 Hs Med Ens Esp</t>
  </si>
  <si>
    <t>05 Hs Med</t>
  </si>
  <si>
    <t>05 Hs Med Ens Esp</t>
  </si>
  <si>
    <t>06 Hs Med</t>
  </si>
  <si>
    <t>06 Hs Med Ens Esp</t>
  </si>
  <si>
    <t>07 Hs Med</t>
  </si>
  <si>
    <t>07 Hs Med Ens Esp</t>
  </si>
  <si>
    <t>08 Hs Med</t>
  </si>
  <si>
    <t>08 Hs Med Ens Esp</t>
  </si>
  <si>
    <t>09 Hs Med</t>
  </si>
  <si>
    <t>09 Hs Med Ens Esp</t>
  </si>
  <si>
    <t>10 Hs Med</t>
  </si>
  <si>
    <t>10 Hs Med Ens Esp</t>
  </si>
  <si>
    <t>11 Hs Med</t>
  </si>
  <si>
    <t>11 Hs Med Ens Esp</t>
  </si>
  <si>
    <t>12 Hs Med</t>
  </si>
  <si>
    <t>12 Hs Med Ens Esp</t>
  </si>
  <si>
    <t>13 Hs Med</t>
  </si>
  <si>
    <t>13 Hs Med Ens Esp</t>
  </si>
  <si>
    <t>14 Hs Med</t>
  </si>
  <si>
    <t>14 Hs Med Ens Esp</t>
  </si>
  <si>
    <t>15 Hs Med</t>
  </si>
  <si>
    <t>15 Hs Med Ens Esp</t>
  </si>
  <si>
    <t>16 Hs Med</t>
  </si>
  <si>
    <t>16 Hs Med Ens Esp</t>
  </si>
  <si>
    <t>17 Hs Med</t>
  </si>
  <si>
    <t>17 Hs Med Ens Esp</t>
  </si>
  <si>
    <t>18 Hs Med</t>
  </si>
  <si>
    <t>18 Hs Med Ens Esp</t>
  </si>
  <si>
    <t>19 Hs Med</t>
  </si>
  <si>
    <t>19 Hs Med Ens Esp</t>
  </si>
  <si>
    <t>20 Hs Med</t>
  </si>
  <si>
    <t>20 Hs Med Ens Esp</t>
  </si>
  <si>
    <t>21 Hs Med</t>
  </si>
  <si>
    <t>21 Hs Med Ens Esp</t>
  </si>
  <si>
    <t>22 Hs Med</t>
  </si>
  <si>
    <t>22 Hs Med Ens Esp</t>
  </si>
  <si>
    <t>23 Hs Med</t>
  </si>
  <si>
    <t>23 Hs Med Ens Esp</t>
  </si>
  <si>
    <t>24 Hs Med</t>
  </si>
  <si>
    <t>24 Hs Med Ens Esp</t>
  </si>
  <si>
    <t>25 Hs Med</t>
  </si>
  <si>
    <t>25 Hs Med Ens Esp</t>
  </si>
  <si>
    <t>26 Hs Med</t>
  </si>
  <si>
    <t>27 Hs Med Ens Esp</t>
  </si>
  <si>
    <t>27 Hs Med</t>
  </si>
  <si>
    <t>28 Hs Med Ens Esp</t>
  </si>
  <si>
    <t>26 Hs Med Ens Esp</t>
  </si>
  <si>
    <t>28 Hs Med</t>
  </si>
  <si>
    <t>29 Hs Med</t>
  </si>
  <si>
    <t>29 Hs Med Ens Esp</t>
  </si>
  <si>
    <t>30 Hs Med</t>
  </si>
  <si>
    <t>30 Hs Med Ens Esp</t>
  </si>
  <si>
    <t>31 Hs Med</t>
  </si>
  <si>
    <t>31 Hs Med Ens Esp</t>
  </si>
  <si>
    <t>32 Hs Med</t>
  </si>
  <si>
    <t>32 Hs Med Ens Esp</t>
  </si>
  <si>
    <t>33 Hs Med</t>
  </si>
  <si>
    <t>33 Hs Med Ens Esp</t>
  </si>
  <si>
    <t>34 Hs Med</t>
  </si>
  <si>
    <t>34 Hs Med Ens Esp</t>
  </si>
  <si>
    <t>35 Hs Med</t>
  </si>
  <si>
    <t>35 Hs Med Ens Esp</t>
  </si>
  <si>
    <t>36 Hs Med</t>
  </si>
  <si>
    <t>36 Hs Med Ens Esp</t>
  </si>
  <si>
    <t>13910   03 Hs Med</t>
  </si>
  <si>
    <t>13515   Maestro Materia Especial</t>
  </si>
  <si>
    <t xml:space="preserve">   Prol Jor (13-515) 16 horas</t>
  </si>
  <si>
    <t>Adic Rem Cgo 4 DIR JURISDICCION</t>
  </si>
  <si>
    <t>Corr pauta FONID HS 930</t>
  </si>
  <si>
    <t>Corr pauta FONID HS 940</t>
  </si>
  <si>
    <t>Gto. Inh. Lab. Doc 05 13-003</t>
  </si>
  <si>
    <t>Gto. Inh. Lab. Doc 04 13-105</t>
  </si>
  <si>
    <t>Gto. Inh. Lab. Doc 06 13-015</t>
  </si>
  <si>
    <t>Adic Rem Cgo 10 DIR 2da CTRO DEP</t>
  </si>
  <si>
    <t>Ad. Extr 13515</t>
  </si>
  <si>
    <t>"1983/2023 - 40 AÑOS DE DEMOCRACIA”</t>
  </si>
  <si>
    <t>Bon Compe Rem Cargos Dir Sup</t>
  </si>
  <si>
    <t>(*)</t>
  </si>
  <si>
    <t>Gto. Inh. Lab. Doc 07 13-181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</si>
</sst>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43" formatCode="_-* #,##0.00_-;\-* #,##0.00_-;_-* &quot;-&quot;??_-;_-@_-"/>
    <numFmt numFmtId="164" formatCode="_ * #,##0.00_ ;_ * \-#,##0.00_ ;_ * &quot;-&quot;??_ ;_ @_ "/>
    <numFmt numFmtId="165" formatCode="0.000000"/>
    <numFmt numFmtId="166" formatCode="_ * #,##0.00_ ;_ * \-#,##0.00_ ;_ * \-??_ ;_ @_ "/>
    <numFmt numFmtId="167" formatCode="_-* #,##0.00\ _€_-;\-* #,##0.00\ _€_-;_-* \-??\ _€_-;_-@_-"/>
    <numFmt numFmtId="168" formatCode="_ * #,##0.00000_ ;_ * \-#,##0.00000_ ;_ * \-??_ ;_ @_ "/>
    <numFmt numFmtId="169" formatCode="0\ %"/>
    <numFmt numFmtId="170" formatCode="0.0000%"/>
    <numFmt numFmtId="171" formatCode="0.00\ %"/>
    <numFmt numFmtId="172" formatCode="_-* #,##0_-;\-* #,##0_-;_-* \-_-;_-@_-"/>
    <numFmt numFmtId="173" formatCode="_ &quot;$ &quot;* #,##0.00_ ;_ &quot;$ &quot;* \-#,##0.00_ ;_ &quot;$ &quot;* \-??_ ;_ @_ "/>
    <numFmt numFmtId="174" formatCode="_ * #,##0_ ;_ * \-#,##0_ ;_ * \-??_ ;_ @_ "/>
    <numFmt numFmtId="175" formatCode="0_ ;\-0\ "/>
    <numFmt numFmtId="176" formatCode="0.0000"/>
    <numFmt numFmtId="177" formatCode="#,##0.00000000_ ;\-#,##0.00000000\ "/>
    <numFmt numFmtId="178" formatCode="#,##0.0000_ ;\-#,##0.0000\ "/>
    <numFmt numFmtId="179" formatCode="#,##0_ ;\-#,##0\ "/>
    <numFmt numFmtId="180" formatCode="#,##0.00_ ;\-#,##0.00\ "/>
    <numFmt numFmtId="181" formatCode="0.00_ ;\-0.00\ "/>
    <numFmt numFmtId="182" formatCode="0.0"/>
    <numFmt numFmtId="183" formatCode="&quot;$&quot;\ #,##0.00;[Red]&quot;$&quot;\ \-#,##0.00"/>
    <numFmt numFmtId="184" formatCode="#,##0.00_ ;[Red]\-#,##0.00\ "/>
  </numFmts>
  <fonts count="38">
    <font>
      <sz val="10"/>
      <name val="Arial"/>
      <family val="2"/>
    </font>
    <font>
      <sz val="10"/>
      <color rgb="FF000000"/>
      <name val="MS Sans Serif"/>
      <family val="2"/>
    </font>
    <font>
      <sz val="6"/>
      <color rgb="FF000000"/>
      <name val="Times New Roman"/>
      <family val="1"/>
    </font>
    <font>
      <b/>
      <sz val="6"/>
      <color rgb="FF000000"/>
      <name val="Times New Roman"/>
      <family val="1"/>
    </font>
    <font>
      <sz val="7"/>
      <color rgb="FF000000"/>
      <name val="Times New Roman"/>
      <family val="1"/>
    </font>
    <font>
      <b/>
      <sz val="2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7"/>
      <color rgb="FF000000"/>
      <name val="Times New Roman"/>
      <family val="1"/>
    </font>
    <font>
      <sz val="7"/>
      <name val="Times New Roman"/>
      <family val="1"/>
    </font>
    <font>
      <i/>
      <sz val="10"/>
      <name val="Arial"/>
      <family val="2"/>
    </font>
    <font>
      <sz val="6"/>
      <color rgb="FF000000"/>
      <name val="Calibri"/>
      <family val="2"/>
      <scheme val="minor"/>
    </font>
    <font>
      <sz val="20"/>
      <color rgb="FF000000"/>
      <name val="Calibri"/>
      <family val="2"/>
      <scheme val="minor"/>
    </font>
    <font>
      <b/>
      <sz val="6"/>
      <color rgb="FF000000"/>
      <name val="Calibri"/>
      <family val="2"/>
      <scheme val="minor"/>
    </font>
    <font>
      <sz val="7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5"/>
      <color rgb="FF000000"/>
      <name val="Calibri"/>
      <family val="2"/>
      <scheme val="minor"/>
    </font>
    <font>
      <sz val="7"/>
      <color rgb="FFFFFFFF"/>
      <name val="Calibri"/>
      <family val="2"/>
      <scheme val="minor"/>
    </font>
    <font>
      <sz val="8"/>
      <color rgb="FF000000"/>
      <name val="Calibri"/>
      <family val="2"/>
      <scheme val="minor"/>
    </font>
    <font>
      <sz val="12"/>
      <color rgb="FFFFFFFF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7"/>
      <color rgb="FF000000"/>
      <name val="Calibri"/>
      <family val="2"/>
      <scheme val="minor"/>
    </font>
    <font>
      <sz val="7"/>
      <name val="Calibri"/>
      <family val="2"/>
      <scheme val="minor"/>
    </font>
    <font>
      <sz val="6"/>
      <name val="Calibri"/>
      <family val="2"/>
    </font>
    <font>
      <sz val="8"/>
      <name val="Calibri"/>
      <family val="2"/>
      <scheme val="minor"/>
    </font>
    <font>
      <sz val="6"/>
      <name val="Calibri"/>
      <family val="2"/>
      <scheme val="minor"/>
    </font>
    <font>
      <sz val="7"/>
      <color rgb="FFC6D9F1"/>
      <name val="Calibri"/>
      <family val="2"/>
      <scheme val="minor"/>
    </font>
    <font>
      <sz val="9"/>
      <name val="Arial"/>
      <family val="2"/>
    </font>
    <font>
      <sz val="10"/>
      <color theme="0"/>
      <name val="Arial"/>
      <family val="2"/>
    </font>
    <font>
      <sz val="6"/>
      <color theme="0"/>
      <name val="Calibri"/>
      <family val="2"/>
      <scheme val="minor"/>
    </font>
    <font>
      <sz val="6"/>
      <color theme="1"/>
      <name val="Calibri"/>
      <family val="2"/>
      <scheme val="minor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3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rgb="FFF2DCDB"/>
        <bgColor indexed="64"/>
      </patternFill>
    </fill>
    <fill>
      <patternFill patternType="solid">
        <fgColor rgb="FFD7E4B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double"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Border="0" applyProtection="0">
      <alignment/>
    </xf>
    <xf numFmtId="173" fontId="0" fillId="0" borderId="0" applyBorder="0" applyProtection="0">
      <alignment/>
    </xf>
    <xf numFmtId="169" fontId="0" fillId="0" borderId="0" applyBorder="0" applyProtection="0">
      <alignment/>
    </xf>
    <xf numFmtId="0" fontId="1" fillId="0" borderId="0">
      <alignment/>
      <protection/>
    </xf>
  </cellStyleXfs>
  <cellXfs count="240">
    <xf numFmtId="0" fontId="0" fillId="0" borderId="0" xfId="0"/>
    <xf numFmtId="0" fontId="0" fillId="0" borderId="0" xfId="0" applyFont="1"/>
    <xf numFmtId="0" fontId="0" fillId="0" borderId="0" xfId="0" applyFont="1"/>
    <xf numFmtId="2" fontId="0" fillId="0" borderId="0" xfId="0" applyNumberFormat="1"/>
    <xf numFmtId="166" fontId="0" fillId="0" borderId="0" xfId="20" applyFont="1" applyBorder="1" applyAlignment="1" applyProtection="1">
      <alignment/>
      <protection/>
    </xf>
    <xf numFmtId="166" fontId="0" fillId="0" borderId="0" xfId="0" applyNumberFormat="1"/>
    <xf numFmtId="166" fontId="0" fillId="0" borderId="0" xfId="20" applyFont="1" applyBorder="1" applyAlignment="1" applyProtection="1">
      <alignment/>
      <protection/>
    </xf>
    <xf numFmtId="167" fontId="0" fillId="0" borderId="0" xfId="0" applyNumberFormat="1"/>
    <xf numFmtId="4" fontId="0" fillId="0" borderId="0" xfId="0" applyNumberFormat="1"/>
    <xf numFmtId="165" fontId="0" fillId="0" borderId="0" xfId="0" applyNumberFormat="1"/>
    <xf numFmtId="170" fontId="0" fillId="0" borderId="0" xfId="22" applyNumberFormat="1" applyFont="1" applyBorder="1" applyAlignment="1" applyProtection="1">
      <alignment/>
      <protection/>
    </xf>
    <xf numFmtId="171" fontId="0" fillId="0" borderId="0" xfId="22" applyNumberFormat="1" applyFont="1" applyBorder="1" applyAlignment="1" applyProtection="1">
      <alignment/>
      <protection/>
    </xf>
    <xf numFmtId="0" fontId="4" fillId="0" borderId="0" xfId="23" applyFont="1" applyBorder="1">
      <alignment/>
      <protection/>
    </xf>
    <xf numFmtId="0" fontId="2" fillId="0" borderId="1" xfId="23" applyFont="1" applyBorder="1">
      <alignment/>
      <protection/>
    </xf>
    <xf numFmtId="0" fontId="4" fillId="0" borderId="2" xfId="23" applyFont="1" applyBorder="1" applyAlignment="1">
      <alignment/>
      <protection/>
    </xf>
    <xf numFmtId="166" fontId="4" fillId="0" borderId="2" xfId="23" applyNumberFormat="1" applyFont="1" applyBorder="1" applyAlignment="1">
      <alignment/>
      <protection/>
    </xf>
    <xf numFmtId="0" fontId="4" fillId="0" borderId="0" xfId="23" applyFont="1" applyBorder="1" applyAlignment="1">
      <alignment horizontal="left" wrapText="1"/>
      <protection/>
    </xf>
    <xf numFmtId="166" fontId="4" fillId="0" borderId="0" xfId="23" applyNumberFormat="1" applyFont="1" applyBorder="1" applyAlignment="1" applyProtection="1">
      <alignment/>
      <protection/>
    </xf>
    <xf numFmtId="166" fontId="7" fillId="0" borderId="0" xfId="23" applyNumberFormat="1" applyFont="1" applyBorder="1" applyAlignment="1">
      <alignment horizontal="right" wrapText="1"/>
      <protection/>
    </xf>
    <xf numFmtId="166" fontId="7" fillId="0" borderId="0" xfId="23" applyNumberFormat="1" applyFont="1" applyBorder="1" applyAlignment="1">
      <alignment wrapText="1"/>
      <protection/>
    </xf>
    <xf numFmtId="0" fontId="5" fillId="0" borderId="0" xfId="23" applyFont="1" applyBorder="1" applyAlignment="1">
      <alignment vertical="center" wrapText="1"/>
      <protection/>
    </xf>
    <xf numFmtId="0" fontId="6" fillId="0" borderId="3" xfId="23" applyFont="1" applyBorder="1" applyAlignment="1">
      <alignment/>
      <protection/>
    </xf>
    <xf numFmtId="0" fontId="6" fillId="0" borderId="4" xfId="23" applyFont="1" applyBorder="1" applyAlignment="1">
      <alignment/>
      <protection/>
    </xf>
    <xf numFmtId="175" fontId="2" fillId="0" borderId="3" xfId="23" applyNumberFormat="1" applyFont="1" applyBorder="1" applyAlignment="1" applyProtection="1">
      <alignment/>
      <protection/>
    </xf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9" xfId="23" applyFont="1" applyBorder="1" applyAlignment="1">
      <alignment horizontal="center"/>
      <protection/>
    </xf>
    <xf numFmtId="166" fontId="3" fillId="0" borderId="10" xfId="23" applyNumberFormat="1" applyFont="1" applyBorder="1" applyAlignment="1">
      <alignment horizontal="center" wrapText="1"/>
      <protection/>
    </xf>
    <xf numFmtId="166" fontId="3" fillId="0" borderId="8" xfId="23" applyNumberFormat="1" applyFont="1" applyBorder="1" applyAlignment="1">
      <alignment horizontal="center"/>
      <protection/>
    </xf>
    <xf numFmtId="166" fontId="3" fillId="0" borderId="2" xfId="23" applyNumberFormat="1" applyFont="1" applyBorder="1" applyAlignment="1">
      <alignment horizontal="center" wrapText="1"/>
      <protection/>
    </xf>
    <xf numFmtId="166" fontId="7" fillId="0" borderId="11" xfId="23" applyNumberFormat="1" applyFont="1" applyBorder="1" applyAlignment="1">
      <alignment horizontal="center" vertical="center" wrapText="1"/>
      <protection/>
    </xf>
    <xf numFmtId="166" fontId="3" fillId="0" borderId="8" xfId="23" applyNumberFormat="1" applyFont="1" applyBorder="1" applyAlignment="1">
      <alignment horizontal="center" wrapText="1"/>
      <protection/>
    </xf>
    <xf numFmtId="166" fontId="3" fillId="0" borderId="11" xfId="23" applyNumberFormat="1" applyFont="1" applyBorder="1" applyAlignment="1">
      <alignment horizontal="center" vertical="center" wrapText="1"/>
      <protection/>
    </xf>
    <xf numFmtId="0" fontId="3" fillId="2" borderId="10" xfId="23" applyFont="1" applyFill="1" applyBorder="1" applyAlignment="1">
      <alignment horizontal="center" wrapText="1"/>
      <protection/>
    </xf>
    <xf numFmtId="0" fontId="3" fillId="2" borderId="9" xfId="23" applyFont="1" applyFill="1" applyBorder="1" applyAlignment="1">
      <alignment horizontal="center" wrapText="1"/>
      <protection/>
    </xf>
    <xf numFmtId="0" fontId="3" fillId="3" borderId="10" xfId="23" applyFont="1" applyFill="1" applyBorder="1" applyAlignment="1">
      <alignment horizontal="center" wrapText="1"/>
      <protection/>
    </xf>
    <xf numFmtId="0" fontId="3" fillId="3" borderId="9" xfId="23" applyFont="1" applyFill="1" applyBorder="1" applyAlignment="1">
      <alignment horizontal="center" wrapText="1"/>
      <protection/>
    </xf>
    <xf numFmtId="0" fontId="3" fillId="0" borderId="0" xfId="23" applyFont="1" applyBorder="1" applyAlignment="1">
      <alignment horizontal="center" wrapText="1"/>
      <protection/>
    </xf>
    <xf numFmtId="166" fontId="4" fillId="0" borderId="10" xfId="23" applyNumberFormat="1" applyFont="1" applyBorder="1" applyAlignment="1" applyProtection="1">
      <alignment horizontal="center"/>
      <protection/>
    </xf>
    <xf numFmtId="166" fontId="4" fillId="0" borderId="10" xfId="23" applyNumberFormat="1" applyFont="1" applyBorder="1" applyAlignment="1">
      <alignment horizontal="center"/>
      <protection/>
    </xf>
    <xf numFmtId="166" fontId="4" fillId="0" borderId="2" xfId="23" applyNumberFormat="1" applyFont="1" applyBorder="1" applyAlignment="1">
      <alignment horizontal="center"/>
      <protection/>
    </xf>
    <xf numFmtId="166" fontId="7" fillId="0" borderId="2" xfId="23" applyNumberFormat="1" applyFont="1" applyBorder="1" applyAlignment="1">
      <alignment horizontal="center"/>
      <protection/>
    </xf>
    <xf numFmtId="166" fontId="4" fillId="0" borderId="8" xfId="23" applyNumberFormat="1" applyFont="1" applyBorder="1" applyAlignment="1">
      <alignment horizontal="center"/>
      <protection/>
    </xf>
    <xf numFmtId="166" fontId="4" fillId="0" borderId="12" xfId="23" applyNumberFormat="1" applyFont="1" applyBorder="1" applyAlignment="1">
      <alignment horizontal="center"/>
      <protection/>
    </xf>
    <xf numFmtId="171" fontId="4" fillId="2" borderId="2" xfId="22" applyNumberFormat="1" applyFont="1" applyFill="1" applyBorder="1" applyAlignment="1" applyProtection="1">
      <alignment horizontal="center"/>
      <protection/>
    </xf>
    <xf numFmtId="171" fontId="4" fillId="2" borderId="8" xfId="22" applyNumberFormat="1" applyFont="1" applyFill="1" applyBorder="1" applyAlignment="1" applyProtection="1">
      <alignment horizontal="center"/>
      <protection/>
    </xf>
    <xf numFmtId="171" fontId="4" fillId="2" borderId="8" xfId="23" applyNumberFormat="1" applyFont="1" applyFill="1" applyBorder="1" applyAlignment="1">
      <alignment horizontal="center"/>
      <protection/>
    </xf>
    <xf numFmtId="171" fontId="4" fillId="3" borderId="2" xfId="22" applyNumberFormat="1" applyFont="1" applyFill="1" applyBorder="1" applyAlignment="1" applyProtection="1">
      <alignment horizontal="center"/>
      <protection/>
    </xf>
    <xf numFmtId="171" fontId="4" fillId="3" borderId="8" xfId="22" applyNumberFormat="1" applyFont="1" applyFill="1" applyBorder="1" applyAlignment="1" applyProtection="1">
      <alignment horizontal="center"/>
      <protection/>
    </xf>
    <xf numFmtId="171" fontId="4" fillId="3" borderId="8" xfId="23" applyNumberFormat="1" applyFont="1" applyFill="1" applyBorder="1" applyAlignment="1">
      <alignment horizontal="center"/>
      <protection/>
    </xf>
    <xf numFmtId="0" fontId="8" fillId="0" borderId="0" xfId="0" applyFont="1"/>
    <xf numFmtId="2" fontId="4" fillId="0" borderId="0" xfId="23" applyNumberFormat="1" applyFont="1" applyBorder="1" applyAlignment="1">
      <alignment horizontal="right" wrapText="1"/>
      <protection/>
    </xf>
    <xf numFmtId="0" fontId="4" fillId="4" borderId="0" xfId="23" applyFont="1" applyFill="1" applyBorder="1">
      <alignment/>
      <protection/>
    </xf>
    <xf numFmtId="0" fontId="4" fillId="4" borderId="0" xfId="23" applyFont="1" applyFill="1" applyBorder="1" applyAlignment="1">
      <alignment horizontal="left" wrapText="1"/>
      <protection/>
    </xf>
    <xf numFmtId="166" fontId="4" fillId="4" borderId="0" xfId="23" applyNumberFormat="1" applyFont="1" applyFill="1" applyBorder="1" applyAlignment="1" applyProtection="1">
      <alignment/>
      <protection/>
    </xf>
    <xf numFmtId="166" fontId="7" fillId="4" borderId="0" xfId="23" applyNumberFormat="1" applyFont="1" applyFill="1" applyBorder="1" applyAlignment="1">
      <alignment horizontal="right" wrapText="1"/>
      <protection/>
    </xf>
    <xf numFmtId="166" fontId="7" fillId="4" borderId="0" xfId="23" applyNumberFormat="1" applyFont="1" applyFill="1" applyBorder="1" applyAlignment="1">
      <alignment wrapText="1"/>
      <protection/>
    </xf>
    <xf numFmtId="0" fontId="7" fillId="0" borderId="0" xfId="23" applyFont="1" applyBorder="1" applyAlignment="1">
      <alignment horizontal="left" wrapText="1"/>
      <protection/>
    </xf>
    <xf numFmtId="2" fontId="7" fillId="0" borderId="0" xfId="23" applyNumberFormat="1" applyFont="1" applyBorder="1" applyAlignment="1">
      <alignment horizontal="right" wrapText="1"/>
      <protection/>
    </xf>
    <xf numFmtId="0" fontId="8" fillId="5" borderId="0" xfId="0" applyFont="1" applyFill="1"/>
    <xf numFmtId="0" fontId="4" fillId="5" borderId="0" xfId="23" applyFont="1" applyFill="1" applyBorder="1" applyAlignment="1">
      <alignment horizontal="left" wrapText="1"/>
      <protection/>
    </xf>
    <xf numFmtId="166" fontId="4" fillId="5" borderId="0" xfId="23" applyNumberFormat="1" applyFont="1" applyFill="1" applyBorder="1" applyAlignment="1" applyProtection="1">
      <alignment/>
      <protection/>
    </xf>
    <xf numFmtId="166" fontId="7" fillId="5" borderId="0" xfId="23" applyNumberFormat="1" applyFont="1" applyFill="1" applyBorder="1" applyAlignment="1">
      <alignment horizontal="right" wrapText="1"/>
      <protection/>
    </xf>
    <xf numFmtId="166" fontId="7" fillId="5" borderId="0" xfId="23" applyNumberFormat="1" applyFont="1" applyFill="1" applyBorder="1" applyAlignment="1">
      <alignment wrapText="1"/>
      <protection/>
    </xf>
    <xf numFmtId="171" fontId="4" fillId="0" borderId="10" xfId="22" applyNumberFormat="1" applyFont="1" applyBorder="1" applyAlignment="1" applyProtection="1">
      <alignment horizontal="center"/>
      <protection/>
    </xf>
    <xf numFmtId="171" fontId="4" fillId="0" borderId="10" xfId="23" applyNumberFormat="1" applyFont="1" applyBorder="1" applyAlignment="1">
      <alignment horizontal="center"/>
      <protection/>
    </xf>
    <xf numFmtId="171" fontId="4" fillId="0" borderId="2" xfId="22" applyNumberFormat="1" applyFont="1" applyBorder="1" applyAlignment="1" applyProtection="1">
      <alignment horizontal="center"/>
      <protection/>
    </xf>
    <xf numFmtId="171" fontId="4" fillId="0" borderId="8" xfId="22" applyNumberFormat="1" applyFont="1" applyBorder="1" applyAlignment="1" applyProtection="1">
      <alignment horizontal="center"/>
      <protection/>
    </xf>
    <xf numFmtId="171" fontId="4" fillId="0" borderId="8" xfId="23" applyNumberFormat="1" applyFont="1" applyBorder="1" applyAlignment="1">
      <alignment horizontal="center"/>
      <protection/>
    </xf>
    <xf numFmtId="49" fontId="4" fillId="0" borderId="0" xfId="23" applyNumberFormat="1" applyFont="1" applyBorder="1" applyAlignment="1" applyProtection="1">
      <alignment/>
      <protection/>
    </xf>
    <xf numFmtId="164" fontId="0" fillId="0" borderId="0" xfId="0" applyNumberFormat="1"/>
    <xf numFmtId="0" fontId="0" fillId="0" borderId="0" xfId="0" applyFont="1"/>
    <xf numFmtId="0" fontId="0" fillId="6" borderId="0" xfId="0" applyFill="1"/>
    <xf numFmtId="166" fontId="0" fillId="6" borderId="0" xfId="20" applyFont="1" applyFill="1" applyBorder="1" applyAlignment="1" applyProtection="1">
      <alignment/>
      <protection/>
    </xf>
    <xf numFmtId="4" fontId="0" fillId="0" borderId="0" xfId="20" applyNumberFormat="1" applyFont="1" applyBorder="1" applyAlignment="1" applyProtection="1">
      <alignment/>
      <protection/>
    </xf>
    <xf numFmtId="4" fontId="0" fillId="6" borderId="0" xfId="20" applyNumberFormat="1" applyFont="1" applyFill="1" applyBorder="1" applyAlignment="1" applyProtection="1">
      <alignment/>
      <protection/>
    </xf>
    <xf numFmtId="0" fontId="0" fillId="7" borderId="0" xfId="0" applyFill="1"/>
    <xf numFmtId="0" fontId="0" fillId="0" borderId="0" xfId="0" applyFont="1" applyBorder="1"/>
    <xf numFmtId="0" fontId="0" fillId="0" borderId="0" xfId="0" applyBorder="1"/>
    <xf numFmtId="165" fontId="0" fillId="0" borderId="0" xfId="0" applyNumberFormat="1" applyBorder="1"/>
    <xf numFmtId="2" fontId="0" fillId="0" borderId="0" xfId="0" applyNumberFormat="1" applyBorder="1"/>
    <xf numFmtId="166" fontId="0" fillId="0" borderId="0" xfId="0" applyNumberFormat="1" applyBorder="1"/>
    <xf numFmtId="0" fontId="0" fillId="6" borderId="0" xfId="0" applyFill="1" applyBorder="1"/>
    <xf numFmtId="0" fontId="0" fillId="0" borderId="0" xfId="0" applyFont="1" applyBorder="1"/>
    <xf numFmtId="4" fontId="0" fillId="0" borderId="0" xfId="0" applyNumberFormat="1" applyBorder="1"/>
    <xf numFmtId="167" fontId="0" fillId="0" borderId="0" xfId="0" applyNumberFormat="1" applyBorder="1"/>
    <xf numFmtId="164" fontId="0" fillId="0" borderId="0" xfId="0" applyNumberFormat="1" applyBorder="1"/>
    <xf numFmtId="177" fontId="0" fillId="0" borderId="0" xfId="0" applyNumberFormat="1" applyBorder="1"/>
    <xf numFmtId="0" fontId="0" fillId="0" borderId="13" xfId="0" applyFont="1" applyBorder="1"/>
    <xf numFmtId="0" fontId="0" fillId="0" borderId="13" xfId="0" applyBorder="1"/>
    <xf numFmtId="4" fontId="0" fillId="0" borderId="13" xfId="0" applyNumberFormat="1" applyBorder="1"/>
    <xf numFmtId="4" fontId="0" fillId="0" borderId="0" xfId="20" applyNumberFormat="1" applyFont="1" applyBorder="1" applyAlignment="1" applyProtection="1">
      <alignment/>
      <protection/>
    </xf>
    <xf numFmtId="178" fontId="0" fillId="0" borderId="0" xfId="0" applyNumberFormat="1" applyBorder="1"/>
    <xf numFmtId="0" fontId="9" fillId="0" borderId="0" xfId="0" applyFont="1" applyFill="1"/>
    <xf numFmtId="166" fontId="9" fillId="0" borderId="0" xfId="0" applyNumberFormat="1" applyFont="1" applyFill="1"/>
    <xf numFmtId="178" fontId="9" fillId="0" borderId="0" xfId="0" applyNumberFormat="1" applyFont="1" applyFill="1"/>
    <xf numFmtId="4" fontId="0" fillId="0" borderId="0" xfId="20" applyNumberFormat="1" applyFont="1" applyFill="1" applyBorder="1" applyAlignment="1" applyProtection="1">
      <alignment/>
      <protection/>
    </xf>
    <xf numFmtId="4" fontId="0" fillId="0" borderId="0" xfId="0" applyNumberFormat="1" applyFill="1"/>
    <xf numFmtId="4" fontId="0" fillId="0" borderId="0" xfId="20" applyNumberFormat="1" applyFont="1" applyFill="1" applyBorder="1" applyAlignment="1" applyProtection="1">
      <alignment/>
      <protection/>
    </xf>
    <xf numFmtId="0" fontId="0" fillId="0" borderId="0" xfId="0" applyFill="1"/>
    <xf numFmtId="166" fontId="0" fillId="0" borderId="0" xfId="20" applyFont="1" applyFill="1" applyBorder="1" applyAlignment="1" applyProtection="1">
      <alignment/>
      <protection/>
    </xf>
    <xf numFmtId="0" fontId="0" fillId="0" borderId="0" xfId="0" applyFont="1" applyFill="1"/>
    <xf numFmtId="0" fontId="10" fillId="0" borderId="0" xfId="23" applyFont="1" applyBorder="1" applyAlignment="1">
      <alignment horizontal="center"/>
      <protection/>
    </xf>
    <xf numFmtId="0" fontId="11" fillId="0" borderId="0" xfId="23" applyFont="1" applyBorder="1" applyAlignment="1">
      <alignment horizontal="center" vertical="center" wrapText="1"/>
      <protection/>
    </xf>
    <xf numFmtId="166" fontId="10" fillId="0" borderId="0" xfId="23" applyNumberFormat="1" applyFont="1" applyBorder="1">
      <alignment/>
      <protection/>
    </xf>
    <xf numFmtId="166" fontId="12" fillId="0" borderId="0" xfId="23" applyNumberFormat="1" applyFont="1" applyBorder="1">
      <alignment/>
      <protection/>
    </xf>
    <xf numFmtId="166" fontId="10" fillId="0" borderId="0" xfId="20" applyFont="1" applyBorder="1" applyAlignment="1" applyProtection="1">
      <alignment/>
      <protection/>
    </xf>
    <xf numFmtId="0" fontId="13" fillId="0" borderId="0" xfId="23" applyFont="1" applyBorder="1">
      <alignment/>
      <protection/>
    </xf>
    <xf numFmtId="0" fontId="10" fillId="0" borderId="0" xfId="23" applyFont="1" applyBorder="1">
      <alignment/>
      <protection/>
    </xf>
    <xf numFmtId="0" fontId="14" fillId="0" borderId="0" xfId="0" applyFont="1"/>
    <xf numFmtId="174" fontId="10" fillId="0" borderId="0" xfId="21" applyNumberFormat="1" applyFont="1" applyBorder="1" applyAlignment="1" applyProtection="1">
      <alignment horizontal="right"/>
      <protection/>
    </xf>
    <xf numFmtId="166" fontId="10" fillId="0" borderId="0" xfId="23" applyNumberFormat="1" applyFont="1" applyBorder="1" applyAlignment="1">
      <alignment/>
      <protection/>
    </xf>
    <xf numFmtId="172" fontId="10" fillId="0" borderId="0" xfId="23" applyNumberFormat="1" applyFont="1" applyBorder="1" applyAlignment="1">
      <alignment horizontal="right"/>
      <protection/>
    </xf>
    <xf numFmtId="0" fontId="18" fillId="0" borderId="0" xfId="23" applyFont="1" applyBorder="1">
      <alignment/>
      <protection/>
    </xf>
    <xf numFmtId="176" fontId="20" fillId="0" borderId="0" xfId="21" applyNumberFormat="1" applyFont="1" applyBorder="1" applyAlignment="1" applyProtection="1">
      <alignment vertical="center"/>
      <protection/>
    </xf>
    <xf numFmtId="176" fontId="21" fillId="0" borderId="0" xfId="21" applyNumberFormat="1" applyFont="1" applyBorder="1" applyAlignment="1" applyProtection="1">
      <alignment vertical="center"/>
      <protection/>
    </xf>
    <xf numFmtId="176" fontId="20" fillId="0" borderId="0" xfId="21" applyNumberFormat="1" applyFont="1" applyBorder="1" applyAlignment="1" applyProtection="1">
      <alignment horizontal="center"/>
      <protection/>
    </xf>
    <xf numFmtId="176" fontId="21" fillId="0" borderId="0" xfId="21" applyNumberFormat="1" applyFont="1" applyBorder="1" applyAlignment="1" applyProtection="1">
      <alignment horizontal="center"/>
      <protection/>
    </xf>
    <xf numFmtId="176" fontId="22" fillId="0" borderId="0" xfId="21" applyNumberFormat="1" applyFont="1" applyBorder="1" applyAlignment="1" applyProtection="1">
      <alignment horizontal="center"/>
      <protection/>
    </xf>
    <xf numFmtId="166" fontId="10" fillId="0" borderId="0" xfId="20" applyFont="1" applyBorder="1" applyAlignment="1" applyProtection="1">
      <alignment horizontal="center"/>
      <protection/>
    </xf>
    <xf numFmtId="0" fontId="13" fillId="0" borderId="10" xfId="23" applyFont="1" applyFill="1" applyBorder="1">
      <alignment/>
      <protection/>
    </xf>
    <xf numFmtId="0" fontId="13" fillId="0" borderId="10" xfId="23" applyFont="1" applyFill="1" applyBorder="1" applyAlignment="1">
      <alignment horizontal="left" wrapText="1"/>
      <protection/>
    </xf>
    <xf numFmtId="166" fontId="13" fillId="0" borderId="10" xfId="23" applyNumberFormat="1" applyFont="1" applyFill="1" applyBorder="1" applyAlignment="1" applyProtection="1">
      <alignment horizontal="right"/>
      <protection/>
    </xf>
    <xf numFmtId="0" fontId="13" fillId="0" borderId="10" xfId="23" applyFont="1" applyFill="1" applyBorder="1" applyAlignment="1">
      <alignment horizontal="center"/>
      <protection/>
    </xf>
    <xf numFmtId="0" fontId="13" fillId="0" borderId="10" xfId="23" applyFont="1" applyFill="1" applyBorder="1" applyAlignment="1">
      <alignment/>
      <protection/>
    </xf>
    <xf numFmtId="166" fontId="10" fillId="0" borderId="0" xfId="23" applyNumberFormat="1" applyFont="1" applyBorder="1" applyAlignment="1" applyProtection="1">
      <alignment/>
      <protection/>
    </xf>
    <xf numFmtId="172" fontId="10" fillId="0" borderId="0" xfId="23" applyNumberFormat="1" applyFont="1" applyBorder="1" applyAlignment="1" applyProtection="1">
      <alignment/>
      <protection/>
    </xf>
    <xf numFmtId="166" fontId="19" fillId="0" borderId="0" xfId="23" applyNumberFormat="1" applyFont="1" applyBorder="1">
      <alignment/>
      <protection/>
    </xf>
    <xf numFmtId="166" fontId="16" fillId="0" borderId="0" xfId="23" applyNumberFormat="1" applyFont="1" applyBorder="1">
      <alignment/>
      <protection/>
    </xf>
    <xf numFmtId="175" fontId="16" fillId="0" borderId="10" xfId="23" applyNumberFormat="1" applyFont="1" applyBorder="1" applyAlignment="1" applyProtection="1">
      <alignment horizontal="center" vertical="center"/>
      <protection/>
    </xf>
    <xf numFmtId="166" fontId="16" fillId="0" borderId="10" xfId="20" applyFont="1" applyBorder="1" applyAlignment="1" applyProtection="1">
      <alignment horizontal="center" vertical="center"/>
      <protection/>
    </xf>
    <xf numFmtId="0" fontId="15" fillId="0" borderId="10" xfId="23" applyFont="1" applyBorder="1" applyAlignment="1">
      <alignment horizontal="left" vertical="center"/>
      <protection/>
    </xf>
    <xf numFmtId="3" fontId="14" fillId="0" borderId="0" xfId="0" applyNumberFormat="1" applyFont="1"/>
    <xf numFmtId="3" fontId="14" fillId="0" borderId="0" xfId="0" applyNumberFormat="1" applyFont="1" applyBorder="1"/>
    <xf numFmtId="3" fontId="14" fillId="0" borderId="0" xfId="0" applyNumberFormat="1" applyFont="1" applyFill="1" applyBorder="1"/>
    <xf numFmtId="169" fontId="26" fillId="0" borderId="0" xfId="22" applyFont="1" applyBorder="1" applyProtection="1">
      <alignment/>
      <protection/>
    </xf>
    <xf numFmtId="174" fontId="19" fillId="0" borderId="0" xfId="21" applyNumberFormat="1" applyFont="1" applyBorder="1" applyAlignment="1" applyProtection="1">
      <alignment horizontal="right"/>
      <protection/>
    </xf>
    <xf numFmtId="0" fontId="23" fillId="0" borderId="10" xfId="23" applyFont="1" applyFill="1" applyBorder="1" applyAlignment="1">
      <alignment horizontal="left"/>
      <protection/>
    </xf>
    <xf numFmtId="1" fontId="24" fillId="0" borderId="10" xfId="0" applyNumberFormat="1" applyFont="1" applyFill="1" applyBorder="1"/>
    <xf numFmtId="0" fontId="24" fillId="0" borderId="0" xfId="0" applyFont="1"/>
    <xf numFmtId="0" fontId="18" fillId="0" borderId="10" xfId="23" applyFont="1" applyFill="1" applyBorder="1">
      <alignment/>
      <protection/>
    </xf>
    <xf numFmtId="0" fontId="28" fillId="0" borderId="10" xfId="23" applyFont="1" applyFill="1" applyBorder="1">
      <alignment/>
      <protection/>
    </xf>
    <xf numFmtId="0" fontId="10" fillId="0" borderId="0" xfId="23" applyFont="1" applyBorder="1" applyAlignment="1">
      <alignment horizontal="center" vertical="center"/>
      <protection/>
    </xf>
    <xf numFmtId="0" fontId="10" fillId="0" borderId="11" xfId="23" applyFont="1" applyBorder="1" applyAlignment="1">
      <alignment horizontal="center" vertical="center"/>
      <protection/>
    </xf>
    <xf numFmtId="0" fontId="27" fillId="0" borderId="0" xfId="0" applyFont="1" applyAlignment="1">
      <alignment horizontal="center" vertical="center"/>
    </xf>
    <xf numFmtId="0" fontId="12" fillId="0" borderId="14" xfId="23" applyFont="1" applyBorder="1" applyAlignment="1">
      <alignment horizontal="center" vertical="center"/>
      <protection/>
    </xf>
    <xf numFmtId="166" fontId="10" fillId="0" borderId="12" xfId="23" applyNumberFormat="1" applyFont="1" applyBorder="1" applyAlignment="1" applyProtection="1">
      <alignment horizontal="center" vertical="center"/>
      <protection/>
    </xf>
    <xf numFmtId="166" fontId="12" fillId="0" borderId="10" xfId="23" applyNumberFormat="1" applyFont="1" applyBorder="1" applyAlignment="1">
      <alignment horizontal="center" vertical="center" wrapText="1"/>
      <protection/>
    </xf>
    <xf numFmtId="166" fontId="12" fillId="0" borderId="10" xfId="23" applyNumberFormat="1" applyFont="1" applyBorder="1" applyAlignment="1">
      <alignment horizontal="center" vertical="center"/>
      <protection/>
    </xf>
    <xf numFmtId="166" fontId="10" fillId="0" borderId="10" xfId="23" applyNumberFormat="1" applyFont="1" applyBorder="1" applyAlignment="1">
      <alignment horizontal="center" vertical="center" wrapText="1"/>
      <protection/>
    </xf>
    <xf numFmtId="166" fontId="10" fillId="0" borderId="10" xfId="23" applyNumberFormat="1" applyFont="1" applyBorder="1" applyAlignment="1">
      <alignment horizontal="center" vertical="center"/>
      <protection/>
    </xf>
    <xf numFmtId="174" fontId="12" fillId="0" borderId="10" xfId="21" applyNumberFormat="1" applyFont="1" applyBorder="1" applyAlignment="1" applyProtection="1">
      <alignment horizontal="center" vertical="center"/>
      <protection/>
    </xf>
    <xf numFmtId="174" fontId="12" fillId="0" borderId="10" xfId="23" applyNumberFormat="1" applyFont="1" applyBorder="1" applyAlignment="1">
      <alignment horizontal="center" vertical="center"/>
      <protection/>
    </xf>
    <xf numFmtId="172" fontId="12" fillId="0" borderId="10" xfId="23" applyNumberFormat="1" applyFont="1" applyBorder="1" applyAlignment="1">
      <alignment horizontal="center" vertical="center"/>
      <protection/>
    </xf>
    <xf numFmtId="166" fontId="10" fillId="0" borderId="10" xfId="20" applyFont="1" applyBorder="1" applyAlignment="1" applyProtection="1">
      <alignment horizontal="center" vertical="center"/>
      <protection/>
    </xf>
    <xf numFmtId="166" fontId="12" fillId="8" borderId="1" xfId="23" applyNumberFormat="1" applyFont="1" applyFill="1" applyBorder="1" applyAlignment="1">
      <alignment horizontal="center" vertical="center" wrapText="1"/>
      <protection/>
    </xf>
    <xf numFmtId="166" fontId="12" fillId="8" borderId="1" xfId="20" applyFont="1" applyFill="1" applyBorder="1" applyAlignment="1" applyProtection="1">
      <alignment horizontal="center" vertical="center" wrapText="1"/>
      <protection/>
    </xf>
    <xf numFmtId="166" fontId="13" fillId="0" borderId="10" xfId="23" applyNumberFormat="1" applyFont="1" applyBorder="1" applyAlignment="1">
      <alignment horizontal="center" vertical="center"/>
      <protection/>
    </xf>
    <xf numFmtId="179" fontId="16" fillId="0" borderId="10" xfId="20" applyNumberFormat="1" applyFont="1" applyBorder="1" applyAlignment="1" applyProtection="1">
      <alignment horizontal="center" vertical="center"/>
      <protection/>
    </xf>
    <xf numFmtId="0" fontId="0" fillId="0" borderId="0" xfId="0" applyFont="1" applyFill="1" applyBorder="1"/>
    <xf numFmtId="0" fontId="0" fillId="0" borderId="0" xfId="0" applyFill="1" applyBorder="1"/>
    <xf numFmtId="0" fontId="0" fillId="0" borderId="0" xfId="0" applyFont="1" applyFill="1" applyBorder="1"/>
    <xf numFmtId="180" fontId="0" fillId="0" borderId="0" xfId="0" applyNumberFormat="1"/>
    <xf numFmtId="180" fontId="0" fillId="0" borderId="0" xfId="0" applyNumberFormat="1" applyBorder="1"/>
    <xf numFmtId="181" fontId="0" fillId="0" borderId="0" xfId="0" applyNumberFormat="1" applyBorder="1"/>
    <xf numFmtId="178" fontId="10" fillId="0" borderId="0" xfId="23" applyNumberFormat="1" applyFont="1" applyBorder="1">
      <alignment/>
      <protection/>
    </xf>
    <xf numFmtId="166" fontId="12" fillId="8" borderId="1" xfId="23" applyNumberFormat="1" applyFont="1" applyFill="1" applyBorder="1" applyAlignment="1" quotePrefix="1">
      <alignment horizontal="center" vertical="center" wrapText="1"/>
      <protection/>
    </xf>
    <xf numFmtId="166" fontId="12" fillId="0" borderId="11" xfId="23" applyNumberFormat="1" applyFont="1" applyBorder="1" applyAlignment="1">
      <alignment horizontal="center" vertical="center"/>
      <protection/>
    </xf>
    <xf numFmtId="166" fontId="10" fillId="0" borderId="11" xfId="23" applyNumberFormat="1" applyFont="1" applyBorder="1" applyAlignment="1">
      <alignment horizontal="center" vertical="center"/>
      <protection/>
    </xf>
    <xf numFmtId="182" fontId="0" fillId="0" borderId="0" xfId="0" applyNumberFormat="1"/>
    <xf numFmtId="183" fontId="29" fillId="0" borderId="0" xfId="21" applyNumberFormat="1" applyFont="1">
      <alignment/>
    </xf>
    <xf numFmtId="176" fontId="0" fillId="0" borderId="0" xfId="0" applyNumberFormat="1"/>
    <xf numFmtId="4" fontId="0" fillId="0" borderId="0" xfId="0" applyNumberFormat="1" applyFill="1" applyBorder="1"/>
    <xf numFmtId="174" fontId="31" fillId="0" borderId="0" xfId="23" applyNumberFormat="1" applyFont="1" applyBorder="1" applyAlignment="1">
      <alignment horizontal="right"/>
      <protection/>
    </xf>
    <xf numFmtId="166" fontId="31" fillId="0" borderId="0" xfId="23" applyNumberFormat="1" applyFont="1" applyBorder="1">
      <alignment/>
      <protection/>
    </xf>
    <xf numFmtId="0" fontId="30" fillId="0" borderId="0" xfId="0" applyFont="1" applyAlignment="1">
      <alignment/>
    </xf>
    <xf numFmtId="2" fontId="30" fillId="0" borderId="0" xfId="0" applyNumberFormat="1" applyFont="1" applyAlignment="1">
      <alignment/>
    </xf>
    <xf numFmtId="179" fontId="9" fillId="0" borderId="0" xfId="0" applyNumberFormat="1" applyFont="1" applyFill="1"/>
    <xf numFmtId="2" fontId="9" fillId="0" borderId="0" xfId="0" applyNumberFormat="1" applyFont="1" applyFill="1"/>
    <xf numFmtId="166" fontId="12" fillId="9" borderId="1" xfId="23" applyNumberFormat="1" applyFont="1" applyFill="1" applyBorder="1" applyAlignment="1">
      <alignment horizontal="center" vertical="center" wrapText="1"/>
      <protection/>
    </xf>
    <xf numFmtId="0" fontId="10" fillId="0" borderId="1" xfId="23" applyFont="1" applyBorder="1" applyAlignment="1">
      <alignment horizontal="center" vertical="center"/>
      <protection/>
    </xf>
    <xf numFmtId="0" fontId="10" fillId="0" borderId="3" xfId="23" applyFont="1" applyBorder="1" applyAlignment="1">
      <alignment horizontal="center" vertical="center"/>
      <protection/>
    </xf>
    <xf numFmtId="0" fontId="10" fillId="0" borderId="10" xfId="23" applyFont="1" applyBorder="1" applyAlignment="1">
      <alignment horizontal="left" vertical="center"/>
      <protection/>
    </xf>
    <xf numFmtId="0" fontId="10" fillId="0" borderId="15" xfId="23" applyFont="1" applyBorder="1" applyAlignment="1">
      <alignment horizontal="left" vertical="center"/>
      <protection/>
    </xf>
    <xf numFmtId="166" fontId="10" fillId="0" borderId="10" xfId="23" applyNumberFormat="1" applyFont="1" applyBorder="1" applyAlignment="1">
      <alignment horizontal="left" vertical="center"/>
      <protection/>
    </xf>
    <xf numFmtId="0" fontId="15" fillId="0" borderId="10" xfId="23" applyFont="1" applyBorder="1" applyAlignment="1">
      <alignment horizontal="center" vertical="center"/>
      <protection/>
    </xf>
    <xf numFmtId="0" fontId="10" fillId="0" borderId="15" xfId="23" applyFont="1" applyBorder="1" applyAlignment="1">
      <alignment horizontal="center" vertical="center"/>
      <protection/>
    </xf>
    <xf numFmtId="172" fontId="12" fillId="0" borderId="10" xfId="23" applyNumberFormat="1" applyFont="1" applyBorder="1" applyAlignment="1">
      <alignment horizontal="center" vertical="center" wrapText="1"/>
      <protection/>
    </xf>
    <xf numFmtId="0" fontId="15" fillId="0" borderId="0" xfId="23" applyFont="1" applyBorder="1" applyAlignment="1">
      <alignment horizontal="center" vertical="center"/>
      <protection/>
    </xf>
    <xf numFmtId="174" fontId="23" fillId="0" borderId="10" xfId="23" applyNumberFormat="1" applyFont="1" applyFill="1" applyBorder="1" applyAlignment="1">
      <alignment horizontal="center"/>
      <protection/>
    </xf>
    <xf numFmtId="0" fontId="23" fillId="0" borderId="10" xfId="23" applyFont="1" applyFill="1" applyBorder="1" applyAlignment="1">
      <alignment horizontal="center"/>
      <protection/>
    </xf>
    <xf numFmtId="174" fontId="23" fillId="0" borderId="10" xfId="20" applyNumberFormat="1" applyFont="1" applyFill="1" applyBorder="1" applyAlignment="1" applyProtection="1">
      <alignment horizontal="center"/>
      <protection/>
    </xf>
    <xf numFmtId="0" fontId="12" fillId="0" borderId="0" xfId="23" applyFont="1" applyBorder="1" applyAlignment="1">
      <alignment horizontal="center"/>
      <protection/>
    </xf>
    <xf numFmtId="172" fontId="19" fillId="0" borderId="0" xfId="23" applyNumberFormat="1" applyFont="1" applyBorder="1" applyAlignment="1">
      <alignment horizontal="center" wrapText="1"/>
      <protection/>
    </xf>
    <xf numFmtId="172" fontId="10" fillId="0" borderId="0" xfId="23" applyNumberFormat="1" applyFont="1" applyBorder="1" applyAlignment="1">
      <alignment horizontal="center" wrapText="1"/>
      <protection/>
    </xf>
    <xf numFmtId="174" fontId="10" fillId="0" borderId="0" xfId="23" applyNumberFormat="1" applyFont="1" applyBorder="1" applyAlignment="1">
      <alignment horizontal="center"/>
      <protection/>
    </xf>
    <xf numFmtId="174" fontId="32" fillId="0" borderId="0" xfId="23" applyNumberFormat="1" applyFont="1" applyBorder="1" applyAlignment="1">
      <alignment horizontal="center"/>
      <protection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3" fontId="0" fillId="0" borderId="0" xfId="0" applyNumberFormat="1"/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4" fillId="0" borderId="0" xfId="0" applyFont="1" applyAlignment="1">
      <alignment horizontal="center" wrapText="1"/>
    </xf>
    <xf numFmtId="0" fontId="34" fillId="0" borderId="0" xfId="0" applyFont="1"/>
    <xf numFmtId="169" fontId="0" fillId="0" borderId="0" xfId="22" applyAlignment="1">
      <alignment horizontal="center" vertical="center"/>
    </xf>
    <xf numFmtId="43" fontId="0" fillId="0" borderId="0" xfId="0" applyNumberFormat="1" applyAlignment="1">
      <alignment wrapText="1"/>
    </xf>
    <xf numFmtId="43" fontId="0" fillId="0" borderId="0" xfId="0" applyNumberFormat="1" applyFont="1"/>
    <xf numFmtId="0" fontId="0" fillId="0" borderId="0" xfId="0" applyAlignment="1">
      <alignment horizontal="center" vertical="center"/>
    </xf>
    <xf numFmtId="0" fontId="0" fillId="9" borderId="0" xfId="0" applyFill="1"/>
    <xf numFmtId="169" fontId="0" fillId="0" borderId="0" xfId="22" applyBorder="1">
      <alignment/>
    </xf>
    <xf numFmtId="169" fontId="24" fillId="0" borderId="10" xfId="22" applyFont="1" applyBorder="1" applyProtection="1">
      <alignment/>
      <protection/>
    </xf>
    <xf numFmtId="0" fontId="0" fillId="0" borderId="0" xfId="0" applyNumberFormat="1" applyBorder="1"/>
    <xf numFmtId="181" fontId="0" fillId="0" borderId="0" xfId="0" applyNumberFormat="1" applyFont="1" applyBorder="1"/>
    <xf numFmtId="166" fontId="37" fillId="6" borderId="0" xfId="23" applyNumberFormat="1" applyFont="1" applyFill="1" applyBorder="1" applyAlignment="1">
      <alignment horizontal="center"/>
      <protection/>
    </xf>
    <xf numFmtId="184" fontId="0" fillId="0" borderId="0" xfId="0" applyNumberFormat="1"/>
    <xf numFmtId="0" fontId="35" fillId="0" borderId="0" xfId="0" applyFont="1" applyAlignment="1">
      <alignment horizontal="left"/>
    </xf>
    <xf numFmtId="17" fontId="36" fillId="0" borderId="0" xfId="23" applyNumberFormat="1" applyFont="1" applyBorder="1" applyAlignment="1" quotePrefix="1">
      <alignment horizontal="left" vertical="center" wrapText="1"/>
      <protection/>
    </xf>
    <xf numFmtId="0" fontId="36" fillId="0" borderId="0" xfId="23" applyNumberFormat="1" applyFont="1" applyBorder="1" applyAlignment="1">
      <alignment horizontal="left" vertical="center" wrapText="1"/>
      <protection/>
    </xf>
    <xf numFmtId="166" fontId="17" fillId="0" borderId="0" xfId="20" applyFont="1" applyBorder="1" applyAlignment="1" applyProtection="1">
      <alignment horizontal="center" wrapText="1"/>
      <protection/>
    </xf>
    <xf numFmtId="166" fontId="19" fillId="0" borderId="0" xfId="23" applyNumberFormat="1" applyFont="1" applyBorder="1" applyAlignment="1">
      <alignment horizontal="center"/>
      <protection/>
    </xf>
    <xf numFmtId="168" fontId="19" fillId="0" borderId="0" xfId="21" applyNumberFormat="1" applyFont="1" applyBorder="1" applyAlignment="1" applyProtection="1">
      <alignment horizontal="center"/>
      <protection/>
    </xf>
    <xf numFmtId="0" fontId="12" fillId="0" borderId="10" xfId="23" applyFont="1" applyBorder="1" applyAlignment="1">
      <alignment horizontal="center" vertical="center" wrapText="1"/>
      <protection/>
    </xf>
    <xf numFmtId="0" fontId="15" fillId="0" borderId="16" xfId="23" applyFont="1" applyBorder="1" applyAlignment="1">
      <alignment horizontal="left" vertical="center"/>
      <protection/>
    </xf>
    <xf numFmtId="0" fontId="15" fillId="0" borderId="15" xfId="23" applyFont="1" applyBorder="1" applyAlignment="1">
      <alignment horizontal="left" vertical="center"/>
      <protection/>
    </xf>
    <xf numFmtId="0" fontId="15" fillId="0" borderId="9" xfId="23" applyFont="1" applyBorder="1" applyAlignment="1">
      <alignment horizontal="left" vertical="center"/>
      <protection/>
    </xf>
    <xf numFmtId="0" fontId="25" fillId="0" borderId="0" xfId="0" applyFont="1" applyAlignment="1">
      <alignment horizontal="center" vertical="center"/>
    </xf>
    <xf numFmtId="0" fontId="12" fillId="0" borderId="16" xfId="23" applyFont="1" applyBorder="1" applyAlignment="1">
      <alignment horizontal="center" vertical="center"/>
      <protection/>
    </xf>
    <xf numFmtId="0" fontId="12" fillId="0" borderId="9" xfId="23" applyFont="1" applyBorder="1" applyAlignment="1">
      <alignment horizontal="center" vertical="center"/>
      <protection/>
    </xf>
    <xf numFmtId="1" fontId="12" fillId="0" borderId="10" xfId="23" applyNumberFormat="1" applyFont="1" applyBorder="1" applyAlignment="1">
      <alignment horizontal="center" vertical="center" wrapText="1"/>
      <protection/>
    </xf>
    <xf numFmtId="173" fontId="12" fillId="0" borderId="10" xfId="23" applyNumberFormat="1" applyFont="1" applyBorder="1" applyAlignment="1">
      <alignment horizontal="center" vertical="center"/>
      <protection/>
    </xf>
    <xf numFmtId="172" fontId="12" fillId="0" borderId="10" xfId="23" applyNumberFormat="1" applyFont="1" applyBorder="1" applyAlignment="1">
      <alignment horizontal="center" vertical="center" wrapText="1"/>
      <protection/>
    </xf>
    <xf numFmtId="166" fontId="19" fillId="0" borderId="0" xfId="23" applyNumberFormat="1" applyFont="1" applyBorder="1" applyAlignment="1">
      <alignment horizontal="center" wrapText="1"/>
      <protection/>
    </xf>
    <xf numFmtId="0" fontId="5" fillId="0" borderId="0" xfId="23" applyFont="1" applyBorder="1" applyAlignment="1">
      <alignment horizontal="center" vertical="center" wrapText="1"/>
      <protection/>
    </xf>
    <xf numFmtId="0" fontId="6" fillId="0" borderId="3" xfId="23" applyFont="1" applyBorder="1" applyAlignment="1">
      <alignment horizontal="center"/>
      <protection/>
    </xf>
    <xf numFmtId="0" fontId="0" fillId="2" borderId="0" xfId="0" applyFont="1" applyFill="1" applyBorder="1" applyAlignment="1">
      <alignment horizontal="center" wrapText="1"/>
    </xf>
    <xf numFmtId="0" fontId="0" fillId="3" borderId="7" xfId="0" applyFont="1" applyFill="1" applyBorder="1" applyAlignment="1">
      <alignment horizont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oneda" xfId="21"/>
    <cellStyle name="Porcentaje" xfId="22"/>
    <cellStyle name="Texto explicativo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CE1"/>
      <rgbColor rgb="00DCE6F2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2DCDB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152400</xdr:colOff>
      <xdr:row>0</xdr:row>
      <xdr:rowOff>19050</xdr:rowOff>
    </xdr:from>
    <xdr:to>
      <xdr:col>24</xdr:col>
      <xdr:colOff>352425</xdr:colOff>
      <xdr:row>1</xdr:row>
      <xdr:rowOff>76200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400" y="19050"/>
          <a:ext cx="4924425" cy="5048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1"/>
  <sheetViews>
    <sheetView workbookViewId="0" topLeftCell="A1">
      <pane ySplit="1" topLeftCell="A2" activePane="bottomLeft" state="frozen"/>
      <selection pane="bottomLeft" activeCell="D5" sqref="D5"/>
    </sheetView>
  </sheetViews>
  <sheetFormatPr defaultColWidth="9.140625" defaultRowHeight="12.75"/>
  <cols>
    <col min="1" max="1" width="4.7109375" style="0" customWidth="1"/>
    <col min="2" max="2" width="44.57421875" style="0" customWidth="1"/>
    <col min="3" max="3" width="11.421875" style="0" customWidth="1"/>
    <col min="4" max="4" width="13.28125" style="0" customWidth="1"/>
    <col min="5" max="5" width="14.7109375" style="0" bestFit="1" customWidth="1"/>
    <col min="6" max="6" width="12.57421875" style="0" customWidth="1"/>
    <col min="7" max="8" width="10.7109375" style="0" customWidth="1"/>
    <col min="9" max="9" width="8.57421875" style="0" customWidth="1"/>
    <col min="10" max="1025" width="10.7109375" style="0" customWidth="1"/>
  </cols>
  <sheetData>
    <row r="1" spans="1:12" ht="12.75">
      <c r="A1" s="1" t="s">
        <v>0</v>
      </c>
      <c r="B1" s="1"/>
      <c r="C1" s="1"/>
      <c r="D1" s="1"/>
      <c r="E1" s="1"/>
      <c r="F1" s="2" t="s">
        <v>1</v>
      </c>
      <c r="G1" s="1" t="s">
        <v>608</v>
      </c>
      <c r="H1" s="1"/>
      <c r="I1" s="1" t="s">
        <v>2</v>
      </c>
      <c r="J1" s="1" t="s">
        <v>3</v>
      </c>
      <c r="L1" s="135">
        <v>0</v>
      </c>
    </row>
    <row r="2" spans="1:14" s="81" customFormat="1" ht="12.75" customHeight="1">
      <c r="A2" s="80" t="s">
        <v>4</v>
      </c>
      <c r="B2" s="81" t="s">
        <v>5</v>
      </c>
      <c r="C2" s="211">
        <v>54.45</v>
      </c>
      <c r="G2" s="82">
        <f>27.1212*1.2</f>
        <v>32.54544</v>
      </c>
      <c r="I2" s="81">
        <v>0</v>
      </c>
      <c r="J2" s="83">
        <v>0</v>
      </c>
      <c r="L2" s="136">
        <v>1</v>
      </c>
      <c r="N2" s="213">
        <v>0</v>
      </c>
    </row>
    <row r="3" spans="1:14" s="81" customFormat="1" ht="12.75" customHeight="1">
      <c r="A3" s="80" t="s">
        <v>4</v>
      </c>
      <c r="B3" s="81" t="s">
        <v>6</v>
      </c>
      <c r="C3" s="6">
        <v>0.15</v>
      </c>
      <c r="I3" s="81">
        <v>1</v>
      </c>
      <c r="J3" s="83">
        <v>0.25</v>
      </c>
      <c r="L3" s="136">
        <v>2</v>
      </c>
      <c r="N3" s="213">
        <v>0.2</v>
      </c>
    </row>
    <row r="4" spans="1:14" s="81" customFormat="1" ht="12.75" customHeight="1">
      <c r="A4" s="80" t="s">
        <v>4</v>
      </c>
      <c r="B4" s="80" t="s">
        <v>661</v>
      </c>
      <c r="C4" s="6">
        <v>0.25</v>
      </c>
      <c r="H4" s="84"/>
      <c r="I4" s="81">
        <v>2</v>
      </c>
      <c r="J4" s="83">
        <v>0.25</v>
      </c>
      <c r="L4" s="137">
        <v>3</v>
      </c>
      <c r="N4" s="213">
        <v>0.4</v>
      </c>
    </row>
    <row r="5" spans="1:14" s="81" customFormat="1" ht="12.75" customHeight="1">
      <c r="A5" s="80" t="s">
        <v>4</v>
      </c>
      <c r="B5" s="81" t="s">
        <v>7</v>
      </c>
      <c r="C5" s="6">
        <v>0.4</v>
      </c>
      <c r="D5" s="95">
        <f>ROUND((('Escala Docente'!F142*C5)),2)</f>
        <v>27834.84</v>
      </c>
      <c r="E5" s="95">
        <f>ROUND(D5/15,2)</f>
        <v>1855.66</v>
      </c>
      <c r="F5" s="84"/>
      <c r="G5" s="84"/>
      <c r="I5" s="81">
        <v>3</v>
      </c>
      <c r="J5" s="83">
        <v>0.25</v>
      </c>
      <c r="L5" s="137">
        <v>4</v>
      </c>
      <c r="N5" s="213">
        <v>0.6</v>
      </c>
    </row>
    <row r="6" spans="1:14" s="81" customFormat="1" ht="12.75" customHeight="1">
      <c r="A6" s="85" t="s">
        <v>607</v>
      </c>
      <c r="B6" s="85"/>
      <c r="C6" s="76"/>
      <c r="D6" s="85"/>
      <c r="E6" s="85"/>
      <c r="F6" s="85"/>
      <c r="G6" s="85"/>
      <c r="I6" s="81">
        <v>4</v>
      </c>
      <c r="J6" s="83">
        <v>0.25</v>
      </c>
      <c r="L6" s="137">
        <v>5</v>
      </c>
      <c r="N6" s="213">
        <v>0.8</v>
      </c>
    </row>
    <row r="7" spans="1:14" s="81" customFormat="1" ht="12.75" customHeight="1">
      <c r="A7" s="162" t="s">
        <v>4</v>
      </c>
      <c r="B7" s="163" t="s">
        <v>9</v>
      </c>
      <c r="C7" s="175">
        <v>1846.44</v>
      </c>
      <c r="D7" s="95"/>
      <c r="E7" s="83"/>
      <c r="G7" s="175">
        <v>1655.57</v>
      </c>
      <c r="I7" s="81">
        <v>5</v>
      </c>
      <c r="J7" s="83">
        <v>0.3</v>
      </c>
      <c r="L7" s="136">
        <v>6</v>
      </c>
      <c r="N7" s="213">
        <v>1</v>
      </c>
    </row>
    <row r="8" spans="1:14" s="81" customFormat="1" ht="12.75" customHeight="1">
      <c r="A8" s="162" t="s">
        <v>4</v>
      </c>
      <c r="B8" s="164" t="s">
        <v>10</v>
      </c>
      <c r="C8" s="175">
        <v>68242.23</v>
      </c>
      <c r="D8" s="95"/>
      <c r="E8" s="83"/>
      <c r="F8" s="89"/>
      <c r="G8" s="175">
        <v>35821.5</v>
      </c>
      <c r="I8" s="81">
        <v>6</v>
      </c>
      <c r="J8" s="83">
        <v>0.3</v>
      </c>
      <c r="L8" s="137">
        <v>7</v>
      </c>
      <c r="N8" s="213">
        <v>1.5</v>
      </c>
    </row>
    <row r="9" spans="1:12" s="81" customFormat="1" ht="12.75" customHeight="1">
      <c r="A9" s="162" t="s">
        <v>4</v>
      </c>
      <c r="B9" s="164" t="s">
        <v>11</v>
      </c>
      <c r="C9" s="101">
        <v>68418.57</v>
      </c>
      <c r="D9" s="95"/>
      <c r="E9" s="83"/>
      <c r="F9" s="89"/>
      <c r="G9" s="175">
        <v>35926.91</v>
      </c>
      <c r="I9" s="81">
        <v>7</v>
      </c>
      <c r="J9" s="83">
        <v>0.4</v>
      </c>
      <c r="L9" s="137">
        <v>8</v>
      </c>
    </row>
    <row r="10" spans="1:12" s="81" customFormat="1" ht="12.75" customHeight="1">
      <c r="A10" s="162" t="s">
        <v>4</v>
      </c>
      <c r="B10" s="164" t="s">
        <v>621</v>
      </c>
      <c r="C10" s="101">
        <v>55717.22</v>
      </c>
      <c r="D10" s="95"/>
      <c r="E10" s="83"/>
      <c r="F10" s="89"/>
      <c r="G10" s="175">
        <v>30819.86</v>
      </c>
      <c r="I10" s="81">
        <v>8</v>
      </c>
      <c r="J10" s="83">
        <v>0.4</v>
      </c>
      <c r="L10" s="137">
        <v>9</v>
      </c>
    </row>
    <row r="11" spans="1:10" s="81" customFormat="1" ht="12.75" customHeight="1">
      <c r="A11" s="162" t="s">
        <v>4</v>
      </c>
      <c r="B11" s="164" t="s">
        <v>807</v>
      </c>
      <c r="C11" s="101">
        <v>48548.35</v>
      </c>
      <c r="D11" s="95"/>
      <c r="E11" s="83"/>
      <c r="F11" s="89"/>
      <c r="G11" s="175">
        <v>29019.86</v>
      </c>
      <c r="I11" s="81">
        <v>9</v>
      </c>
      <c r="J11" s="83">
        <v>0.4</v>
      </c>
    </row>
    <row r="12" spans="1:10" s="81" customFormat="1" ht="12.75" customHeight="1">
      <c r="A12" s="162" t="s">
        <v>4</v>
      </c>
      <c r="B12" s="163" t="s">
        <v>12</v>
      </c>
      <c r="C12" s="101">
        <v>123523.42</v>
      </c>
      <c r="D12" s="95"/>
      <c r="E12" s="83"/>
      <c r="F12" s="89"/>
      <c r="G12" s="175">
        <v>66735.76</v>
      </c>
      <c r="I12" s="81">
        <v>10</v>
      </c>
      <c r="J12" s="83">
        <v>0.5</v>
      </c>
    </row>
    <row r="13" spans="1:14" s="81" customFormat="1" ht="12.75" customHeight="1">
      <c r="A13" s="162" t="s">
        <v>4</v>
      </c>
      <c r="B13" s="164" t="s">
        <v>13</v>
      </c>
      <c r="C13" s="101">
        <v>49871.54</v>
      </c>
      <c r="D13" s="95"/>
      <c r="E13" s="83"/>
      <c r="F13" s="90"/>
      <c r="G13" s="175">
        <v>29810.81</v>
      </c>
      <c r="I13" s="81">
        <v>11</v>
      </c>
      <c r="J13" s="83">
        <v>0.5</v>
      </c>
      <c r="M13" s="219" t="str">
        <f ca="1">MID(CELL("FILENAME",N30),FIND("[",CELL("FILENAME",N30))+1,FIND("]",CELL("FILENAME",N30))-FIND("[",CELL("FILENAME",N30))-6)</f>
        <v>Esc Doc 2023 10 Cba V 1 1</v>
      </c>
      <c r="N13" s="219"/>
    </row>
    <row r="14" spans="1:13" s="81" customFormat="1" ht="12.75" customHeight="1">
      <c r="A14" s="162" t="s">
        <v>4</v>
      </c>
      <c r="B14" s="164" t="s">
        <v>14</v>
      </c>
      <c r="C14" s="175">
        <v>54217.67</v>
      </c>
      <c r="D14" s="95"/>
      <c r="E14" s="83"/>
      <c r="F14" s="90"/>
      <c r="G14" s="175">
        <v>29923.5</v>
      </c>
      <c r="I14" s="81">
        <v>12</v>
      </c>
      <c r="J14" s="83">
        <v>0.6</v>
      </c>
      <c r="M14" s="215" t="str">
        <f ca="1">MID($M$13,14,2)</f>
        <v>10</v>
      </c>
    </row>
    <row r="15" spans="1:13" s="81" customFormat="1" ht="12.75" customHeight="1">
      <c r="A15" s="162" t="s">
        <v>4</v>
      </c>
      <c r="B15" s="164" t="s">
        <v>609</v>
      </c>
      <c r="C15" s="8">
        <v>78671.09</v>
      </c>
      <c r="D15" s="95"/>
      <c r="E15" s="83"/>
      <c r="F15" s="90"/>
      <c r="G15" s="175">
        <v>42055.37</v>
      </c>
      <c r="I15" s="81">
        <v>13</v>
      </c>
      <c r="J15" s="83">
        <v>0.6</v>
      </c>
      <c r="M15" s="215" t="str">
        <f ca="1">MID($M$13,9,4)</f>
        <v>2023</v>
      </c>
    </row>
    <row r="16" spans="1:13" s="81" customFormat="1" ht="12.75" customHeight="1">
      <c r="A16" s="162" t="s">
        <v>4</v>
      </c>
      <c r="B16" s="164" t="s">
        <v>813</v>
      </c>
      <c r="C16" s="101">
        <v>47048.8</v>
      </c>
      <c r="D16" s="95"/>
      <c r="E16" s="83"/>
      <c r="F16" s="90"/>
      <c r="G16" s="175">
        <v>28123.5</v>
      </c>
      <c r="I16" s="81">
        <v>14</v>
      </c>
      <c r="J16" s="83">
        <v>0.6</v>
      </c>
      <c r="M16" s="81" t="str">
        <f ca="1">VLOOKUP(VALUE(M14),L17:M28,2,FALSE)</f>
        <v>OCTUBRE</v>
      </c>
    </row>
    <row r="17" spans="1:13" s="81" customFormat="1" ht="12.75" customHeight="1">
      <c r="A17" s="85" t="s">
        <v>607</v>
      </c>
      <c r="B17" s="85"/>
      <c r="C17" s="78"/>
      <c r="D17" s="85"/>
      <c r="E17" s="85"/>
      <c r="F17" s="85"/>
      <c r="G17" s="85"/>
      <c r="I17" s="81">
        <v>15</v>
      </c>
      <c r="J17" s="83">
        <v>0.7</v>
      </c>
      <c r="L17" s="215">
        <v>1</v>
      </c>
      <c r="M17" s="81" t="s">
        <v>636</v>
      </c>
    </row>
    <row r="18" spans="1:13" s="81" customFormat="1" ht="12.75" customHeight="1">
      <c r="A18" s="162" t="s">
        <v>4</v>
      </c>
      <c r="B18" s="163" t="s">
        <v>15</v>
      </c>
      <c r="C18" s="101">
        <v>580.73</v>
      </c>
      <c r="D18" s="95"/>
      <c r="E18" s="167"/>
      <c r="F18" s="84"/>
      <c r="G18" s="175">
        <v>347.14</v>
      </c>
      <c r="H18" s="84"/>
      <c r="I18" s="81">
        <v>16</v>
      </c>
      <c r="J18" s="83">
        <v>0.7</v>
      </c>
      <c r="L18" s="215">
        <v>2</v>
      </c>
      <c r="M18" s="81" t="s">
        <v>637</v>
      </c>
    </row>
    <row r="19" spans="1:13" s="81" customFormat="1" ht="12.75" customHeight="1">
      <c r="A19" s="162" t="s">
        <v>4</v>
      </c>
      <c r="B19" s="163" t="s">
        <v>630</v>
      </c>
      <c r="C19" s="101">
        <v>25899.06</v>
      </c>
      <c r="D19" s="95"/>
      <c r="E19" s="216" t="s">
        <v>574</v>
      </c>
      <c r="F19" s="84"/>
      <c r="G19" s="175">
        <v>15481.21</v>
      </c>
      <c r="I19" s="81">
        <v>17</v>
      </c>
      <c r="J19" s="83">
        <v>0.8</v>
      </c>
      <c r="L19" s="215">
        <v>3</v>
      </c>
      <c r="M19" s="81" t="s">
        <v>638</v>
      </c>
    </row>
    <row r="20" spans="1:13" s="81" customFormat="1" ht="12.75" customHeight="1">
      <c r="A20" s="162" t="s">
        <v>4</v>
      </c>
      <c r="B20" s="163" t="s">
        <v>631</v>
      </c>
      <c r="C20" s="101">
        <v>25634.272</v>
      </c>
      <c r="D20" s="95"/>
      <c r="E20" s="167"/>
      <c r="F20" s="84"/>
      <c r="G20" s="175">
        <v>15322.93</v>
      </c>
      <c r="H20" s="84"/>
      <c r="I20" s="81">
        <v>18</v>
      </c>
      <c r="J20" s="83">
        <v>0.8</v>
      </c>
      <c r="L20" s="215">
        <v>4</v>
      </c>
      <c r="M20" s="81" t="s">
        <v>639</v>
      </c>
    </row>
    <row r="21" spans="1:13" s="81" customFormat="1" ht="12.75" customHeight="1">
      <c r="A21" s="85" t="s">
        <v>607</v>
      </c>
      <c r="B21" s="85"/>
      <c r="C21" s="78"/>
      <c r="D21" s="85"/>
      <c r="E21" s="85"/>
      <c r="F21" s="85"/>
      <c r="G21" s="85"/>
      <c r="H21" s="84"/>
      <c r="I21" s="81">
        <v>19</v>
      </c>
      <c r="J21" s="83">
        <v>0.8</v>
      </c>
      <c r="L21" s="215">
        <v>5</v>
      </c>
      <c r="M21" s="81" t="s">
        <v>640</v>
      </c>
    </row>
    <row r="22" spans="1:13" s="81" customFormat="1" ht="12.75" customHeight="1">
      <c r="A22" s="80" t="s">
        <v>4</v>
      </c>
      <c r="B22" s="86" t="s">
        <v>632</v>
      </c>
      <c r="C22" s="175">
        <v>24831.49</v>
      </c>
      <c r="D22" s="166"/>
      <c r="G22" s="175">
        <v>14843.06</v>
      </c>
      <c r="H22" s="84"/>
      <c r="I22" s="81">
        <v>20</v>
      </c>
      <c r="J22" s="83">
        <v>1</v>
      </c>
      <c r="L22" s="215">
        <v>6</v>
      </c>
      <c r="M22" s="81" t="s">
        <v>641</v>
      </c>
    </row>
    <row r="23" spans="1:13" s="81" customFormat="1" ht="12.75" customHeight="1">
      <c r="A23" s="80" t="s">
        <v>4</v>
      </c>
      <c r="B23" s="86" t="s">
        <v>629</v>
      </c>
      <c r="C23" s="175">
        <v>23111.51</v>
      </c>
      <c r="D23" s="166"/>
      <c r="G23" s="175">
        <v>13814.94</v>
      </c>
      <c r="H23" s="84"/>
      <c r="I23" s="81">
        <v>21</v>
      </c>
      <c r="J23" s="83">
        <v>1</v>
      </c>
      <c r="L23" s="215">
        <v>7</v>
      </c>
      <c r="M23" s="81" t="s">
        <v>642</v>
      </c>
    </row>
    <row r="24" spans="1:13" s="81" customFormat="1" ht="12.75" customHeight="1">
      <c r="A24" s="85" t="s">
        <v>607</v>
      </c>
      <c r="B24" s="85"/>
      <c r="C24" s="78"/>
      <c r="D24" s="85"/>
      <c r="E24" s="85"/>
      <c r="F24" s="85"/>
      <c r="G24" s="85"/>
      <c r="H24" s="84"/>
      <c r="I24" s="81">
        <v>22</v>
      </c>
      <c r="J24" s="83">
        <v>1.1</v>
      </c>
      <c r="L24" s="215">
        <v>8</v>
      </c>
      <c r="M24" s="81" t="s">
        <v>643</v>
      </c>
    </row>
    <row r="25" spans="1:13" s="81" customFormat="1" ht="12.75" customHeight="1">
      <c r="A25" s="80" t="s">
        <v>4</v>
      </c>
      <c r="B25" s="86" t="s">
        <v>16</v>
      </c>
      <c r="C25" s="8">
        <v>1138.39</v>
      </c>
      <c r="D25" s="95"/>
      <c r="F25" s="87">
        <f>+(C25*1.5)+1.05</f>
        <v>1708.635</v>
      </c>
      <c r="G25" s="175">
        <v>680.47</v>
      </c>
      <c r="H25" s="84"/>
      <c r="I25" s="81">
        <v>23</v>
      </c>
      <c r="J25" s="83">
        <v>1.1</v>
      </c>
      <c r="L25" s="215">
        <v>9</v>
      </c>
      <c r="M25" s="81" t="s">
        <v>644</v>
      </c>
    </row>
    <row r="26" spans="1:13" s="81" customFormat="1" ht="12.75" customHeight="1">
      <c r="A26" s="80" t="s">
        <v>4</v>
      </c>
      <c r="B26" s="86" t="s">
        <v>17</v>
      </c>
      <c r="C26" s="8">
        <v>1138.39</v>
      </c>
      <c r="D26" s="95"/>
      <c r="F26" s="87">
        <f>C26</f>
        <v>1138.39</v>
      </c>
      <c r="G26" s="175">
        <v>680.47</v>
      </c>
      <c r="H26" s="84"/>
      <c r="I26" s="81">
        <v>24</v>
      </c>
      <c r="J26" s="83">
        <v>1.2</v>
      </c>
      <c r="L26" s="215">
        <v>10</v>
      </c>
      <c r="M26" s="81" t="s">
        <v>645</v>
      </c>
    </row>
    <row r="27" spans="1:13" s="81" customFormat="1" ht="12.75" customHeight="1">
      <c r="A27" s="85" t="s">
        <v>607</v>
      </c>
      <c r="B27" s="85"/>
      <c r="C27" s="78"/>
      <c r="D27" s="85"/>
      <c r="E27" s="85"/>
      <c r="F27" s="85"/>
      <c r="G27" s="85"/>
      <c r="H27" s="84"/>
      <c r="I27" s="81">
        <v>25</v>
      </c>
      <c r="J27" s="83">
        <v>1.2</v>
      </c>
      <c r="L27" s="215">
        <v>11</v>
      </c>
      <c r="M27" s="81" t="s">
        <v>646</v>
      </c>
    </row>
    <row r="28" spans="1:13" s="81" customFormat="1" ht="12.75" customHeight="1">
      <c r="A28" s="80" t="s">
        <v>4</v>
      </c>
      <c r="B28" s="81" t="s">
        <v>18</v>
      </c>
      <c r="C28" s="101">
        <v>45.62</v>
      </c>
      <c r="F28" s="87">
        <f>F25</f>
        <v>1708.635</v>
      </c>
      <c r="G28" s="175">
        <v>27.26</v>
      </c>
      <c r="I28" s="81">
        <v>26</v>
      </c>
      <c r="J28" s="83">
        <v>1.3</v>
      </c>
      <c r="L28" s="215">
        <v>12</v>
      </c>
      <c r="M28" s="81" t="s">
        <v>647</v>
      </c>
    </row>
    <row r="29" spans="1:10" s="81" customFormat="1" ht="13.5" customHeight="1" thickBot="1">
      <c r="A29" s="91" t="s">
        <v>4</v>
      </c>
      <c r="B29" s="92" t="s">
        <v>19</v>
      </c>
      <c r="C29" s="101">
        <v>37.99</v>
      </c>
      <c r="D29" s="92"/>
      <c r="E29" s="92"/>
      <c r="F29" s="93">
        <f>F26</f>
        <v>1138.39</v>
      </c>
      <c r="G29" s="175">
        <v>22.7</v>
      </c>
      <c r="I29" s="81">
        <v>27</v>
      </c>
      <c r="J29" s="83">
        <v>1.3</v>
      </c>
    </row>
    <row r="30" spans="1:10" s="81" customFormat="1" ht="12.75" customHeight="1" thickTop="1">
      <c r="A30" s="75" t="s">
        <v>607</v>
      </c>
      <c r="B30" s="75"/>
      <c r="C30" s="78"/>
      <c r="D30" s="75"/>
      <c r="E30" s="75"/>
      <c r="F30" s="75"/>
      <c r="G30" s="75"/>
      <c r="I30" s="81">
        <v>28</v>
      </c>
      <c r="J30" s="83">
        <v>1.4</v>
      </c>
    </row>
    <row r="31" spans="1:10" s="81" customFormat="1" ht="12.75" customHeight="1">
      <c r="A31" s="96" t="s">
        <v>8</v>
      </c>
      <c r="B31" s="96" t="s">
        <v>20</v>
      </c>
      <c r="C31" s="101">
        <v>0</v>
      </c>
      <c r="D31" s="97" t="e">
        <f>C31/C32</f>
        <v>#DIV/0!</v>
      </c>
      <c r="E31" s="98"/>
      <c r="F31" s="97"/>
      <c r="G31" s="98"/>
      <c r="I31" s="81">
        <v>29</v>
      </c>
      <c r="J31" s="83">
        <v>1.4</v>
      </c>
    </row>
    <row r="32" spans="1:10" s="81" customFormat="1" ht="12.75" customHeight="1">
      <c r="A32" s="96" t="s">
        <v>8</v>
      </c>
      <c r="B32" s="96" t="s">
        <v>21</v>
      </c>
      <c r="C32" s="101">
        <v>0</v>
      </c>
      <c r="D32" s="98"/>
      <c r="E32" s="97"/>
      <c r="F32" s="97">
        <f>(C31*2)+0</f>
        <v>0</v>
      </c>
      <c r="G32" s="97"/>
      <c r="I32" s="81">
        <v>30</v>
      </c>
      <c r="J32" s="83">
        <v>1.5</v>
      </c>
    </row>
    <row r="33" spans="1:10" s="81" customFormat="1" ht="12.75" customHeight="1">
      <c r="A33" s="96" t="s">
        <v>8</v>
      </c>
      <c r="B33" s="96" t="s">
        <v>808</v>
      </c>
      <c r="C33" s="101">
        <v>0</v>
      </c>
      <c r="D33" s="98"/>
      <c r="E33" s="97"/>
      <c r="F33" s="97"/>
      <c r="G33" s="97"/>
      <c r="I33" s="81">
        <v>31</v>
      </c>
      <c r="J33" s="83">
        <v>1.5</v>
      </c>
    </row>
    <row r="34" spans="1:13" s="81" customFormat="1" ht="12.75" customHeight="1">
      <c r="A34" s="96" t="s">
        <v>8</v>
      </c>
      <c r="B34" s="96" t="s">
        <v>809</v>
      </c>
      <c r="C34" s="101">
        <f>C33/2</f>
        <v>0</v>
      </c>
      <c r="D34" s="98"/>
      <c r="E34" s="97"/>
      <c r="F34" s="97"/>
      <c r="G34" s="97"/>
      <c r="I34">
        <v>32</v>
      </c>
      <c r="J34" s="3">
        <v>1.5</v>
      </c>
      <c r="M34" s="88"/>
    </row>
    <row r="35" spans="1:10" s="92" customFormat="1" ht="13.5" customHeight="1" thickBot="1">
      <c r="A35" s="96" t="s">
        <v>8</v>
      </c>
      <c r="B35" s="96" t="s">
        <v>648</v>
      </c>
      <c r="C35" s="101">
        <v>0</v>
      </c>
      <c r="D35" s="98"/>
      <c r="E35" s="97"/>
      <c r="F35" s="97"/>
      <c r="G35" s="97"/>
      <c r="I35" s="92">
        <v>33</v>
      </c>
      <c r="J35" s="92">
        <v>1.5</v>
      </c>
    </row>
    <row r="36" spans="1:13" ht="17.25" customHeight="1" thickTop="1">
      <c r="A36" s="96" t="s">
        <v>8</v>
      </c>
      <c r="B36" s="96" t="s">
        <v>649</v>
      </c>
      <c r="C36" s="101">
        <v>0</v>
      </c>
      <c r="D36" s="98"/>
      <c r="E36" s="97"/>
      <c r="F36" s="97">
        <f>(C35*2)+0</f>
        <v>0</v>
      </c>
      <c r="G36" s="97"/>
      <c r="I36">
        <v>34</v>
      </c>
      <c r="J36" s="3">
        <v>1.5</v>
      </c>
      <c r="M36" s="7"/>
    </row>
    <row r="37" spans="1:10" ht="12.75" customHeight="1">
      <c r="A37" s="75" t="s">
        <v>607</v>
      </c>
      <c r="B37" s="75"/>
      <c r="C37" s="78"/>
      <c r="D37" s="75"/>
      <c r="E37" s="75"/>
      <c r="F37" s="75"/>
      <c r="G37" s="75"/>
      <c r="H37" s="5"/>
      <c r="I37">
        <v>35</v>
      </c>
      <c r="J37" s="3">
        <v>1.5</v>
      </c>
    </row>
    <row r="38" spans="1:10" ht="12.75" customHeight="1">
      <c r="A38" s="74" t="s">
        <v>8</v>
      </c>
      <c r="B38" t="s">
        <v>22</v>
      </c>
      <c r="C38" s="77">
        <v>0</v>
      </c>
      <c r="D38" s="5"/>
      <c r="E38" s="5"/>
      <c r="F38" s="181">
        <f>C38</f>
        <v>0</v>
      </c>
      <c r="G38" s="5"/>
      <c r="H38" s="5"/>
      <c r="I38">
        <v>36</v>
      </c>
      <c r="J38" s="3">
        <v>1.5</v>
      </c>
    </row>
    <row r="39" spans="1:10" ht="12.75" customHeight="1">
      <c r="A39" s="74" t="s">
        <v>8</v>
      </c>
      <c r="B39" s="74" t="s">
        <v>658</v>
      </c>
      <c r="C39" s="77">
        <f>C38/30</f>
        <v>0</v>
      </c>
      <c r="D39" s="5"/>
      <c r="E39" s="5"/>
      <c r="F39" s="180"/>
      <c r="G39" s="5"/>
      <c r="H39" s="5"/>
      <c r="I39">
        <v>39</v>
      </c>
      <c r="J39" s="3">
        <v>1.5</v>
      </c>
    </row>
    <row r="40" spans="1:10" ht="12.75" customHeight="1">
      <c r="A40" s="74" t="s">
        <v>8</v>
      </c>
      <c r="B40" s="74" t="s">
        <v>814</v>
      </c>
      <c r="C40" s="77">
        <v>0</v>
      </c>
      <c r="D40" s="5"/>
      <c r="E40" s="5"/>
      <c r="F40" s="180"/>
      <c r="G40" s="5"/>
      <c r="H40" s="5"/>
      <c r="I40">
        <v>40</v>
      </c>
      <c r="J40" s="3">
        <v>1.5</v>
      </c>
    </row>
    <row r="41" spans="1:10" ht="12.75" customHeight="1">
      <c r="A41" s="75" t="s">
        <v>607</v>
      </c>
      <c r="B41" s="75"/>
      <c r="C41" s="78"/>
      <c r="D41" s="75"/>
      <c r="E41" s="75"/>
      <c r="F41" s="75"/>
      <c r="G41" s="75"/>
      <c r="H41" s="5"/>
      <c r="I41">
        <v>41</v>
      </c>
      <c r="J41" s="3">
        <v>1.5</v>
      </c>
    </row>
    <row r="42" spans="1:10" ht="12.75" customHeight="1">
      <c r="A42" s="74" t="s">
        <v>4</v>
      </c>
      <c r="B42" s="2" t="s">
        <v>635</v>
      </c>
      <c r="C42" s="100">
        <v>17156.73</v>
      </c>
      <c r="D42" s="6"/>
      <c r="E42" s="165"/>
      <c r="F42" s="5"/>
      <c r="G42" s="175">
        <v>10255.46</v>
      </c>
      <c r="H42" s="5"/>
      <c r="I42">
        <v>42</v>
      </c>
      <c r="J42" s="3">
        <v>1.5</v>
      </c>
    </row>
    <row r="43" spans="1:10" ht="12.75" customHeight="1">
      <c r="A43" s="74" t="s">
        <v>4</v>
      </c>
      <c r="B43" s="2" t="s">
        <v>634</v>
      </c>
      <c r="C43" s="101">
        <v>18245.91</v>
      </c>
      <c r="D43" s="6"/>
      <c r="E43" s="165"/>
      <c r="F43" s="5"/>
      <c r="G43" s="175">
        <v>10906.52</v>
      </c>
      <c r="H43" s="5"/>
      <c r="I43">
        <v>43</v>
      </c>
      <c r="J43" s="3">
        <v>1.5</v>
      </c>
    </row>
    <row r="44" spans="1:10" ht="12.75">
      <c r="A44" s="74" t="s">
        <v>4</v>
      </c>
      <c r="B44" s="2" t="s">
        <v>633</v>
      </c>
      <c r="C44" s="101">
        <v>19335.33</v>
      </c>
      <c r="D44" s="6"/>
      <c r="E44" s="165"/>
      <c r="G44" s="175">
        <v>11557.73</v>
      </c>
      <c r="I44">
        <v>44</v>
      </c>
      <c r="J44" s="3">
        <v>1.5</v>
      </c>
    </row>
    <row r="45" spans="1:10" ht="12.75">
      <c r="A45" s="74" t="s">
        <v>4</v>
      </c>
      <c r="B45" s="2" t="s">
        <v>811</v>
      </c>
      <c r="C45" s="101">
        <v>20416.3</v>
      </c>
      <c r="D45" s="6"/>
      <c r="E45" s="165"/>
      <c r="G45" s="175">
        <v>12203.88</v>
      </c>
      <c r="I45">
        <v>45</v>
      </c>
      <c r="J45" s="3">
        <v>1.5</v>
      </c>
    </row>
    <row r="46" spans="1:10" ht="12.75">
      <c r="A46" s="74" t="s">
        <v>4</v>
      </c>
      <c r="B46" s="2" t="s">
        <v>810</v>
      </c>
      <c r="C46" s="101">
        <v>23691.88</v>
      </c>
      <c r="D46" s="6"/>
      <c r="E46" s="165"/>
      <c r="F46" s="218">
        <v>33800.96</v>
      </c>
      <c r="G46" s="175">
        <v>14161.86</v>
      </c>
      <c r="H46" s="5"/>
      <c r="I46">
        <v>46</v>
      </c>
      <c r="J46" s="3">
        <v>1.5</v>
      </c>
    </row>
    <row r="47" spans="1:10" ht="12.75">
      <c r="A47" s="74" t="s">
        <v>4</v>
      </c>
      <c r="B47" s="2" t="s">
        <v>812</v>
      </c>
      <c r="C47" s="101">
        <v>29096.75</v>
      </c>
      <c r="D47" s="6"/>
      <c r="E47" s="165"/>
      <c r="F47" s="8"/>
      <c r="G47" s="175">
        <v>17392.63</v>
      </c>
      <c r="I47">
        <v>47</v>
      </c>
      <c r="J47" s="3">
        <v>1.5</v>
      </c>
    </row>
    <row r="48" spans="1:10" ht="12.75">
      <c r="A48" s="74" t="s">
        <v>4</v>
      </c>
      <c r="B48" s="2" t="s">
        <v>818</v>
      </c>
      <c r="C48" s="101">
        <v>24772.84</v>
      </c>
      <c r="D48" s="6"/>
      <c r="E48" s="165"/>
      <c r="F48" s="8"/>
      <c r="G48" s="175">
        <v>14808.01</v>
      </c>
      <c r="I48">
        <v>48</v>
      </c>
      <c r="J48" s="3">
        <v>1.5</v>
      </c>
    </row>
    <row r="49" spans="1:10" ht="12.75">
      <c r="A49" s="74" t="s">
        <v>4</v>
      </c>
      <c r="B49" s="2" t="s">
        <v>23</v>
      </c>
      <c r="C49" s="101">
        <v>972.6</v>
      </c>
      <c r="D49" s="6"/>
      <c r="E49" s="165"/>
      <c r="G49" s="175">
        <v>581.38</v>
      </c>
      <c r="I49">
        <v>49</v>
      </c>
      <c r="J49" s="3">
        <v>1.5</v>
      </c>
    </row>
    <row r="50" spans="1:12" ht="12.75">
      <c r="A50" s="74" t="s">
        <v>4</v>
      </c>
      <c r="B50" s="2" t="s">
        <v>24</v>
      </c>
      <c r="C50" s="101">
        <v>1446.04</v>
      </c>
      <c r="D50" s="6"/>
      <c r="E50" s="165"/>
      <c r="G50" s="175">
        <v>864.36</v>
      </c>
      <c r="I50">
        <v>50</v>
      </c>
      <c r="J50" s="3">
        <v>1.5</v>
      </c>
      <c r="L50">
        <f>267.87+5.37</f>
        <v>273.24</v>
      </c>
    </row>
    <row r="51" spans="1:10" ht="12.75">
      <c r="A51" s="74" t="s">
        <v>4</v>
      </c>
      <c r="B51" s="2" t="s">
        <v>652</v>
      </c>
      <c r="C51" s="101">
        <v>723.02</v>
      </c>
      <c r="D51" s="6"/>
      <c r="E51" s="165"/>
      <c r="G51" s="175">
        <v>432.18</v>
      </c>
      <c r="I51">
        <v>51</v>
      </c>
      <c r="J51" s="3">
        <v>1.5</v>
      </c>
    </row>
    <row r="52" spans="1:10" ht="12" customHeight="1">
      <c r="A52" s="75" t="s">
        <v>607</v>
      </c>
      <c r="B52" s="75"/>
      <c r="C52" s="78"/>
      <c r="D52" s="75"/>
      <c r="E52" s="75"/>
      <c r="F52" s="75"/>
      <c r="G52" s="75"/>
      <c r="I52">
        <v>52</v>
      </c>
      <c r="J52" s="3">
        <v>1.5</v>
      </c>
    </row>
    <row r="53" spans="1:10" ht="12.75" customHeight="1">
      <c r="A53" s="74" t="s">
        <v>8</v>
      </c>
      <c r="B53" s="74" t="s">
        <v>25</v>
      </c>
      <c r="C53" s="94">
        <f>INT((D53/15*100)+0.49)/100</f>
        <v>80.67</v>
      </c>
      <c r="D53" s="74">
        <f>D54</f>
        <v>1210</v>
      </c>
      <c r="E53" s="74"/>
      <c r="F53" s="74">
        <v>1210</v>
      </c>
      <c r="G53" s="74"/>
      <c r="I53">
        <v>53</v>
      </c>
      <c r="J53" s="3">
        <v>1.5</v>
      </c>
    </row>
    <row r="54" spans="1:7" ht="12.75" customHeight="1">
      <c r="A54" s="74" t="s">
        <v>8</v>
      </c>
      <c r="B54" s="74" t="s">
        <v>26</v>
      </c>
      <c r="C54" s="94">
        <v>1210</v>
      </c>
      <c r="D54" s="74">
        <v>1210</v>
      </c>
      <c r="E54" s="74"/>
      <c r="F54" s="74"/>
      <c r="G54" s="74"/>
    </row>
    <row r="55" spans="1:3" ht="12.75" customHeight="1">
      <c r="A55" s="74" t="s">
        <v>8</v>
      </c>
      <c r="B55" s="2" t="s">
        <v>27</v>
      </c>
      <c r="C55" s="100">
        <v>327.6</v>
      </c>
    </row>
    <row r="56" spans="1:3" ht="12.75" customHeight="1">
      <c r="A56" s="74" t="s">
        <v>8</v>
      </c>
      <c r="B56" s="2" t="s">
        <v>28</v>
      </c>
      <c r="C56" s="100">
        <v>170.34</v>
      </c>
    </row>
    <row r="57" spans="1:3" ht="12.75" customHeight="1">
      <c r="A57" s="74" t="s">
        <v>8</v>
      </c>
      <c r="B57" s="2" t="s">
        <v>29</v>
      </c>
      <c r="C57" s="101">
        <v>327.6</v>
      </c>
    </row>
    <row r="58" spans="1:9" ht="12.75" customHeight="1">
      <c r="A58" s="74" t="s">
        <v>8</v>
      </c>
      <c r="B58" s="2" t="s">
        <v>30</v>
      </c>
      <c r="C58" s="101">
        <v>155.18</v>
      </c>
      <c r="I58" s="174">
        <f>+C63/15</f>
        <v>867.6479999999999</v>
      </c>
    </row>
    <row r="59" spans="1:9" ht="12.75" customHeight="1">
      <c r="A59" s="74" t="s">
        <v>8</v>
      </c>
      <c r="B59" s="2" t="s">
        <v>31</v>
      </c>
      <c r="C59" s="101">
        <v>149.55200000000002</v>
      </c>
      <c r="I59" s="3"/>
    </row>
    <row r="60" spans="1:9" ht="12.75" customHeight="1">
      <c r="A60" s="74" t="s">
        <v>8</v>
      </c>
      <c r="B60" s="2" t="s">
        <v>32</v>
      </c>
      <c r="C60" s="101">
        <v>252.668</v>
      </c>
      <c r="I60" s="3"/>
    </row>
    <row r="61" spans="1:9" ht="12.75" customHeight="1">
      <c r="A61" s="74" t="s">
        <v>8</v>
      </c>
      <c r="B61" s="2" t="s">
        <v>33</v>
      </c>
      <c r="C61" s="101">
        <v>14.195</v>
      </c>
      <c r="E61" s="73">
        <f>F61/C61</f>
        <v>23.078548784783376</v>
      </c>
      <c r="F61" s="5">
        <f>C55</f>
        <v>327.6</v>
      </c>
      <c r="I61" s="3"/>
    </row>
    <row r="62" spans="1:6" ht="12.75" customHeight="1">
      <c r="A62" s="74" t="s">
        <v>8</v>
      </c>
      <c r="B62" s="2" t="s">
        <v>34</v>
      </c>
      <c r="C62" s="99">
        <v>11.3559</v>
      </c>
      <c r="E62" s="73">
        <f>F62/C62</f>
        <v>28.848440017964233</v>
      </c>
      <c r="F62" s="5">
        <f>C55</f>
        <v>327.6</v>
      </c>
    </row>
    <row r="63" spans="1:7" ht="12.75">
      <c r="A63" s="74" t="s">
        <v>4</v>
      </c>
      <c r="B63" s="2" t="s">
        <v>622</v>
      </c>
      <c r="C63" s="100">
        <v>13014.72</v>
      </c>
      <c r="D63" s="3">
        <f>ROUND((C63/15)-0.0005,2)</f>
        <v>867.65</v>
      </c>
      <c r="E63" s="79">
        <v>38.47</v>
      </c>
      <c r="F63" s="3">
        <f>(+C63*2)</f>
        <v>26029.44</v>
      </c>
      <c r="G63" s="175">
        <v>7582.51</v>
      </c>
    </row>
    <row r="64" spans="1:7" ht="12.75">
      <c r="A64" s="74" t="s">
        <v>4</v>
      </c>
      <c r="B64" s="2" t="s">
        <v>35</v>
      </c>
      <c r="C64" s="100">
        <v>1310.4</v>
      </c>
      <c r="D64" s="172"/>
      <c r="F64" s="3"/>
      <c r="G64" s="175">
        <v>9099.01</v>
      </c>
    </row>
    <row r="65" spans="1:7" ht="12.75">
      <c r="A65" s="74" t="s">
        <v>4</v>
      </c>
      <c r="B65" s="2" t="s">
        <v>653</v>
      </c>
      <c r="C65" s="100">
        <v>655.2</v>
      </c>
      <c r="D65" s="172"/>
      <c r="F65" s="3"/>
      <c r="G65" s="175">
        <v>15165.02</v>
      </c>
    </row>
    <row r="66" spans="1:7" ht="12.75" customHeight="1">
      <c r="A66" s="75" t="s">
        <v>607</v>
      </c>
      <c r="B66" s="75"/>
      <c r="C66" s="76"/>
      <c r="D66" s="75"/>
      <c r="E66" s="75"/>
      <c r="F66" s="75"/>
      <c r="G66" s="75">
        <v>335.93</v>
      </c>
    </row>
    <row r="67" spans="1:7" ht="12.75" customHeight="1">
      <c r="A67" s="104" t="s">
        <v>8</v>
      </c>
      <c r="B67" t="s">
        <v>610</v>
      </c>
      <c r="C67" s="103">
        <v>1210</v>
      </c>
      <c r="D67" s="102"/>
      <c r="E67" s="102"/>
      <c r="F67">
        <v>2420</v>
      </c>
      <c r="G67" s="212">
        <v>758.26</v>
      </c>
    </row>
    <row r="68" spans="1:7" ht="12.75" customHeight="1">
      <c r="A68" s="75" t="s">
        <v>607</v>
      </c>
      <c r="B68" s="75"/>
      <c r="C68" s="76"/>
      <c r="D68" s="75"/>
      <c r="E68" s="75"/>
      <c r="F68" s="75"/>
      <c r="G68" s="75">
        <v>379.13</v>
      </c>
    </row>
    <row r="69" spans="1:7" ht="12.75" customHeight="1">
      <c r="A69" s="74" t="s">
        <v>8</v>
      </c>
      <c r="B69" s="2" t="s">
        <v>36</v>
      </c>
      <c r="C69" s="9">
        <v>0</v>
      </c>
      <c r="D69" s="10"/>
      <c r="G69" s="212"/>
    </row>
    <row r="70" spans="1:7" ht="12.75" customHeight="1">
      <c r="A70" s="75" t="s">
        <v>607</v>
      </c>
      <c r="B70" s="75"/>
      <c r="C70" s="76"/>
      <c r="D70" s="75"/>
      <c r="E70" s="75"/>
      <c r="F70" s="75"/>
      <c r="G70" s="75"/>
    </row>
    <row r="71" spans="1:3" ht="12.75" customHeight="1">
      <c r="A71" s="74" t="s">
        <v>8</v>
      </c>
      <c r="B71" t="s">
        <v>37</v>
      </c>
      <c r="C71" s="11">
        <v>-0.11</v>
      </c>
    </row>
    <row r="72" spans="1:3" ht="12.75" customHeight="1">
      <c r="A72" s="74" t="s">
        <v>8</v>
      </c>
      <c r="B72" t="s">
        <v>38</v>
      </c>
      <c r="C72" s="11">
        <v>0</v>
      </c>
    </row>
    <row r="73" spans="1:3" ht="12.75" customHeight="1">
      <c r="A73" s="74" t="s">
        <v>8</v>
      </c>
      <c r="B73" t="s">
        <v>39</v>
      </c>
      <c r="C73" s="11">
        <v>-0.045</v>
      </c>
    </row>
    <row r="74" spans="1:3" ht="12.75" customHeight="1">
      <c r="A74" s="74" t="s">
        <v>8</v>
      </c>
      <c r="B74" t="s">
        <v>40</v>
      </c>
      <c r="C74" s="11">
        <v>-0.027</v>
      </c>
    </row>
    <row r="75" spans="1:7" ht="12.75" customHeight="1">
      <c r="A75" s="74" t="s">
        <v>8</v>
      </c>
      <c r="B75" t="s">
        <v>41</v>
      </c>
      <c r="C75" s="11">
        <v>-0.003</v>
      </c>
      <c r="G75" s="212"/>
    </row>
    <row r="76" spans="1:7" ht="12.75" customHeight="1">
      <c r="A76" s="75" t="s">
        <v>607</v>
      </c>
      <c r="B76" s="75"/>
      <c r="C76" s="76"/>
      <c r="D76" s="75"/>
      <c r="E76" s="75"/>
      <c r="F76" s="75"/>
      <c r="G76" s="75"/>
    </row>
    <row r="77" spans="1:3" ht="12.75" customHeight="1">
      <c r="A77" s="74" t="s">
        <v>8</v>
      </c>
      <c r="B77" t="s">
        <v>42</v>
      </c>
      <c r="C77" s="11">
        <v>0.16</v>
      </c>
    </row>
    <row r="78" spans="1:3" ht="12.75" customHeight="1">
      <c r="A78" s="74" t="s">
        <v>8</v>
      </c>
      <c r="B78" t="s">
        <v>43</v>
      </c>
      <c r="C78" s="11">
        <v>0.07</v>
      </c>
    </row>
    <row r="79" spans="1:7" ht="12.75" customHeight="1">
      <c r="A79" s="74" t="s">
        <v>8</v>
      </c>
      <c r="B79" t="s">
        <v>44</v>
      </c>
      <c r="C79" s="11">
        <v>0.01</v>
      </c>
      <c r="G79" s="212"/>
    </row>
    <row r="80" spans="1:7" ht="12.75" customHeight="1">
      <c r="A80" s="75" t="s">
        <v>607</v>
      </c>
      <c r="B80" s="75"/>
      <c r="C80" s="76"/>
      <c r="D80" s="75"/>
      <c r="E80" s="75"/>
      <c r="F80" s="75"/>
      <c r="G80" s="75"/>
    </row>
    <row r="81" spans="1:3" ht="12.75" customHeight="1">
      <c r="A81" s="74" t="s">
        <v>8</v>
      </c>
      <c r="B81" t="s">
        <v>45</v>
      </c>
      <c r="C81" s="11">
        <v>0.035</v>
      </c>
    </row>
    <row r="82" spans="1:3" ht="12.75" customHeight="1">
      <c r="A82" s="74" t="s">
        <v>8</v>
      </c>
      <c r="B82" t="s">
        <v>46</v>
      </c>
      <c r="C82" s="11">
        <v>0.006</v>
      </c>
    </row>
    <row r="83" spans="1:7" ht="12.75" customHeight="1">
      <c r="A83" s="74" t="s">
        <v>8</v>
      </c>
      <c r="B83" t="s">
        <v>47</v>
      </c>
      <c r="C83" s="11">
        <v>0.054</v>
      </c>
      <c r="G83" s="212"/>
    </row>
    <row r="84" spans="1:7" ht="12.75" customHeight="1">
      <c r="A84" s="75" t="s">
        <v>607</v>
      </c>
      <c r="B84" s="75"/>
      <c r="C84" s="76"/>
      <c r="D84" s="75"/>
      <c r="E84" s="75"/>
      <c r="F84" s="75"/>
      <c r="G84" s="75"/>
    </row>
    <row r="85" spans="1:7" ht="12.75" customHeight="1">
      <c r="A85" s="74" t="s">
        <v>8</v>
      </c>
      <c r="B85" t="s">
        <v>48</v>
      </c>
      <c r="C85" s="4">
        <v>0.5</v>
      </c>
      <c r="G85" s="212"/>
    </row>
    <row r="86" spans="1:7" ht="12.75" customHeight="1">
      <c r="A86" s="75" t="s">
        <v>607</v>
      </c>
      <c r="B86" s="75"/>
      <c r="C86" s="76"/>
      <c r="D86" s="75"/>
      <c r="E86" s="75"/>
      <c r="F86" s="75"/>
      <c r="G86" s="75"/>
    </row>
    <row r="87" spans="1:5" ht="12.75" customHeight="1">
      <c r="A87" s="74" t="s">
        <v>8</v>
      </c>
      <c r="B87" s="74" t="s">
        <v>623</v>
      </c>
      <c r="C87" s="8">
        <v>0</v>
      </c>
      <c r="E87" s="8"/>
    </row>
    <row r="88" spans="1:5" ht="12.75" customHeight="1">
      <c r="A88" s="74" t="s">
        <v>8</v>
      </c>
      <c r="B88" s="74" t="s">
        <v>624</v>
      </c>
      <c r="C88" s="8">
        <v>0</v>
      </c>
      <c r="E88" s="8"/>
    </row>
    <row r="89" spans="1:6" ht="12.75" customHeight="1">
      <c r="A89" s="74" t="s">
        <v>8</v>
      </c>
      <c r="B89" s="74" t="s">
        <v>625</v>
      </c>
      <c r="C89" s="100">
        <v>0</v>
      </c>
      <c r="E89" s="8"/>
      <c r="F89" s="8">
        <f>+C89</f>
        <v>0</v>
      </c>
    </row>
    <row r="90" spans="1:5" ht="12.75" customHeight="1">
      <c r="A90" s="74" t="s">
        <v>8</v>
      </c>
      <c r="B90" s="74" t="s">
        <v>626</v>
      </c>
      <c r="C90" s="8">
        <v>0</v>
      </c>
      <c r="E90" s="8"/>
    </row>
    <row r="91" spans="1:5" ht="12.75" customHeight="1">
      <c r="A91" s="74" t="s">
        <v>8</v>
      </c>
      <c r="B91" s="74" t="s">
        <v>654</v>
      </c>
      <c r="C91" s="8">
        <v>0</v>
      </c>
      <c r="E91" s="8"/>
    </row>
    <row r="92" spans="1:5" ht="12.75" customHeight="1">
      <c r="A92" s="74" t="s">
        <v>8</v>
      </c>
      <c r="B92" s="74" t="s">
        <v>656</v>
      </c>
      <c r="C92" s="8">
        <f>C91/2</f>
        <v>0</v>
      </c>
      <c r="E92" s="8"/>
    </row>
    <row r="93" spans="1:5" ht="12.75">
      <c r="A93" s="74" t="s">
        <v>607</v>
      </c>
      <c r="B93" s="74"/>
      <c r="C93" s="8"/>
      <c r="E93" s="8"/>
    </row>
    <row r="94" spans="1:11" ht="12.75">
      <c r="A94" s="74" t="s">
        <v>4</v>
      </c>
      <c r="B94" s="74" t="s">
        <v>611</v>
      </c>
      <c r="C94" s="8">
        <v>38113.67</v>
      </c>
      <c r="F94" s="8">
        <f aca="true" t="shared" si="0" ref="F94:F95">C94</f>
        <v>38113.67</v>
      </c>
      <c r="G94" s="175">
        <v>7582.51</v>
      </c>
      <c r="I94" s="175"/>
      <c r="J94" s="8">
        <f>53359.19-C94</f>
        <v>15245.520000000004</v>
      </c>
      <c r="K94">
        <f>+J94/2</f>
        <v>7622.760000000002</v>
      </c>
    </row>
    <row r="95" spans="1:11" ht="12.75">
      <c r="A95" s="74" t="s">
        <v>4</v>
      </c>
      <c r="B95" s="74" t="s">
        <v>816</v>
      </c>
      <c r="C95" s="8">
        <v>45736.39</v>
      </c>
      <c r="F95" s="8">
        <f t="shared" si="0"/>
        <v>45736.39</v>
      </c>
      <c r="G95" s="175">
        <v>9099.01</v>
      </c>
      <c r="I95" s="175"/>
      <c r="J95">
        <f>C95*1.139</f>
        <v>52093.74821</v>
      </c>
      <c r="K95" s="8">
        <f>+C96-J95</f>
        <v>24133.57179000001</v>
      </c>
    </row>
    <row r="96" spans="1:10" ht="12.75">
      <c r="A96" s="74" t="s">
        <v>4</v>
      </c>
      <c r="B96" s="74" t="s">
        <v>612</v>
      </c>
      <c r="C96" s="8">
        <v>76227.32</v>
      </c>
      <c r="F96" s="8">
        <f>C96</f>
        <v>76227.32</v>
      </c>
      <c r="G96" s="175">
        <v>15165.02</v>
      </c>
      <c r="I96" s="175"/>
      <c r="J96">
        <f>+C96/2</f>
        <v>38113.66</v>
      </c>
    </row>
    <row r="97" spans="1:11" ht="12.75">
      <c r="A97" s="74" t="s">
        <v>4</v>
      </c>
      <c r="B97" s="74" t="s">
        <v>613</v>
      </c>
      <c r="C97" s="8">
        <v>1772.86</v>
      </c>
      <c r="F97" s="8">
        <f aca="true" t="shared" si="1" ref="F97:F99">C97</f>
        <v>1772.86</v>
      </c>
      <c r="G97" s="175">
        <v>335.93</v>
      </c>
      <c r="I97" s="175"/>
      <c r="K97">
        <f>+C97*5</f>
        <v>8864.3</v>
      </c>
    </row>
    <row r="98" spans="1:10" ht="12.75">
      <c r="A98" s="74" t="s">
        <v>4</v>
      </c>
      <c r="B98" s="74" t="s">
        <v>655</v>
      </c>
      <c r="C98" s="8">
        <v>3811.38</v>
      </c>
      <c r="F98" s="8">
        <f t="shared" si="1"/>
        <v>3811.38</v>
      </c>
      <c r="G98" s="175">
        <v>758.26</v>
      </c>
      <c r="I98" s="175"/>
      <c r="J98">
        <f aca="true" t="shared" si="2" ref="J98:J99">C98*1.139</f>
        <v>4341.16182</v>
      </c>
    </row>
    <row r="99" spans="1:11" ht="12.75">
      <c r="A99" s="74" t="s">
        <v>4</v>
      </c>
      <c r="B99" s="74" t="s">
        <v>657</v>
      </c>
      <c r="C99" s="8">
        <v>1905.69</v>
      </c>
      <c r="F99" s="8">
        <f t="shared" si="1"/>
        <v>1905.69</v>
      </c>
      <c r="G99" s="175">
        <v>379.13</v>
      </c>
      <c r="I99" s="175"/>
      <c r="J99">
        <f t="shared" si="2"/>
        <v>2170.58091</v>
      </c>
      <c r="K99">
        <f>+J99*2</f>
        <v>4341.16182</v>
      </c>
    </row>
    <row r="100" spans="1:3" ht="12.75">
      <c r="A100" s="74" t="s">
        <v>4</v>
      </c>
      <c r="B100" s="74" t="s">
        <v>627</v>
      </c>
      <c r="C100" s="8">
        <v>-554.86</v>
      </c>
    </row>
    <row r="101" spans="1:3" ht="12.75">
      <c r="A101" s="74" t="s">
        <v>4</v>
      </c>
      <c r="B101" t="s">
        <v>617</v>
      </c>
      <c r="C101" s="8">
        <v>-852</v>
      </c>
    </row>
  </sheetData>
  <autoFilter ref="A1:J102"/>
  <mergeCells count="1">
    <mergeCell ref="M13:N13"/>
  </mergeCells>
  <printOptions/>
  <pageMargins left="0.25" right="0.25" top="0.75" bottom="0.75" header="0.511805555555555" footer="0.511805555555555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F332"/>
  <sheetViews>
    <sheetView showGridLines="0" tabSelected="1" zoomScale="130" zoomScaleNormal="130" zoomScaleSheetLayoutView="100" workbookViewId="0" topLeftCell="A1">
      <pane xSplit="5" ySplit="7" topLeftCell="F215" activePane="bottomRight" state="frozen"/>
      <selection pane="topRight" activeCell="F1" sqref="F1"/>
      <selection pane="bottomLeft" activeCell="A8" sqref="A8"/>
      <selection pane="bottomRight" activeCell="I6" sqref="I6:J6"/>
    </sheetView>
  </sheetViews>
  <sheetFormatPr defaultColWidth="9.140625" defaultRowHeight="12.75"/>
  <cols>
    <col min="1" max="1" width="4.7109375" style="111" customWidth="1"/>
    <col min="2" max="2" width="3.7109375" style="111" hidden="1" customWidth="1"/>
    <col min="3" max="3" width="3.7109375" style="105" hidden="1" customWidth="1"/>
    <col min="4" max="4" width="29.28125" style="111" customWidth="1"/>
    <col min="5" max="5" width="4.8515625" style="195" hidden="1" customWidth="1"/>
    <col min="6" max="6" width="8.140625" style="128" customWidth="1"/>
    <col min="7" max="7" width="5.140625" style="197" hidden="1" customWidth="1"/>
    <col min="8" max="8" width="7.57421875" style="114" customWidth="1"/>
    <col min="9" max="9" width="5.28125" style="113" hidden="1" customWidth="1"/>
    <col min="10" max="10" width="7.28125" style="107" customWidth="1"/>
    <col min="11" max="11" width="6.28125" style="198" hidden="1" customWidth="1"/>
    <col min="12" max="12" width="6.7109375" style="107" customWidth="1"/>
    <col min="13" max="13" width="7.8515625" style="107" customWidth="1"/>
    <col min="14" max="14" width="8.421875" style="107" customWidth="1"/>
    <col min="15" max="15" width="7.8515625" style="107" customWidth="1"/>
    <col min="16" max="16" width="9.140625" style="107" customWidth="1"/>
    <col min="17" max="17" width="7.140625" style="107" customWidth="1"/>
    <col min="18" max="18" width="8.57421875" style="107" customWidth="1"/>
    <col min="19" max="19" width="8.140625" style="114" customWidth="1"/>
    <col min="20" max="20" width="7.140625" style="107" customWidth="1"/>
    <col min="21" max="21" width="8.140625" style="107" customWidth="1"/>
    <col min="22" max="22" width="7.57421875" style="107" customWidth="1"/>
    <col min="23" max="23" width="4.28125" style="115" hidden="1" customWidth="1"/>
    <col min="24" max="24" width="7.140625" style="107" customWidth="1"/>
    <col min="25" max="25" width="7.421875" style="107" customWidth="1"/>
    <col min="26" max="26" width="8.140625" style="107" customWidth="1"/>
    <col min="27" max="27" width="6.8515625" style="109" customWidth="1"/>
    <col min="28" max="28" width="5.00390625" style="109" customWidth="1"/>
    <col min="29" max="29" width="7.140625" style="107" customWidth="1"/>
    <col min="30" max="30" width="6.28125" style="107" customWidth="1"/>
    <col min="31" max="31" width="4.421875" style="115" hidden="1" customWidth="1"/>
    <col min="32" max="32" width="6.140625" style="107" customWidth="1"/>
    <col min="33" max="33" width="8.140625" style="107" customWidth="1"/>
    <col min="34" max="34" width="7.8515625" style="107" customWidth="1"/>
    <col min="35" max="35" width="9.421875" style="107" hidden="1" customWidth="1"/>
    <col min="36" max="36" width="9.421875" style="109" hidden="1" customWidth="1"/>
    <col min="37" max="37" width="7.7109375" style="109" hidden="1" customWidth="1"/>
    <col min="38" max="38" width="8.28125" style="109" customWidth="1"/>
    <col min="39" max="39" width="7.28125" style="107" customWidth="1"/>
    <col min="40" max="40" width="8.421875" style="107" customWidth="1"/>
    <col min="41" max="41" width="6.7109375" style="107" customWidth="1"/>
    <col min="42" max="42" width="7.421875" style="107" customWidth="1"/>
    <col min="43" max="43" width="9.00390625" style="107" customWidth="1"/>
    <col min="44" max="44" width="10.8515625" style="107" customWidth="1"/>
    <col min="45" max="46" width="9.7109375" style="108" customWidth="1"/>
    <col min="47" max="47" width="9.7109375" style="107" customWidth="1"/>
    <col min="48" max="49" width="9.7109375" style="108" customWidth="1"/>
    <col min="50" max="50" width="5.00390625" style="105" hidden="1" customWidth="1"/>
    <col min="51" max="51" width="3.7109375" style="105" hidden="1" customWidth="1"/>
    <col min="52" max="52" width="3.421875" style="110" hidden="1" customWidth="1"/>
    <col min="53" max="53" width="9.8515625" style="111" customWidth="1"/>
    <col min="54" max="1020" width="11.421875" style="111" customWidth="1"/>
    <col min="1021" max="16384" width="9.140625" style="112" customWidth="1"/>
  </cols>
  <sheetData>
    <row r="1" spans="1:40" ht="35.25" customHeight="1">
      <c r="A1" s="220" t="str">
        <f ca="1">CONCATENATE(Valores!M16,"  ",Valores!M15)</f>
        <v>OCTUBRE  2023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106"/>
      <c r="AN1" s="106"/>
    </row>
    <row r="2" spans="1:52" ht="11.25" customHeight="1">
      <c r="A2" s="134" t="s">
        <v>49</v>
      </c>
      <c r="B2" s="134"/>
      <c r="C2" s="188"/>
      <c r="D2" s="134"/>
      <c r="E2" s="191"/>
      <c r="F2" s="132">
        <v>0</v>
      </c>
      <c r="G2" s="196"/>
      <c r="H2" s="138">
        <f>LOOKUP(F2,Valores!I:I,Valores!J:J)</f>
        <v>0</v>
      </c>
      <c r="I2" s="139"/>
      <c r="J2" s="130"/>
      <c r="K2" s="200"/>
      <c r="L2" s="178"/>
      <c r="M2" s="179">
        <v>0.15</v>
      </c>
      <c r="N2" s="178"/>
      <c r="AJ2" s="107"/>
      <c r="AK2" s="107"/>
      <c r="AL2" s="222"/>
      <c r="AZ2" s="116">
        <f>(((F139+S139)*1.15)+O139+P139+Q139+AA139+AD139)*0.05</f>
        <v>9333.249890000003</v>
      </c>
    </row>
    <row r="3" spans="1:49" ht="11.25" customHeight="1">
      <c r="A3" s="134" t="s">
        <v>51</v>
      </c>
      <c r="B3" s="134"/>
      <c r="C3" s="188"/>
      <c r="D3" s="134"/>
      <c r="E3" s="191"/>
      <c r="F3" s="133" t="s">
        <v>4</v>
      </c>
      <c r="G3" s="223" t="s">
        <v>50</v>
      </c>
      <c r="H3" s="223"/>
      <c r="I3" s="224">
        <f>Valores!C2</f>
        <v>54.45</v>
      </c>
      <c r="J3" s="224"/>
      <c r="K3" s="199"/>
      <c r="L3" s="177" t="e">
        <f>VLOOKUP(K3,Valores!L17:M28,2,)</f>
        <v>#N/A</v>
      </c>
      <c r="M3" s="176"/>
      <c r="N3" s="177"/>
      <c r="O3" s="229" t="s">
        <v>815</v>
      </c>
      <c r="P3" s="229"/>
      <c r="Q3" s="229"/>
      <c r="R3" s="229"/>
      <c r="S3" s="229"/>
      <c r="T3" s="229"/>
      <c r="U3" s="229"/>
      <c r="V3" s="229"/>
      <c r="X3" s="235" t="str">
        <f>CONCATENATE("(*) Conceptos que obtuvieron el Beneficio de exepción del Impuesto a las Ganancias hasta un 40% de la ganacia minima no Imponible (Inc 10 Art. 26 de la Ley de Gravamen",".-")</f>
        <v>(*) Conceptos que obtuvieron el Beneficio de exepción del Impuesto a las Ganancias hasta un 40% de la ganacia minima no Imponible (Inc 10 Art. 26 de la Ley de Gravamen.-</v>
      </c>
      <c r="Y3" s="235"/>
      <c r="Z3" s="235"/>
      <c r="AA3" s="235"/>
      <c r="AB3" s="235"/>
      <c r="AC3" s="235"/>
      <c r="AD3" s="235"/>
      <c r="AE3" s="235"/>
      <c r="AF3" s="235"/>
      <c r="AG3" s="235"/>
      <c r="AJ3" s="117" t="s">
        <v>4</v>
      </c>
      <c r="AK3" s="118"/>
      <c r="AL3" s="222"/>
      <c r="AM3" s="117" t="s">
        <v>4</v>
      </c>
      <c r="AN3" s="118"/>
      <c r="AO3" s="119">
        <f>Valores!C2</f>
        <v>54.45</v>
      </c>
      <c r="AP3" s="120"/>
      <c r="AQ3" s="120"/>
      <c r="AR3" s="120"/>
      <c r="AS3" s="121"/>
      <c r="AT3" s="121"/>
      <c r="AU3" s="120"/>
      <c r="AV3" s="121"/>
      <c r="AW3" s="121"/>
    </row>
    <row r="4" spans="1:49" ht="11.25" customHeight="1">
      <c r="A4" s="226" t="s">
        <v>620</v>
      </c>
      <c r="B4" s="227"/>
      <c r="C4" s="227"/>
      <c r="D4" s="228"/>
      <c r="E4" s="191"/>
      <c r="F4" s="133" t="s">
        <v>8</v>
      </c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I4" s="74"/>
      <c r="AL4" s="122"/>
      <c r="AM4" s="117" t="s">
        <v>8</v>
      </c>
      <c r="AN4" s="118"/>
      <c r="AO4" s="120"/>
      <c r="AP4" s="120"/>
      <c r="AQ4" s="120"/>
      <c r="AR4" s="120"/>
      <c r="AS4" s="121"/>
      <c r="AT4" s="121"/>
      <c r="AU4" s="120"/>
      <c r="AV4" s="121"/>
      <c r="AW4" s="121"/>
    </row>
    <row r="5" spans="1:49" ht="11.25" customHeight="1">
      <c r="A5" s="226" t="s">
        <v>615</v>
      </c>
      <c r="B5" s="227"/>
      <c r="C5" s="227"/>
      <c r="D5" s="228"/>
      <c r="E5" s="191"/>
      <c r="F5" s="161">
        <v>0</v>
      </c>
      <c r="H5" s="217" t="s">
        <v>817</v>
      </c>
      <c r="P5" s="217" t="s">
        <v>817</v>
      </c>
      <c r="R5" s="217" t="s">
        <v>817</v>
      </c>
      <c r="T5" s="217" t="s">
        <v>817</v>
      </c>
      <c r="AC5" s="217" t="s">
        <v>817</v>
      </c>
      <c r="AG5" s="217" t="s">
        <v>817</v>
      </c>
      <c r="AL5" s="122"/>
      <c r="AM5" s="117"/>
      <c r="AN5" s="118"/>
      <c r="AO5" s="120"/>
      <c r="AP5" s="120"/>
      <c r="AQ5" s="120"/>
      <c r="AR5" s="120"/>
      <c r="AS5" s="121"/>
      <c r="AT5" s="121"/>
      <c r="AU5" s="120"/>
      <c r="AV5" s="121"/>
      <c r="AW5" s="121"/>
    </row>
    <row r="6" spans="1:1020" s="147" customFormat="1" ht="41.25" customHeight="1">
      <c r="A6" s="183"/>
      <c r="B6" s="184"/>
      <c r="C6" s="184"/>
      <c r="D6" s="183"/>
      <c r="E6" s="230" t="s">
        <v>52</v>
      </c>
      <c r="F6" s="231"/>
      <c r="G6" s="232" t="s">
        <v>53</v>
      </c>
      <c r="H6" s="232"/>
      <c r="I6" s="233" t="s">
        <v>54</v>
      </c>
      <c r="J6" s="233"/>
      <c r="K6" s="225" t="s">
        <v>55</v>
      </c>
      <c r="L6" s="225"/>
      <c r="M6" s="150" t="s">
        <v>56</v>
      </c>
      <c r="N6" s="151" t="s">
        <v>57</v>
      </c>
      <c r="O6" s="150" t="s">
        <v>58</v>
      </c>
      <c r="P6" s="169" t="str">
        <f>CONCATENATE("Est. Doc (tope ",TEXT(Valores!D5,"$0.000,00"),")")</f>
        <v>Est. Doc (tope $27.834,84)</v>
      </c>
      <c r="Q6" s="150" t="s">
        <v>59</v>
      </c>
      <c r="R6" s="169" t="str">
        <f>CONCATENATE("Gtos. Inh. Lab. Doc. (tope ",TEXT(Valores!F46,"$0.000,00"),")")</f>
        <v>Gtos. Inh. Lab. Doc. (tope $33.800,96)</v>
      </c>
      <c r="S6" s="151" t="s">
        <v>60</v>
      </c>
      <c r="T6" s="150" t="s">
        <v>60</v>
      </c>
      <c r="U6" s="150" t="s">
        <v>61</v>
      </c>
      <c r="V6" s="150" t="s">
        <v>62</v>
      </c>
      <c r="W6" s="234" t="s">
        <v>63</v>
      </c>
      <c r="X6" s="234"/>
      <c r="Y6" s="150" t="s">
        <v>64</v>
      </c>
      <c r="Z6" s="159" t="str">
        <f>CONCATENATE("Bonif. Compensatoria Rem. (tope ",TEXT(Valores!F96,"$0.000,00"),")")</f>
        <v>Bonif. Compensatoria Rem. (tope $76.227,32)</v>
      </c>
      <c r="AA6" s="159" t="str">
        <f>CONCATENATE("Ad R Doc (tope ",TEXT(Valores!F25,"$0,00"),")")</f>
        <v>Ad R Doc (tope $1708,64)</v>
      </c>
      <c r="AB6" s="159" t="s">
        <v>695</v>
      </c>
      <c r="AC6" s="150" t="s">
        <v>65</v>
      </c>
      <c r="AD6" s="158" t="str">
        <f>CONCATENATE("Nuevo  A.R.D. (tope ",TEXT(Valores!F26,"$0,00"),")")</f>
        <v>Nuevo  A.R.D. (tope $1138,39)</v>
      </c>
      <c r="AE6" s="225" t="s">
        <v>66</v>
      </c>
      <c r="AF6" s="225"/>
      <c r="AG6" s="158" t="str">
        <f>CONCATENATE("Ap Mat Did Rem. (tope ",TEXT(Valores!F63,"$0.000,00"),")")</f>
        <v>Ap Mat Did Rem. (tope $26.029,44)</v>
      </c>
      <c r="AH6" s="150" t="s">
        <v>67</v>
      </c>
      <c r="AI6" s="158" t="str">
        <f>CONCATENATE("Corrección Pauta Salarial sobre FONID (tope ",TEXT(Valores!F32,"$0,00"),")")</f>
        <v>Corrección Pauta Salarial sobre FONID (tope $0,00)</v>
      </c>
      <c r="AJ6" s="158" t="str">
        <f>CONCATENATE("Bonif. Compensatoria No Rem. (tope ",TEXT(Valores!C89,"$0,00"),")")</f>
        <v>Bonif. Compensatoria No Rem. (tope $0,00)</v>
      </c>
      <c r="AK6" s="158" t="str">
        <f>CONCATENATE("Adic Extr. (tope ",TEXT(Valores!F38,"$0.000,00"),")")</f>
        <v>Adic Extr. (tope $0.000,00)</v>
      </c>
      <c r="AL6" s="159" t="str">
        <f>CONCATENATE("Adel Inc Docente (tope ",TEXT(Valores!C55,"$0,00"),")")</f>
        <v>Adel Inc Docente (tope $327,60)</v>
      </c>
      <c r="AM6" s="150" t="s">
        <v>68</v>
      </c>
      <c r="AN6" s="152" t="s">
        <v>69</v>
      </c>
      <c r="AO6" s="152" t="s">
        <v>70</v>
      </c>
      <c r="AP6" s="152" t="s">
        <v>71</v>
      </c>
      <c r="AQ6" s="152" t="s">
        <v>616</v>
      </c>
      <c r="AR6" s="152" t="s">
        <v>617</v>
      </c>
      <c r="AS6" s="152" t="s">
        <v>72</v>
      </c>
      <c r="AT6" s="152" t="str">
        <f>AN6</f>
        <v>Ap Pers Jub</v>
      </c>
      <c r="AU6" s="152" t="s">
        <v>40</v>
      </c>
      <c r="AV6" s="152" t="s">
        <v>41</v>
      </c>
      <c r="AW6" s="152" t="s">
        <v>628</v>
      </c>
      <c r="AX6" s="152" t="s">
        <v>73</v>
      </c>
      <c r="AY6" s="152" t="s">
        <v>74</v>
      </c>
      <c r="AZ6" s="152" t="s">
        <v>75</v>
      </c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5"/>
      <c r="CI6" s="145"/>
      <c r="CJ6" s="145"/>
      <c r="CK6" s="145"/>
      <c r="CL6" s="145"/>
      <c r="CM6" s="145"/>
      <c r="CN6" s="145"/>
      <c r="CO6" s="145"/>
      <c r="CP6" s="145"/>
      <c r="CQ6" s="145"/>
      <c r="CR6" s="145"/>
      <c r="CS6" s="145"/>
      <c r="CT6" s="145"/>
      <c r="CU6" s="145"/>
      <c r="CV6" s="145"/>
      <c r="CW6" s="145"/>
      <c r="CX6" s="145"/>
      <c r="CY6" s="145"/>
      <c r="CZ6" s="145"/>
      <c r="DA6" s="145"/>
      <c r="DB6" s="145"/>
      <c r="DC6" s="145"/>
      <c r="DD6" s="145"/>
      <c r="DE6" s="145"/>
      <c r="DF6" s="145"/>
      <c r="DG6" s="145"/>
      <c r="DH6" s="145"/>
      <c r="DI6" s="145"/>
      <c r="DJ6" s="145"/>
      <c r="DK6" s="145"/>
      <c r="DL6" s="145"/>
      <c r="DM6" s="145"/>
      <c r="DN6" s="145"/>
      <c r="DO6" s="145"/>
      <c r="DP6" s="145"/>
      <c r="DQ6" s="145"/>
      <c r="DR6" s="145"/>
      <c r="DS6" s="145"/>
      <c r="DT6" s="145"/>
      <c r="DU6" s="145"/>
      <c r="DV6" s="145"/>
      <c r="DW6" s="145"/>
      <c r="DX6" s="145"/>
      <c r="DY6" s="145"/>
      <c r="DZ6" s="145"/>
      <c r="EA6" s="145"/>
      <c r="EB6" s="145"/>
      <c r="EC6" s="145"/>
      <c r="ED6" s="145"/>
      <c r="EE6" s="145"/>
      <c r="EF6" s="145"/>
      <c r="EG6" s="145"/>
      <c r="EH6" s="145"/>
      <c r="EI6" s="145"/>
      <c r="EJ6" s="145"/>
      <c r="EK6" s="145"/>
      <c r="EL6" s="145"/>
      <c r="EM6" s="145"/>
      <c r="EN6" s="145"/>
      <c r="EO6" s="145"/>
      <c r="EP6" s="145"/>
      <c r="EQ6" s="145"/>
      <c r="ER6" s="145"/>
      <c r="ES6" s="145"/>
      <c r="ET6" s="145"/>
      <c r="EU6" s="145"/>
      <c r="EV6" s="145"/>
      <c r="EW6" s="145"/>
      <c r="EX6" s="145"/>
      <c r="EY6" s="145"/>
      <c r="EZ6" s="145"/>
      <c r="FA6" s="145"/>
      <c r="FB6" s="145"/>
      <c r="FC6" s="145"/>
      <c r="FD6" s="145"/>
      <c r="FE6" s="145"/>
      <c r="FF6" s="145"/>
      <c r="FG6" s="145"/>
      <c r="FH6" s="145"/>
      <c r="FI6" s="145"/>
      <c r="FJ6" s="145"/>
      <c r="FK6" s="145"/>
      <c r="FL6" s="145"/>
      <c r="FM6" s="145"/>
      <c r="FN6" s="145"/>
      <c r="FO6" s="145"/>
      <c r="FP6" s="145"/>
      <c r="FQ6" s="145"/>
      <c r="FR6" s="145"/>
      <c r="FS6" s="145"/>
      <c r="FT6" s="145"/>
      <c r="FU6" s="145"/>
      <c r="FV6" s="145"/>
      <c r="FW6" s="145"/>
      <c r="FX6" s="145"/>
      <c r="FY6" s="145"/>
      <c r="FZ6" s="145"/>
      <c r="GA6" s="145"/>
      <c r="GB6" s="145"/>
      <c r="GC6" s="145"/>
      <c r="GD6" s="145"/>
      <c r="GE6" s="145"/>
      <c r="GF6" s="145"/>
      <c r="GG6" s="145"/>
      <c r="GH6" s="145"/>
      <c r="GI6" s="145"/>
      <c r="GJ6" s="145"/>
      <c r="GK6" s="145"/>
      <c r="GL6" s="145"/>
      <c r="GM6" s="145"/>
      <c r="GN6" s="145"/>
      <c r="GO6" s="145"/>
      <c r="GP6" s="145"/>
      <c r="GQ6" s="145"/>
      <c r="GR6" s="145"/>
      <c r="GS6" s="145"/>
      <c r="GT6" s="145"/>
      <c r="GU6" s="145"/>
      <c r="GV6" s="145"/>
      <c r="GW6" s="145"/>
      <c r="GX6" s="145"/>
      <c r="GY6" s="145"/>
      <c r="GZ6" s="145"/>
      <c r="HA6" s="145"/>
      <c r="HB6" s="145"/>
      <c r="HC6" s="145"/>
      <c r="HD6" s="145"/>
      <c r="HE6" s="145"/>
      <c r="HF6" s="145"/>
      <c r="HG6" s="145"/>
      <c r="HH6" s="145"/>
      <c r="HI6" s="145"/>
      <c r="HJ6" s="145"/>
      <c r="HK6" s="145"/>
      <c r="HL6" s="145"/>
      <c r="HM6" s="145"/>
      <c r="HN6" s="145"/>
      <c r="HO6" s="145"/>
      <c r="HP6" s="145"/>
      <c r="HQ6" s="145"/>
      <c r="HR6" s="145"/>
      <c r="HS6" s="145"/>
      <c r="HT6" s="145"/>
      <c r="HU6" s="145"/>
      <c r="HV6" s="145"/>
      <c r="HW6" s="145"/>
      <c r="HX6" s="145"/>
      <c r="HY6" s="145"/>
      <c r="HZ6" s="145"/>
      <c r="IA6" s="145"/>
      <c r="IB6" s="145"/>
      <c r="IC6" s="145"/>
      <c r="ID6" s="145"/>
      <c r="IE6" s="145"/>
      <c r="IF6" s="145"/>
      <c r="IG6" s="145"/>
      <c r="IH6" s="145"/>
      <c r="II6" s="145"/>
      <c r="IJ6" s="145"/>
      <c r="IK6" s="145"/>
      <c r="IL6" s="145"/>
      <c r="IM6" s="145"/>
      <c r="IN6" s="145"/>
      <c r="IO6" s="145"/>
      <c r="IP6" s="145"/>
      <c r="IQ6" s="145"/>
      <c r="IR6" s="145"/>
      <c r="IS6" s="145"/>
      <c r="IT6" s="145"/>
      <c r="IU6" s="145"/>
      <c r="IV6" s="145"/>
      <c r="IW6" s="145"/>
      <c r="IX6" s="145"/>
      <c r="IY6" s="145"/>
      <c r="IZ6" s="145"/>
      <c r="JA6" s="145"/>
      <c r="JB6" s="145"/>
      <c r="JC6" s="145"/>
      <c r="JD6" s="145"/>
      <c r="JE6" s="145"/>
      <c r="JF6" s="145"/>
      <c r="JG6" s="145"/>
      <c r="JH6" s="145"/>
      <c r="JI6" s="145"/>
      <c r="JJ6" s="145"/>
      <c r="JK6" s="145"/>
      <c r="JL6" s="145"/>
      <c r="JM6" s="145"/>
      <c r="JN6" s="145"/>
      <c r="JO6" s="145"/>
      <c r="JP6" s="145"/>
      <c r="JQ6" s="145"/>
      <c r="JR6" s="145"/>
      <c r="JS6" s="145"/>
      <c r="JT6" s="145"/>
      <c r="JU6" s="145"/>
      <c r="JV6" s="145"/>
      <c r="JW6" s="145"/>
      <c r="JX6" s="145"/>
      <c r="JY6" s="145"/>
      <c r="JZ6" s="145"/>
      <c r="KA6" s="145"/>
      <c r="KB6" s="145"/>
      <c r="KC6" s="145"/>
      <c r="KD6" s="145"/>
      <c r="KE6" s="145"/>
      <c r="KF6" s="145"/>
      <c r="KG6" s="145"/>
      <c r="KH6" s="145"/>
      <c r="KI6" s="145"/>
      <c r="KJ6" s="145"/>
      <c r="KK6" s="145"/>
      <c r="KL6" s="145"/>
      <c r="KM6" s="145"/>
      <c r="KN6" s="145"/>
      <c r="KO6" s="145"/>
      <c r="KP6" s="145"/>
      <c r="KQ6" s="145"/>
      <c r="KR6" s="145"/>
      <c r="KS6" s="145"/>
      <c r="KT6" s="145"/>
      <c r="KU6" s="145"/>
      <c r="KV6" s="145"/>
      <c r="KW6" s="145"/>
      <c r="KX6" s="145"/>
      <c r="KY6" s="145"/>
      <c r="KZ6" s="145"/>
      <c r="LA6" s="145"/>
      <c r="LB6" s="145"/>
      <c r="LC6" s="145"/>
      <c r="LD6" s="145"/>
      <c r="LE6" s="145"/>
      <c r="LF6" s="145"/>
      <c r="LG6" s="145"/>
      <c r="LH6" s="145"/>
      <c r="LI6" s="145"/>
      <c r="LJ6" s="145"/>
      <c r="LK6" s="145"/>
      <c r="LL6" s="145"/>
      <c r="LM6" s="145"/>
      <c r="LN6" s="145"/>
      <c r="LO6" s="145"/>
      <c r="LP6" s="145"/>
      <c r="LQ6" s="145"/>
      <c r="LR6" s="145"/>
      <c r="LS6" s="145"/>
      <c r="LT6" s="145"/>
      <c r="LU6" s="145"/>
      <c r="LV6" s="145"/>
      <c r="LW6" s="145"/>
      <c r="LX6" s="145"/>
      <c r="LY6" s="145"/>
      <c r="LZ6" s="145"/>
      <c r="MA6" s="145"/>
      <c r="MB6" s="145"/>
      <c r="MC6" s="145"/>
      <c r="MD6" s="145"/>
      <c r="ME6" s="145"/>
      <c r="MF6" s="145"/>
      <c r="MG6" s="145"/>
      <c r="MH6" s="145"/>
      <c r="MI6" s="145"/>
      <c r="MJ6" s="145"/>
      <c r="MK6" s="145"/>
      <c r="ML6" s="145"/>
      <c r="MM6" s="145"/>
      <c r="MN6" s="145"/>
      <c r="MO6" s="145"/>
      <c r="MP6" s="145"/>
      <c r="MQ6" s="145"/>
      <c r="MR6" s="145"/>
      <c r="MS6" s="145"/>
      <c r="MT6" s="145"/>
      <c r="MU6" s="145"/>
      <c r="MV6" s="145"/>
      <c r="MW6" s="145"/>
      <c r="MX6" s="145"/>
      <c r="MY6" s="145"/>
      <c r="MZ6" s="145"/>
      <c r="NA6" s="145"/>
      <c r="NB6" s="145"/>
      <c r="NC6" s="145"/>
      <c r="ND6" s="145"/>
      <c r="NE6" s="145"/>
      <c r="NF6" s="145"/>
      <c r="NG6" s="145"/>
      <c r="NH6" s="145"/>
      <c r="NI6" s="145"/>
      <c r="NJ6" s="145"/>
      <c r="NK6" s="145"/>
      <c r="NL6" s="145"/>
      <c r="NM6" s="145"/>
      <c r="NN6" s="145"/>
      <c r="NO6" s="145"/>
      <c r="NP6" s="145"/>
      <c r="NQ6" s="145"/>
      <c r="NR6" s="145"/>
      <c r="NS6" s="145"/>
      <c r="NT6" s="145"/>
      <c r="NU6" s="145"/>
      <c r="NV6" s="145"/>
      <c r="NW6" s="145"/>
      <c r="NX6" s="145"/>
      <c r="NY6" s="145"/>
      <c r="NZ6" s="145"/>
      <c r="OA6" s="145"/>
      <c r="OB6" s="145"/>
      <c r="OC6" s="145"/>
      <c r="OD6" s="145"/>
      <c r="OE6" s="145"/>
      <c r="OF6" s="145"/>
      <c r="OG6" s="145"/>
      <c r="OH6" s="145"/>
      <c r="OI6" s="145"/>
      <c r="OJ6" s="145"/>
      <c r="OK6" s="145"/>
      <c r="OL6" s="145"/>
      <c r="OM6" s="145"/>
      <c r="ON6" s="145"/>
      <c r="OO6" s="145"/>
      <c r="OP6" s="145"/>
      <c r="OQ6" s="145"/>
      <c r="OR6" s="145"/>
      <c r="OS6" s="145"/>
      <c r="OT6" s="145"/>
      <c r="OU6" s="145"/>
      <c r="OV6" s="145"/>
      <c r="OW6" s="145"/>
      <c r="OX6" s="145"/>
      <c r="OY6" s="145"/>
      <c r="OZ6" s="145"/>
      <c r="PA6" s="145"/>
      <c r="PB6" s="145"/>
      <c r="PC6" s="145"/>
      <c r="PD6" s="145"/>
      <c r="PE6" s="145"/>
      <c r="PF6" s="145"/>
      <c r="PG6" s="145"/>
      <c r="PH6" s="145"/>
      <c r="PI6" s="145"/>
      <c r="PJ6" s="145"/>
      <c r="PK6" s="145"/>
      <c r="PL6" s="145"/>
      <c r="PM6" s="145"/>
      <c r="PN6" s="145"/>
      <c r="PO6" s="145"/>
      <c r="PP6" s="145"/>
      <c r="PQ6" s="145"/>
      <c r="PR6" s="145"/>
      <c r="PS6" s="145"/>
      <c r="PT6" s="145"/>
      <c r="PU6" s="145"/>
      <c r="PV6" s="145"/>
      <c r="PW6" s="145"/>
      <c r="PX6" s="145"/>
      <c r="PY6" s="145"/>
      <c r="PZ6" s="145"/>
      <c r="QA6" s="145"/>
      <c r="QB6" s="145"/>
      <c r="QC6" s="145"/>
      <c r="QD6" s="145"/>
      <c r="QE6" s="145"/>
      <c r="QF6" s="145"/>
      <c r="QG6" s="145"/>
      <c r="QH6" s="145"/>
      <c r="QI6" s="145"/>
      <c r="QJ6" s="145"/>
      <c r="QK6" s="145"/>
      <c r="QL6" s="145"/>
      <c r="QM6" s="145"/>
      <c r="QN6" s="145"/>
      <c r="QO6" s="145"/>
      <c r="QP6" s="145"/>
      <c r="QQ6" s="145"/>
      <c r="QR6" s="145"/>
      <c r="QS6" s="145"/>
      <c r="QT6" s="145"/>
      <c r="QU6" s="145"/>
      <c r="QV6" s="145"/>
      <c r="QW6" s="145"/>
      <c r="QX6" s="145"/>
      <c r="QY6" s="145"/>
      <c r="QZ6" s="145"/>
      <c r="RA6" s="145"/>
      <c r="RB6" s="145"/>
      <c r="RC6" s="145"/>
      <c r="RD6" s="145"/>
      <c r="RE6" s="145"/>
      <c r="RF6" s="145"/>
      <c r="RG6" s="145"/>
      <c r="RH6" s="145"/>
      <c r="RI6" s="145"/>
      <c r="RJ6" s="145"/>
      <c r="RK6" s="145"/>
      <c r="RL6" s="145"/>
      <c r="RM6" s="145"/>
      <c r="RN6" s="145"/>
      <c r="RO6" s="145"/>
      <c r="RP6" s="145"/>
      <c r="RQ6" s="145"/>
      <c r="RR6" s="145"/>
      <c r="RS6" s="145"/>
      <c r="RT6" s="145"/>
      <c r="RU6" s="145"/>
      <c r="RV6" s="145"/>
      <c r="RW6" s="145"/>
      <c r="RX6" s="145"/>
      <c r="RY6" s="145"/>
      <c r="RZ6" s="145"/>
      <c r="SA6" s="145"/>
      <c r="SB6" s="145"/>
      <c r="SC6" s="145"/>
      <c r="SD6" s="145"/>
      <c r="SE6" s="145"/>
      <c r="SF6" s="145"/>
      <c r="SG6" s="145"/>
      <c r="SH6" s="145"/>
      <c r="SI6" s="145"/>
      <c r="SJ6" s="145"/>
      <c r="SK6" s="145"/>
      <c r="SL6" s="145"/>
      <c r="SM6" s="145"/>
      <c r="SN6" s="145"/>
      <c r="SO6" s="145"/>
      <c r="SP6" s="145"/>
      <c r="SQ6" s="145"/>
      <c r="SR6" s="145"/>
      <c r="SS6" s="145"/>
      <c r="ST6" s="145"/>
      <c r="SU6" s="145"/>
      <c r="SV6" s="145"/>
      <c r="SW6" s="145"/>
      <c r="SX6" s="145"/>
      <c r="SY6" s="145"/>
      <c r="SZ6" s="145"/>
      <c r="TA6" s="145"/>
      <c r="TB6" s="145"/>
      <c r="TC6" s="145"/>
      <c r="TD6" s="145"/>
      <c r="TE6" s="145"/>
      <c r="TF6" s="145"/>
      <c r="TG6" s="145"/>
      <c r="TH6" s="145"/>
      <c r="TI6" s="145"/>
      <c r="TJ6" s="145"/>
      <c r="TK6" s="145"/>
      <c r="TL6" s="145"/>
      <c r="TM6" s="145"/>
      <c r="TN6" s="145"/>
      <c r="TO6" s="145"/>
      <c r="TP6" s="145"/>
      <c r="TQ6" s="145"/>
      <c r="TR6" s="145"/>
      <c r="TS6" s="145"/>
      <c r="TT6" s="145"/>
      <c r="TU6" s="145"/>
      <c r="TV6" s="145"/>
      <c r="TW6" s="145"/>
      <c r="TX6" s="145"/>
      <c r="TY6" s="145"/>
      <c r="TZ6" s="145"/>
      <c r="UA6" s="145"/>
      <c r="UB6" s="145"/>
      <c r="UC6" s="145"/>
      <c r="UD6" s="145"/>
      <c r="UE6" s="145"/>
      <c r="UF6" s="145"/>
      <c r="UG6" s="145"/>
      <c r="UH6" s="145"/>
      <c r="UI6" s="145"/>
      <c r="UJ6" s="145"/>
      <c r="UK6" s="145"/>
      <c r="UL6" s="145"/>
      <c r="UM6" s="145"/>
      <c r="UN6" s="145"/>
      <c r="UO6" s="145"/>
      <c r="UP6" s="145"/>
      <c r="UQ6" s="145"/>
      <c r="UR6" s="145"/>
      <c r="US6" s="145"/>
      <c r="UT6" s="145"/>
      <c r="UU6" s="145"/>
      <c r="UV6" s="145"/>
      <c r="UW6" s="145"/>
      <c r="UX6" s="145"/>
      <c r="UY6" s="145"/>
      <c r="UZ6" s="145"/>
      <c r="VA6" s="145"/>
      <c r="VB6" s="145"/>
      <c r="VC6" s="145"/>
      <c r="VD6" s="145"/>
      <c r="VE6" s="145"/>
      <c r="VF6" s="145"/>
      <c r="VG6" s="145"/>
      <c r="VH6" s="145"/>
      <c r="VI6" s="145"/>
      <c r="VJ6" s="145"/>
      <c r="VK6" s="145"/>
      <c r="VL6" s="145"/>
      <c r="VM6" s="145"/>
      <c r="VN6" s="145"/>
      <c r="VO6" s="145"/>
      <c r="VP6" s="145"/>
      <c r="VQ6" s="145"/>
      <c r="VR6" s="145"/>
      <c r="VS6" s="145"/>
      <c r="VT6" s="145"/>
      <c r="VU6" s="145"/>
      <c r="VV6" s="145"/>
      <c r="VW6" s="145"/>
      <c r="VX6" s="145"/>
      <c r="VY6" s="145"/>
      <c r="VZ6" s="145"/>
      <c r="WA6" s="145"/>
      <c r="WB6" s="145"/>
      <c r="WC6" s="145"/>
      <c r="WD6" s="145"/>
      <c r="WE6" s="145"/>
      <c r="WF6" s="145"/>
      <c r="WG6" s="145"/>
      <c r="WH6" s="145"/>
      <c r="WI6" s="145"/>
      <c r="WJ6" s="145"/>
      <c r="WK6" s="145"/>
      <c r="WL6" s="145"/>
      <c r="WM6" s="145"/>
      <c r="WN6" s="145"/>
      <c r="WO6" s="145"/>
      <c r="WP6" s="145"/>
      <c r="WQ6" s="145"/>
      <c r="WR6" s="145"/>
      <c r="WS6" s="145"/>
      <c r="WT6" s="145"/>
      <c r="WU6" s="145"/>
      <c r="WV6" s="145"/>
      <c r="WW6" s="145"/>
      <c r="WX6" s="145"/>
      <c r="WY6" s="145"/>
      <c r="WZ6" s="145"/>
      <c r="XA6" s="145"/>
      <c r="XB6" s="145"/>
      <c r="XC6" s="145"/>
      <c r="XD6" s="145"/>
      <c r="XE6" s="145"/>
      <c r="XF6" s="145"/>
      <c r="XG6" s="145"/>
      <c r="XH6" s="145"/>
      <c r="XI6" s="145"/>
      <c r="XJ6" s="145"/>
      <c r="XK6" s="145"/>
      <c r="XL6" s="145"/>
      <c r="XM6" s="145"/>
      <c r="XN6" s="145"/>
      <c r="XO6" s="145"/>
      <c r="XP6" s="145"/>
      <c r="XQ6" s="145"/>
      <c r="XR6" s="145"/>
      <c r="XS6" s="145"/>
      <c r="XT6" s="145"/>
      <c r="XU6" s="145"/>
      <c r="XV6" s="145"/>
      <c r="XW6" s="145"/>
      <c r="XX6" s="145"/>
      <c r="XY6" s="145"/>
      <c r="XZ6" s="145"/>
      <c r="YA6" s="145"/>
      <c r="YB6" s="145"/>
      <c r="YC6" s="145"/>
      <c r="YD6" s="145"/>
      <c r="YE6" s="145"/>
      <c r="YF6" s="145"/>
      <c r="YG6" s="145"/>
      <c r="YH6" s="145"/>
      <c r="YI6" s="145"/>
      <c r="YJ6" s="145"/>
      <c r="YK6" s="145"/>
      <c r="YL6" s="145"/>
      <c r="YM6" s="145"/>
      <c r="YN6" s="145"/>
      <c r="YO6" s="145"/>
      <c r="YP6" s="145"/>
      <c r="YQ6" s="145"/>
      <c r="YR6" s="145"/>
      <c r="YS6" s="145"/>
      <c r="YT6" s="145"/>
      <c r="YU6" s="145"/>
      <c r="YV6" s="145"/>
      <c r="YW6" s="145"/>
      <c r="YX6" s="145"/>
      <c r="YY6" s="145"/>
      <c r="YZ6" s="145"/>
      <c r="ZA6" s="145"/>
      <c r="ZB6" s="145"/>
      <c r="ZC6" s="145"/>
      <c r="ZD6" s="145"/>
      <c r="ZE6" s="145"/>
      <c r="ZF6" s="145"/>
      <c r="ZG6" s="145"/>
      <c r="ZH6" s="145"/>
      <c r="ZI6" s="145"/>
      <c r="ZJ6" s="145"/>
      <c r="ZK6" s="145"/>
      <c r="ZL6" s="145"/>
      <c r="ZM6" s="145"/>
      <c r="ZN6" s="145"/>
      <c r="ZO6" s="145"/>
      <c r="ZP6" s="145"/>
      <c r="ZQ6" s="145"/>
      <c r="ZR6" s="145"/>
      <c r="ZS6" s="145"/>
      <c r="ZT6" s="145"/>
      <c r="ZU6" s="145"/>
      <c r="ZV6" s="145"/>
      <c r="ZW6" s="145"/>
      <c r="ZX6" s="145"/>
      <c r="ZY6" s="145"/>
      <c r="ZZ6" s="145"/>
      <c r="AAA6" s="145"/>
      <c r="AAB6" s="145"/>
      <c r="AAC6" s="145"/>
      <c r="AAD6" s="145"/>
      <c r="AAE6" s="145"/>
      <c r="AAF6" s="145"/>
      <c r="AAG6" s="145"/>
      <c r="AAH6" s="145"/>
      <c r="AAI6" s="145"/>
      <c r="AAJ6" s="145"/>
      <c r="AAK6" s="145"/>
      <c r="AAL6" s="145"/>
      <c r="AAM6" s="145"/>
      <c r="AAN6" s="145"/>
      <c r="AAO6" s="145"/>
      <c r="AAP6" s="145"/>
      <c r="AAQ6" s="145"/>
      <c r="AAR6" s="145"/>
      <c r="AAS6" s="145"/>
      <c r="AAT6" s="145"/>
      <c r="AAU6" s="145"/>
      <c r="AAV6" s="145"/>
      <c r="AAW6" s="145"/>
      <c r="AAX6" s="145"/>
      <c r="AAY6" s="145"/>
      <c r="AAZ6" s="145"/>
      <c r="ABA6" s="145"/>
      <c r="ABB6" s="145"/>
      <c r="ABC6" s="145"/>
      <c r="ABD6" s="145"/>
      <c r="ABE6" s="145"/>
      <c r="ABF6" s="145"/>
      <c r="ABG6" s="145"/>
      <c r="ABH6" s="145"/>
      <c r="ABI6" s="145"/>
      <c r="ABJ6" s="145"/>
      <c r="ABK6" s="145"/>
      <c r="ABL6" s="145"/>
      <c r="ABM6" s="145"/>
      <c r="ABN6" s="145"/>
      <c r="ABO6" s="145"/>
      <c r="ABP6" s="145"/>
      <c r="ABQ6" s="145"/>
      <c r="ABR6" s="145"/>
      <c r="ABS6" s="145"/>
      <c r="ABT6" s="145"/>
      <c r="ABU6" s="145"/>
      <c r="ABV6" s="145"/>
      <c r="ABW6" s="145"/>
      <c r="ABX6" s="145"/>
      <c r="ABY6" s="145"/>
      <c r="ABZ6" s="145"/>
      <c r="ACA6" s="145"/>
      <c r="ACB6" s="145"/>
      <c r="ACC6" s="145"/>
      <c r="ACD6" s="145"/>
      <c r="ACE6" s="145"/>
      <c r="ACF6" s="145"/>
      <c r="ACG6" s="145"/>
      <c r="ACH6" s="145"/>
      <c r="ACI6" s="145"/>
      <c r="ACJ6" s="145"/>
      <c r="ACK6" s="145"/>
      <c r="ACL6" s="145"/>
      <c r="ACM6" s="145"/>
      <c r="ACN6" s="145"/>
      <c r="ACO6" s="145"/>
      <c r="ACP6" s="145"/>
      <c r="ACQ6" s="145"/>
      <c r="ACR6" s="145"/>
      <c r="ACS6" s="145"/>
      <c r="ACT6" s="145"/>
      <c r="ACU6" s="145"/>
      <c r="ACV6" s="145"/>
      <c r="ACW6" s="145"/>
      <c r="ACX6" s="145"/>
      <c r="ACY6" s="145"/>
      <c r="ACZ6" s="145"/>
      <c r="ADA6" s="145"/>
      <c r="ADB6" s="145"/>
      <c r="ADC6" s="145"/>
      <c r="ADD6" s="145"/>
      <c r="ADE6" s="145"/>
      <c r="ADF6" s="145"/>
      <c r="ADG6" s="145"/>
      <c r="ADH6" s="145"/>
      <c r="ADI6" s="145"/>
      <c r="ADJ6" s="145"/>
      <c r="ADK6" s="145"/>
      <c r="ADL6" s="145"/>
      <c r="ADM6" s="145"/>
      <c r="ADN6" s="145"/>
      <c r="ADO6" s="145"/>
      <c r="ADP6" s="145"/>
      <c r="ADQ6" s="145"/>
      <c r="ADR6" s="145"/>
      <c r="ADS6" s="145"/>
      <c r="ADT6" s="145"/>
      <c r="ADU6" s="145"/>
      <c r="ADV6" s="145"/>
      <c r="ADW6" s="145"/>
      <c r="ADX6" s="145"/>
      <c r="ADY6" s="145"/>
      <c r="ADZ6" s="145"/>
      <c r="AEA6" s="145"/>
      <c r="AEB6" s="145"/>
      <c r="AEC6" s="145"/>
      <c r="AED6" s="145"/>
      <c r="AEE6" s="145"/>
      <c r="AEF6" s="145"/>
      <c r="AEG6" s="145"/>
      <c r="AEH6" s="145"/>
      <c r="AEI6" s="145"/>
      <c r="AEJ6" s="145"/>
      <c r="AEK6" s="145"/>
      <c r="AEL6" s="145"/>
      <c r="AEM6" s="145"/>
      <c r="AEN6" s="145"/>
      <c r="AEO6" s="145"/>
      <c r="AEP6" s="145"/>
      <c r="AEQ6" s="145"/>
      <c r="AER6" s="145"/>
      <c r="AES6" s="145"/>
      <c r="AET6" s="145"/>
      <c r="AEU6" s="145"/>
      <c r="AEV6" s="145"/>
      <c r="AEW6" s="145"/>
      <c r="AEX6" s="145"/>
      <c r="AEY6" s="145"/>
      <c r="AEZ6" s="145"/>
      <c r="AFA6" s="145"/>
      <c r="AFB6" s="145"/>
      <c r="AFC6" s="145"/>
      <c r="AFD6" s="145"/>
      <c r="AFE6" s="145"/>
      <c r="AFF6" s="145"/>
      <c r="AFG6" s="145"/>
      <c r="AFH6" s="145"/>
      <c r="AFI6" s="145"/>
      <c r="AFJ6" s="145"/>
      <c r="AFK6" s="145"/>
      <c r="AFL6" s="145"/>
      <c r="AFM6" s="145"/>
      <c r="AFN6" s="145"/>
      <c r="AFO6" s="145"/>
      <c r="AFP6" s="145"/>
      <c r="AFQ6" s="145"/>
      <c r="AFR6" s="145"/>
      <c r="AFS6" s="145"/>
      <c r="AFT6" s="145"/>
      <c r="AFU6" s="145"/>
      <c r="AFV6" s="145"/>
      <c r="AFW6" s="145"/>
      <c r="AFX6" s="145"/>
      <c r="AFY6" s="145"/>
      <c r="AFZ6" s="145"/>
      <c r="AGA6" s="145"/>
      <c r="AGB6" s="145"/>
      <c r="AGC6" s="145"/>
      <c r="AGD6" s="145"/>
      <c r="AGE6" s="145"/>
      <c r="AGF6" s="145"/>
      <c r="AGG6" s="145"/>
      <c r="AGH6" s="145"/>
      <c r="AGI6" s="145"/>
      <c r="AGJ6" s="145"/>
      <c r="AGK6" s="145"/>
      <c r="AGL6" s="145"/>
      <c r="AGM6" s="145"/>
      <c r="AGN6" s="145"/>
      <c r="AGO6" s="145"/>
      <c r="AGP6" s="145"/>
      <c r="AGQ6" s="145"/>
      <c r="AGR6" s="145"/>
      <c r="AGS6" s="145"/>
      <c r="AGT6" s="145"/>
      <c r="AGU6" s="145"/>
      <c r="AGV6" s="145"/>
      <c r="AGW6" s="145"/>
      <c r="AGX6" s="145"/>
      <c r="AGY6" s="145"/>
      <c r="AGZ6" s="145"/>
      <c r="AHA6" s="145"/>
      <c r="AHB6" s="145"/>
      <c r="AHC6" s="145"/>
      <c r="AHD6" s="145"/>
      <c r="AHE6" s="145"/>
      <c r="AHF6" s="145"/>
      <c r="AHG6" s="145"/>
      <c r="AHH6" s="145"/>
      <c r="AHI6" s="145"/>
      <c r="AHJ6" s="145"/>
      <c r="AHK6" s="145"/>
      <c r="AHL6" s="145"/>
      <c r="AHM6" s="145"/>
      <c r="AHN6" s="145"/>
      <c r="AHO6" s="145"/>
      <c r="AHP6" s="145"/>
      <c r="AHQ6" s="145"/>
      <c r="AHR6" s="145"/>
      <c r="AHS6" s="145"/>
      <c r="AHT6" s="145"/>
      <c r="AHU6" s="145"/>
      <c r="AHV6" s="145"/>
      <c r="AHW6" s="145"/>
      <c r="AHX6" s="145"/>
      <c r="AHY6" s="145"/>
      <c r="AHZ6" s="145"/>
      <c r="AIA6" s="145"/>
      <c r="AIB6" s="145"/>
      <c r="AIC6" s="145"/>
      <c r="AID6" s="145"/>
      <c r="AIE6" s="145"/>
      <c r="AIF6" s="145"/>
      <c r="AIG6" s="145"/>
      <c r="AIH6" s="145"/>
      <c r="AII6" s="145"/>
      <c r="AIJ6" s="145"/>
      <c r="AIK6" s="145"/>
      <c r="AIL6" s="145"/>
      <c r="AIM6" s="145"/>
      <c r="AIN6" s="145"/>
      <c r="AIO6" s="145"/>
      <c r="AIP6" s="145"/>
      <c r="AIQ6" s="145"/>
      <c r="AIR6" s="145"/>
      <c r="AIS6" s="145"/>
      <c r="AIT6" s="145"/>
      <c r="AIU6" s="145"/>
      <c r="AIV6" s="145"/>
      <c r="AIW6" s="145"/>
      <c r="AIX6" s="145"/>
      <c r="AIY6" s="145"/>
      <c r="AIZ6" s="145"/>
      <c r="AJA6" s="145"/>
      <c r="AJB6" s="145"/>
      <c r="AJC6" s="145"/>
      <c r="AJD6" s="145"/>
      <c r="AJE6" s="145"/>
      <c r="AJF6" s="145"/>
      <c r="AJG6" s="145"/>
      <c r="AJH6" s="145"/>
      <c r="AJI6" s="145"/>
      <c r="AJJ6" s="145"/>
      <c r="AJK6" s="145"/>
      <c r="AJL6" s="145"/>
      <c r="AJM6" s="145"/>
      <c r="AJN6" s="145"/>
      <c r="AJO6" s="145"/>
      <c r="AJP6" s="145"/>
      <c r="AJQ6" s="145"/>
      <c r="AJR6" s="145"/>
      <c r="AJS6" s="145"/>
      <c r="AJT6" s="145"/>
      <c r="AJU6" s="145"/>
      <c r="AJV6" s="145"/>
      <c r="AJW6" s="145"/>
      <c r="AJX6" s="145"/>
      <c r="AJY6" s="145"/>
      <c r="AJZ6" s="145"/>
      <c r="AKA6" s="145"/>
      <c r="AKB6" s="145"/>
      <c r="AKC6" s="145"/>
      <c r="AKD6" s="145"/>
      <c r="AKE6" s="145"/>
      <c r="AKF6" s="145"/>
      <c r="AKG6" s="145"/>
      <c r="AKH6" s="145"/>
      <c r="AKI6" s="145"/>
      <c r="AKJ6" s="145"/>
      <c r="AKK6" s="145"/>
      <c r="AKL6" s="145"/>
      <c r="AKM6" s="145"/>
      <c r="AKN6" s="145"/>
      <c r="AKO6" s="145"/>
      <c r="AKP6" s="145"/>
      <c r="AKQ6" s="145"/>
      <c r="AKR6" s="145"/>
      <c r="AKS6" s="145"/>
      <c r="AKT6" s="145"/>
      <c r="AKU6" s="145"/>
      <c r="AKV6" s="145"/>
      <c r="AKW6" s="145"/>
      <c r="AKX6" s="145"/>
      <c r="AKY6" s="145"/>
      <c r="AKZ6" s="145"/>
      <c r="ALA6" s="145"/>
      <c r="ALB6" s="145"/>
      <c r="ALC6" s="145"/>
      <c r="ALD6" s="145"/>
      <c r="ALE6" s="145"/>
      <c r="ALF6" s="145"/>
      <c r="ALG6" s="145"/>
      <c r="ALH6" s="145"/>
      <c r="ALI6" s="145"/>
      <c r="ALJ6" s="145"/>
      <c r="ALK6" s="145"/>
      <c r="ALL6" s="145"/>
      <c r="ALM6" s="145"/>
      <c r="ALN6" s="145"/>
      <c r="ALO6" s="145"/>
      <c r="ALP6" s="145"/>
      <c r="ALQ6" s="145"/>
      <c r="ALR6" s="145"/>
      <c r="ALS6" s="145"/>
      <c r="ALT6" s="145"/>
      <c r="ALU6" s="145"/>
      <c r="ALV6" s="145"/>
      <c r="ALW6" s="145"/>
      <c r="ALX6" s="145"/>
      <c r="ALY6" s="145"/>
      <c r="ALZ6" s="145"/>
      <c r="AMA6" s="145"/>
      <c r="AMB6" s="145"/>
      <c r="AMC6" s="145"/>
      <c r="AMD6" s="145"/>
      <c r="AME6" s="145"/>
      <c r="AMF6" s="145"/>
    </row>
    <row r="7" spans="1:52" s="145" customFormat="1" ht="12.75" customHeight="1">
      <c r="A7" s="185" t="s">
        <v>76</v>
      </c>
      <c r="B7" s="186"/>
      <c r="C7" s="189" t="s">
        <v>660</v>
      </c>
      <c r="D7" s="187" t="s">
        <v>77</v>
      </c>
      <c r="E7" s="148" t="s">
        <v>78</v>
      </c>
      <c r="F7" s="149" t="s">
        <v>79</v>
      </c>
      <c r="G7" s="190" t="s">
        <v>80</v>
      </c>
      <c r="H7" s="153" t="s">
        <v>81</v>
      </c>
      <c r="I7" s="154" t="s">
        <v>82</v>
      </c>
      <c r="J7" s="153" t="s">
        <v>83</v>
      </c>
      <c r="K7" s="155" t="s">
        <v>84</v>
      </c>
      <c r="L7" s="153" t="s">
        <v>85</v>
      </c>
      <c r="M7" s="153" t="s">
        <v>86</v>
      </c>
      <c r="N7" s="153" t="s">
        <v>87</v>
      </c>
      <c r="O7" s="153" t="s">
        <v>88</v>
      </c>
      <c r="P7" s="153" t="s">
        <v>89</v>
      </c>
      <c r="Q7" s="153" t="s">
        <v>90</v>
      </c>
      <c r="R7" s="153" t="s">
        <v>91</v>
      </c>
      <c r="S7" s="153" t="s">
        <v>92</v>
      </c>
      <c r="T7" s="153" t="s">
        <v>92</v>
      </c>
      <c r="U7" s="153" t="s">
        <v>93</v>
      </c>
      <c r="V7" s="153" t="s">
        <v>94</v>
      </c>
      <c r="W7" s="156" t="s">
        <v>95</v>
      </c>
      <c r="X7" s="153" t="s">
        <v>96</v>
      </c>
      <c r="Y7" s="153" t="s">
        <v>97</v>
      </c>
      <c r="Z7" s="153" t="s">
        <v>614</v>
      </c>
      <c r="AA7" s="157" t="s">
        <v>98</v>
      </c>
      <c r="AB7" s="157"/>
      <c r="AC7" s="157" t="s">
        <v>99</v>
      </c>
      <c r="AD7" s="153" t="s">
        <v>100</v>
      </c>
      <c r="AE7" s="156" t="s">
        <v>101</v>
      </c>
      <c r="AF7" s="153" t="s">
        <v>102</v>
      </c>
      <c r="AG7" s="153" t="s">
        <v>103</v>
      </c>
      <c r="AH7" s="151" t="s">
        <v>104</v>
      </c>
      <c r="AI7" s="153" t="s">
        <v>606</v>
      </c>
      <c r="AJ7" s="157" t="s">
        <v>606</v>
      </c>
      <c r="AK7" s="182" t="s">
        <v>687</v>
      </c>
      <c r="AL7" s="157" t="s">
        <v>105</v>
      </c>
      <c r="AM7" s="150" t="s">
        <v>106</v>
      </c>
      <c r="AN7" s="152" t="s">
        <v>107</v>
      </c>
      <c r="AO7" s="152" t="s">
        <v>108</v>
      </c>
      <c r="AP7" s="153" t="s">
        <v>109</v>
      </c>
      <c r="AQ7" s="160" t="s">
        <v>618</v>
      </c>
      <c r="AR7" s="160" t="s">
        <v>619</v>
      </c>
      <c r="AS7" s="151"/>
      <c r="AT7" s="152" t="str">
        <f aca="true" t="shared" si="0" ref="AT7:AT70">AN7</f>
        <v>C660060</v>
      </c>
      <c r="AU7" s="171"/>
      <c r="AV7" s="170"/>
      <c r="AW7" s="170"/>
      <c r="AX7" s="146"/>
      <c r="AY7" s="146"/>
      <c r="AZ7" s="146"/>
    </row>
    <row r="8" spans="1:52" s="110" customFormat="1" ht="11.25" customHeight="1">
      <c r="A8" s="123" t="s">
        <v>110</v>
      </c>
      <c r="B8" s="123">
        <v>1</v>
      </c>
      <c r="C8" s="126">
        <v>1</v>
      </c>
      <c r="D8" s="124" t="s">
        <v>111</v>
      </c>
      <c r="E8" s="192">
        <v>107</v>
      </c>
      <c r="F8" s="125">
        <f>ROUND(E8*Valores!$C$2,2)</f>
        <v>5826.15</v>
      </c>
      <c r="G8" s="192">
        <v>3779</v>
      </c>
      <c r="H8" s="125">
        <f>ROUND(G8*Valores!$C$2,2)</f>
        <v>205766.55</v>
      </c>
      <c r="I8" s="192">
        <v>219</v>
      </c>
      <c r="J8" s="125">
        <f>ROUND(I8*Valores!$C$2,2)</f>
        <v>11924.55</v>
      </c>
      <c r="K8" s="192">
        <v>0</v>
      </c>
      <c r="L8" s="125">
        <f>ROUND(K8*Valores!$C$2,2)</f>
        <v>0</v>
      </c>
      <c r="M8" s="125">
        <f>ROUND(IF($H$2=0,IF(AND(A8&lt;&gt;"13-930",A8&lt;&gt;"13-940"),(SUM(F8,H8,J8,L8,X8,T8,R8)*Valores!$C$4),0),0),2)</f>
        <v>61802.28</v>
      </c>
      <c r="N8" s="125">
        <f aca="true" t="shared" si="1" ref="N8:N71">ROUND(SUM(F8,H8,J8,L8,X8,R8)*$H$2,2)</f>
        <v>0</v>
      </c>
      <c r="O8" s="125">
        <f>Valores!$C$11</f>
        <v>48548.35</v>
      </c>
      <c r="P8" s="125">
        <f>Valores!$D$5</f>
        <v>27834.84</v>
      </c>
      <c r="Q8" s="125">
        <v>0</v>
      </c>
      <c r="R8" s="125">
        <f>IF($F$4="NO",Valores!$C$46,Valores!$C$46/2)</f>
        <v>23691.88</v>
      </c>
      <c r="S8" s="125">
        <v>0</v>
      </c>
      <c r="T8" s="125">
        <f>ROUND(S8*(1+$H$2),2)</f>
        <v>0</v>
      </c>
      <c r="U8" s="125">
        <f>SUM(F8,H8,J8)</f>
        <v>223517.24999999997</v>
      </c>
      <c r="V8" s="125">
        <f>INT((SUM(F8,H8,J8)*0.4*100)+0.49)/100</f>
        <v>89406.9</v>
      </c>
      <c r="W8" s="192">
        <v>0</v>
      </c>
      <c r="X8" s="125">
        <f>ROUND(W8*Valores!$C$2,2)</f>
        <v>0</v>
      </c>
      <c r="Y8" s="125">
        <v>0</v>
      </c>
      <c r="Z8" s="125">
        <f>Valores!$C$94</f>
        <v>38113.67</v>
      </c>
      <c r="AA8" s="125">
        <f>Valores!$C$25</f>
        <v>1138.39</v>
      </c>
      <c r="AB8" s="214">
        <v>0</v>
      </c>
      <c r="AC8" s="125">
        <f aca="true" t="shared" si="2" ref="AC8:AC71">ROUND(SUM(F8,H8,J8,X8,R8)*AB8,2)</f>
        <v>0</v>
      </c>
      <c r="AD8" s="125">
        <f>Valores!$C$26</f>
        <v>1138.39</v>
      </c>
      <c r="AE8" s="192">
        <v>0</v>
      </c>
      <c r="AF8" s="125">
        <f>ROUND(AE8*Valores!$C$2,2)</f>
        <v>0</v>
      </c>
      <c r="AG8" s="125">
        <f>ROUND(IF($F$4="NO",Valores!$C$63,Valores!$C$63/2),2)</f>
        <v>13014.72</v>
      </c>
      <c r="AH8" s="125">
        <f>SUM(F8,H8,J8,L8,M8,N8,O8,P8,Q8,R8,T8,U8,V8,X8,Y8,Z8,AA8,AC8,AD8,AF8,AG8)</f>
        <v>751723.92</v>
      </c>
      <c r="AI8" s="125">
        <f>Valores!$C$31</f>
        <v>0</v>
      </c>
      <c r="AJ8" s="125">
        <f>Valores!$C$87</f>
        <v>0</v>
      </c>
      <c r="AK8" s="125">
        <f>Valores!C$38*B8</f>
        <v>0</v>
      </c>
      <c r="AL8" s="125">
        <f>IF($F$3="NO",0,Valores!$C$55)</f>
        <v>327.6</v>
      </c>
      <c r="AM8" s="125">
        <f aca="true" t="shared" si="3" ref="AM8:AM71">SUM(AI8:AL8)</f>
        <v>327.6</v>
      </c>
      <c r="AN8" s="125">
        <f>AH8*Valores!$C$71</f>
        <v>-82689.6312</v>
      </c>
      <c r="AO8" s="125">
        <f>AH8*-Valores!$C$72</f>
        <v>0</v>
      </c>
      <c r="AP8" s="125">
        <f>AH8*Valores!$C$73</f>
        <v>-33827.5764</v>
      </c>
      <c r="AQ8" s="125">
        <f>Valores!$C$100</f>
        <v>-554.86</v>
      </c>
      <c r="AR8" s="125">
        <f>IF($F$5=0,Valores!$C$101,(Valores!$C$101+$F$5*(Valores!$C$101)))</f>
        <v>-852</v>
      </c>
      <c r="AS8" s="125">
        <f>AH8+AM8+SUM(AN8:AR8)</f>
        <v>634127.4524000001</v>
      </c>
      <c r="AT8" s="125">
        <f t="shared" si="0"/>
        <v>-82689.6312</v>
      </c>
      <c r="AU8" s="125">
        <f>AH8*Valores!$C$74</f>
        <v>-20296.545840000002</v>
      </c>
      <c r="AV8" s="125">
        <f>AH8*Valores!$C$75</f>
        <v>-2255.17176</v>
      </c>
      <c r="AW8" s="125">
        <f aca="true" t="shared" si="4" ref="AW8:AW71">AH8+AM8+SUM(AT8:AV8)</f>
        <v>646810.1712</v>
      </c>
      <c r="AX8" s="126">
        <v>33</v>
      </c>
      <c r="AY8" s="126">
        <v>45</v>
      </c>
      <c r="AZ8" s="123" t="s">
        <v>8</v>
      </c>
    </row>
    <row r="9" spans="1:52" s="110" customFormat="1" ht="11.25" customHeight="1">
      <c r="A9" s="123" t="s">
        <v>112</v>
      </c>
      <c r="B9" s="123">
        <v>1</v>
      </c>
      <c r="C9" s="126">
        <v>2</v>
      </c>
      <c r="D9" s="124" t="s">
        <v>113</v>
      </c>
      <c r="E9" s="192">
        <v>107</v>
      </c>
      <c r="F9" s="125">
        <f>ROUND(E9*Valores!$C$2,2)</f>
        <v>5826.15</v>
      </c>
      <c r="G9" s="192">
        <v>3779</v>
      </c>
      <c r="H9" s="125">
        <f>ROUND(G9*Valores!$C$2,2)</f>
        <v>205766.55</v>
      </c>
      <c r="I9" s="192">
        <v>219</v>
      </c>
      <c r="J9" s="125">
        <f>ROUND(I9*Valores!$C$2,2)</f>
        <v>11924.55</v>
      </c>
      <c r="K9" s="192">
        <v>0</v>
      </c>
      <c r="L9" s="125">
        <f>ROUND(K9*Valores!$C$2,2)</f>
        <v>0</v>
      </c>
      <c r="M9" s="125">
        <f>ROUND(IF($H$2=0,IF(AND(A9&lt;&gt;"13-930",A9&lt;&gt;"13-940"),(SUM(F9,H9,J9,L9,X9,T9,R9)*Valores!$C$4),0),0),2)</f>
        <v>61802.28</v>
      </c>
      <c r="N9" s="125">
        <f t="shared" si="1"/>
        <v>0</v>
      </c>
      <c r="O9" s="125">
        <f>Valores!$C$11</f>
        <v>48548.35</v>
      </c>
      <c r="P9" s="125">
        <f>Valores!$D$5</f>
        <v>27834.84</v>
      </c>
      <c r="Q9" s="125">
        <v>0</v>
      </c>
      <c r="R9" s="125">
        <f>IF($F$4="NO",Valores!$C$46,Valores!$C$46/2)</f>
        <v>23691.88</v>
      </c>
      <c r="S9" s="125">
        <v>0</v>
      </c>
      <c r="T9" s="125">
        <f>ROUND(S9*(1+$H$2),2)</f>
        <v>0</v>
      </c>
      <c r="U9" s="125">
        <f>SUM(F9,H9,J9)</f>
        <v>223517.24999999997</v>
      </c>
      <c r="V9" s="125">
        <f>INT((SUM(F9,H9,J9)*0.4*100)+0.49)/100</f>
        <v>89406.9</v>
      </c>
      <c r="W9" s="192">
        <v>0</v>
      </c>
      <c r="X9" s="125">
        <f>ROUND(W9*Valores!$C$2,2)</f>
        <v>0</v>
      </c>
      <c r="Y9" s="125">
        <v>0</v>
      </c>
      <c r="Z9" s="125">
        <f>Valores!$C$94</f>
        <v>38113.67</v>
      </c>
      <c r="AA9" s="125">
        <f>Valores!$C$25</f>
        <v>1138.39</v>
      </c>
      <c r="AB9" s="214">
        <v>0</v>
      </c>
      <c r="AC9" s="125">
        <f t="shared" si="2"/>
        <v>0</v>
      </c>
      <c r="AD9" s="125">
        <f>Valores!$C$26</f>
        <v>1138.39</v>
      </c>
      <c r="AE9" s="192">
        <v>0</v>
      </c>
      <c r="AF9" s="125">
        <f>ROUND(AE9*Valores!$C$2,2)</f>
        <v>0</v>
      </c>
      <c r="AG9" s="125">
        <f>ROUND(IF($F$4="NO",Valores!$C$63,Valores!$C$63/2),2)</f>
        <v>13014.72</v>
      </c>
      <c r="AH9" s="125">
        <f aca="true" t="shared" si="5" ref="AH9:AH72">SUM(F9,H9,J9,L9,M9,N9,O9,P9,Q9,R9,T9,U9,V9,X9,Y9,Z9,AA9,AC9,AD9,AF9,AG9)</f>
        <v>751723.92</v>
      </c>
      <c r="AI9" s="125">
        <f>Valores!$C$31</f>
        <v>0</v>
      </c>
      <c r="AJ9" s="125">
        <f>Valores!$C$87</f>
        <v>0</v>
      </c>
      <c r="AK9" s="125">
        <f>Valores!C$38*B9</f>
        <v>0</v>
      </c>
      <c r="AL9" s="125">
        <f>IF($F$3="NO",0,Valores!$C$55)</f>
        <v>327.6</v>
      </c>
      <c r="AM9" s="125">
        <f t="shared" si="3"/>
        <v>327.6</v>
      </c>
      <c r="AN9" s="125">
        <f>AH9*Valores!$C$71</f>
        <v>-82689.6312</v>
      </c>
      <c r="AO9" s="125">
        <f>AH9*-Valores!$C$72</f>
        <v>0</v>
      </c>
      <c r="AP9" s="125">
        <f>AH9*Valores!$C$73</f>
        <v>-33827.5764</v>
      </c>
      <c r="AQ9" s="125">
        <f>Valores!$C$100</f>
        <v>-554.86</v>
      </c>
      <c r="AR9" s="125">
        <f>IF($F$5=0,Valores!$C$101,(Valores!$C$101+$F$5*(Valores!$C$101)))</f>
        <v>-852</v>
      </c>
      <c r="AS9" s="125">
        <f aca="true" t="shared" si="6" ref="AS9:AS72">AH9+SUM(AM9:AR9)</f>
        <v>634127.4524000001</v>
      </c>
      <c r="AT9" s="125">
        <f t="shared" si="0"/>
        <v>-82689.6312</v>
      </c>
      <c r="AU9" s="125">
        <f>AH9*Valores!$C$74</f>
        <v>-20296.545840000002</v>
      </c>
      <c r="AV9" s="125">
        <f>AH9*Valores!$C$75</f>
        <v>-2255.17176</v>
      </c>
      <c r="AW9" s="125">
        <f t="shared" si="4"/>
        <v>646810.1712</v>
      </c>
      <c r="AX9" s="126">
        <v>33</v>
      </c>
      <c r="AY9" s="126">
        <v>45</v>
      </c>
      <c r="AZ9" s="123" t="s">
        <v>8</v>
      </c>
    </row>
    <row r="10" spans="1:52" s="110" customFormat="1" ht="11.25" customHeight="1">
      <c r="A10" s="123" t="s">
        <v>114</v>
      </c>
      <c r="B10" s="123">
        <v>1</v>
      </c>
      <c r="C10" s="126">
        <v>3</v>
      </c>
      <c r="D10" s="124" t="s">
        <v>115</v>
      </c>
      <c r="E10" s="192">
        <v>107</v>
      </c>
      <c r="F10" s="125">
        <f>ROUND(E10*Valores!$C$2,2)</f>
        <v>5826.15</v>
      </c>
      <c r="G10" s="192">
        <v>3720</v>
      </c>
      <c r="H10" s="125">
        <f>ROUND(G10*Valores!$C$2,2)</f>
        <v>202554</v>
      </c>
      <c r="I10" s="192">
        <v>1226</v>
      </c>
      <c r="J10" s="125">
        <f>ROUND(I10*Valores!$C$2,2)</f>
        <v>66755.7</v>
      </c>
      <c r="K10" s="192">
        <v>0</v>
      </c>
      <c r="L10" s="125">
        <f>ROUND(K10*Valores!$C$2,2)</f>
        <v>0</v>
      </c>
      <c r="M10" s="125">
        <f>ROUND(IF($H$2=0,IF(AND(A10&lt;&gt;"13-930",A10&lt;&gt;"13-940"),(SUM(F10,H10,J10,L10,X10,T10,R10)*Valores!$C$4),0),0),2)</f>
        <v>81181.7</v>
      </c>
      <c r="N10" s="125">
        <f t="shared" si="1"/>
        <v>0</v>
      </c>
      <c r="O10" s="125">
        <f>Valores!$C$13</f>
        <v>49871.54</v>
      </c>
      <c r="P10" s="125">
        <f>Valores!$D$5</f>
        <v>27834.84</v>
      </c>
      <c r="Q10" s="125">
        <v>0</v>
      </c>
      <c r="R10" s="125">
        <f>IF($F$4="NO",Valores!$C$46,Valores!$C$46/2)</f>
        <v>23691.88</v>
      </c>
      <c r="S10" s="125">
        <f>Valores!$C$19</f>
        <v>25899.06</v>
      </c>
      <c r="T10" s="125">
        <f>ROUND(S10*(1+$H$2),2)</f>
        <v>25899.06</v>
      </c>
      <c r="U10" s="125">
        <v>0</v>
      </c>
      <c r="V10" s="125">
        <v>0</v>
      </c>
      <c r="W10" s="192">
        <v>0</v>
      </c>
      <c r="X10" s="125">
        <f>ROUND(W10*Valores!$C$2,2)</f>
        <v>0</v>
      </c>
      <c r="Y10" s="125">
        <v>0</v>
      </c>
      <c r="Z10" s="125">
        <f>Valores!$C$94</f>
        <v>38113.67</v>
      </c>
      <c r="AA10" s="125">
        <f>Valores!$C$25</f>
        <v>1138.39</v>
      </c>
      <c r="AB10" s="214">
        <v>0</v>
      </c>
      <c r="AC10" s="125">
        <f t="shared" si="2"/>
        <v>0</v>
      </c>
      <c r="AD10" s="125">
        <f>Valores!$C$26</f>
        <v>1138.39</v>
      </c>
      <c r="AE10" s="192">
        <v>0</v>
      </c>
      <c r="AF10" s="125">
        <f>ROUND(AE10*Valores!$C$2,2)</f>
        <v>0</v>
      </c>
      <c r="AG10" s="125">
        <f>ROUND(IF($F$4="NO",Valores!$C$63,Valores!$C$63/2),2)</f>
        <v>13014.72</v>
      </c>
      <c r="AH10" s="125">
        <f t="shared" si="5"/>
        <v>537020.04</v>
      </c>
      <c r="AI10" s="125">
        <f>Valores!$C$31</f>
        <v>0</v>
      </c>
      <c r="AJ10" s="125">
        <f>Valores!$C$87</f>
        <v>0</v>
      </c>
      <c r="AK10" s="125">
        <f>Valores!C$38*B10</f>
        <v>0</v>
      </c>
      <c r="AL10" s="125">
        <f>IF($F$3="NO",0,Valores!$C$55)</f>
        <v>327.6</v>
      </c>
      <c r="AM10" s="125">
        <f t="shared" si="3"/>
        <v>327.6</v>
      </c>
      <c r="AN10" s="125">
        <f>AH10*Valores!$C$71</f>
        <v>-59072.2044</v>
      </c>
      <c r="AO10" s="125">
        <f>AH10*-Valores!$C$72</f>
        <v>0</v>
      </c>
      <c r="AP10" s="125">
        <f>AH10*Valores!$C$73</f>
        <v>-24165.9018</v>
      </c>
      <c r="AQ10" s="125">
        <f>Valores!$C$100</f>
        <v>-554.86</v>
      </c>
      <c r="AR10" s="125">
        <f>IF($F$5=0,Valores!$C$101,(Valores!$C$101+$F$5*(Valores!$C$101)))</f>
        <v>-852</v>
      </c>
      <c r="AS10" s="125">
        <f t="shared" si="6"/>
        <v>452702.67380000005</v>
      </c>
      <c r="AT10" s="125">
        <f t="shared" si="0"/>
        <v>-59072.2044</v>
      </c>
      <c r="AU10" s="125">
        <f>AH10*Valores!$C$74</f>
        <v>-14499.54108</v>
      </c>
      <c r="AV10" s="125">
        <f>AH10*Valores!$C$75</f>
        <v>-1611.06012</v>
      </c>
      <c r="AW10" s="125">
        <f t="shared" si="4"/>
        <v>462164.83440000005</v>
      </c>
      <c r="AX10" s="126">
        <v>35</v>
      </c>
      <c r="AY10" s="126">
        <v>45</v>
      </c>
      <c r="AZ10" s="123" t="s">
        <v>4</v>
      </c>
    </row>
    <row r="11" spans="1:52" s="110" customFormat="1" ht="11.25" customHeight="1">
      <c r="A11" s="123" t="s">
        <v>116</v>
      </c>
      <c r="B11" s="123">
        <v>1</v>
      </c>
      <c r="C11" s="126">
        <v>4</v>
      </c>
      <c r="D11" s="124" t="s">
        <v>117</v>
      </c>
      <c r="E11" s="192">
        <v>107</v>
      </c>
      <c r="F11" s="125">
        <f>ROUND(E11*Valores!$C$2,2)</f>
        <v>5826.15</v>
      </c>
      <c r="G11" s="192">
        <v>3779</v>
      </c>
      <c r="H11" s="125">
        <f>ROUND(G11*Valores!$C$2,2)</f>
        <v>205766.55</v>
      </c>
      <c r="I11" s="192">
        <v>219</v>
      </c>
      <c r="J11" s="125">
        <f>ROUND(I11*Valores!$C$2,2)</f>
        <v>11924.55</v>
      </c>
      <c r="K11" s="192">
        <v>0</v>
      </c>
      <c r="L11" s="125">
        <f>ROUND(K11*Valores!$C$2,2)</f>
        <v>0</v>
      </c>
      <c r="M11" s="125">
        <f>ROUND(IF($H$2=0,IF(AND(A11&lt;&gt;"13-930",A11&lt;&gt;"13-940"),(SUM(F11,H11,J11,L11,X11,T11,R11)*Valores!$C$4),0),0),2)</f>
        <v>61802.28</v>
      </c>
      <c r="N11" s="125">
        <f t="shared" si="1"/>
        <v>0</v>
      </c>
      <c r="O11" s="125">
        <f>Valores!$C$11</f>
        <v>48548.35</v>
      </c>
      <c r="P11" s="125">
        <f>Valores!$D$5</f>
        <v>27834.84</v>
      </c>
      <c r="Q11" s="125">
        <v>0</v>
      </c>
      <c r="R11" s="125">
        <f>IF($F$4="NO",Valores!$C$46,Valores!$C$46/2)</f>
        <v>23691.88</v>
      </c>
      <c r="S11" s="125">
        <v>0</v>
      </c>
      <c r="T11" s="125">
        <f aca="true" t="shared" si="7" ref="T11:T74">ROUND(S11*(1+$H$2),2)</f>
        <v>0</v>
      </c>
      <c r="U11" s="125">
        <f aca="true" t="shared" si="8" ref="U11:U20">SUM(F11,H11,J11)</f>
        <v>223517.24999999997</v>
      </c>
      <c r="V11" s="125">
        <f aca="true" t="shared" si="9" ref="V11:V20">INT((SUM(F11,H11,J11)*0.4*100)+0.49)/100</f>
        <v>89406.9</v>
      </c>
      <c r="W11" s="192">
        <v>0</v>
      </c>
      <c r="X11" s="125">
        <f>ROUND(W11*Valores!$C$2,2)</f>
        <v>0</v>
      </c>
      <c r="Y11" s="125">
        <v>0</v>
      </c>
      <c r="Z11" s="125">
        <f>Valores!$C$94</f>
        <v>38113.67</v>
      </c>
      <c r="AA11" s="125">
        <f>Valores!$C$25</f>
        <v>1138.39</v>
      </c>
      <c r="AB11" s="214">
        <v>0</v>
      </c>
      <c r="AC11" s="125">
        <f t="shared" si="2"/>
        <v>0</v>
      </c>
      <c r="AD11" s="125">
        <f>Valores!$C$26</f>
        <v>1138.39</v>
      </c>
      <c r="AE11" s="192">
        <v>0</v>
      </c>
      <c r="AF11" s="125">
        <f>ROUND(AE11*Valores!$C$2,2)</f>
        <v>0</v>
      </c>
      <c r="AG11" s="125">
        <f>ROUND(IF($F$4="NO",Valores!$C$63,Valores!$C$63/2),2)</f>
        <v>13014.72</v>
      </c>
      <c r="AH11" s="125">
        <f t="shared" si="5"/>
        <v>751723.92</v>
      </c>
      <c r="AI11" s="125">
        <f>Valores!$C$31</f>
        <v>0</v>
      </c>
      <c r="AJ11" s="125">
        <f>Valores!$C$87</f>
        <v>0</v>
      </c>
      <c r="AK11" s="125">
        <f>Valores!C$38*B11</f>
        <v>0</v>
      </c>
      <c r="AL11" s="125">
        <f>IF($F$3="NO",0,Valores!$C$55)</f>
        <v>327.6</v>
      </c>
      <c r="AM11" s="125">
        <f t="shared" si="3"/>
        <v>327.6</v>
      </c>
      <c r="AN11" s="125">
        <f>AH11*Valores!$C$71</f>
        <v>-82689.6312</v>
      </c>
      <c r="AO11" s="125">
        <f>AH11*-Valores!$C$72</f>
        <v>0</v>
      </c>
      <c r="AP11" s="125">
        <f>AH11*Valores!$C$73</f>
        <v>-33827.5764</v>
      </c>
      <c r="AQ11" s="125">
        <f>Valores!$C$100</f>
        <v>-554.86</v>
      </c>
      <c r="AR11" s="125">
        <f>IF($F$5=0,Valores!$C$101,(Valores!$C$101+$F$5*(Valores!$C$101)))</f>
        <v>-852</v>
      </c>
      <c r="AS11" s="125">
        <f t="shared" si="6"/>
        <v>634127.4524000001</v>
      </c>
      <c r="AT11" s="125">
        <f t="shared" si="0"/>
        <v>-82689.6312</v>
      </c>
      <c r="AU11" s="125">
        <f>AH11*Valores!$C$74</f>
        <v>-20296.545840000002</v>
      </c>
      <c r="AV11" s="125">
        <f>AH11*Valores!$C$75</f>
        <v>-2255.17176</v>
      </c>
      <c r="AW11" s="125">
        <f t="shared" si="4"/>
        <v>646810.1712</v>
      </c>
      <c r="AX11" s="126">
        <v>33</v>
      </c>
      <c r="AY11" s="126">
        <v>45</v>
      </c>
      <c r="AZ11" s="123" t="s">
        <v>8</v>
      </c>
    </row>
    <row r="12" spans="1:52" s="110" customFormat="1" ht="11.25" customHeight="1">
      <c r="A12" s="123" t="s">
        <v>118</v>
      </c>
      <c r="B12" s="123">
        <v>1</v>
      </c>
      <c r="C12" s="126">
        <v>5</v>
      </c>
      <c r="D12" s="124" t="s">
        <v>119</v>
      </c>
      <c r="E12" s="192">
        <v>107</v>
      </c>
      <c r="F12" s="125">
        <f>ROUND(E12*Valores!$C$2,2)</f>
        <v>5826.15</v>
      </c>
      <c r="G12" s="192">
        <v>3779</v>
      </c>
      <c r="H12" s="125">
        <f>ROUND(G12*Valores!$C$2,2)</f>
        <v>205766.55</v>
      </c>
      <c r="I12" s="192">
        <v>219</v>
      </c>
      <c r="J12" s="125">
        <f>ROUND(I12*Valores!$C$2,2)</f>
        <v>11924.55</v>
      </c>
      <c r="K12" s="192">
        <v>0</v>
      </c>
      <c r="L12" s="125">
        <f>ROUND(K12*Valores!$C$2,2)</f>
        <v>0</v>
      </c>
      <c r="M12" s="125">
        <f>ROUND(IF($H$2=0,IF(AND(A12&lt;&gt;"13-930",A12&lt;&gt;"13-940"),(SUM(F12,H12,J12,L12,X12,T12,R12)*Valores!$C$4),0),0),2)</f>
        <v>61802.28</v>
      </c>
      <c r="N12" s="125">
        <f t="shared" si="1"/>
        <v>0</v>
      </c>
      <c r="O12" s="125">
        <f>Valores!$C$11</f>
        <v>48548.35</v>
      </c>
      <c r="P12" s="125">
        <f>Valores!$D$5</f>
        <v>27834.84</v>
      </c>
      <c r="Q12" s="125">
        <v>0</v>
      </c>
      <c r="R12" s="125">
        <f>IF($F$4="NO",Valores!$C$46,Valores!$C$46/2)</f>
        <v>23691.88</v>
      </c>
      <c r="S12" s="125">
        <v>0</v>
      </c>
      <c r="T12" s="125">
        <f t="shared" si="7"/>
        <v>0</v>
      </c>
      <c r="U12" s="125">
        <f t="shared" si="8"/>
        <v>223517.24999999997</v>
      </c>
      <c r="V12" s="125">
        <f t="shared" si="9"/>
        <v>89406.9</v>
      </c>
      <c r="W12" s="192">
        <v>0</v>
      </c>
      <c r="X12" s="125">
        <f>ROUND(W12*Valores!$C$2,2)</f>
        <v>0</v>
      </c>
      <c r="Y12" s="125">
        <v>0</v>
      </c>
      <c r="Z12" s="125">
        <f>Valores!$C$94</f>
        <v>38113.67</v>
      </c>
      <c r="AA12" s="125">
        <f>Valores!$C$25</f>
        <v>1138.39</v>
      </c>
      <c r="AB12" s="214">
        <v>0</v>
      </c>
      <c r="AC12" s="125">
        <f t="shared" si="2"/>
        <v>0</v>
      </c>
      <c r="AD12" s="125">
        <f>Valores!$C$26</f>
        <v>1138.39</v>
      </c>
      <c r="AE12" s="192">
        <v>0</v>
      </c>
      <c r="AF12" s="125">
        <f>ROUND(AE12*Valores!$C$2,2)</f>
        <v>0</v>
      </c>
      <c r="AG12" s="125">
        <f>ROUND(IF($F$4="NO",Valores!$C$63,Valores!$C$63/2),2)</f>
        <v>13014.72</v>
      </c>
      <c r="AH12" s="125">
        <f t="shared" si="5"/>
        <v>751723.92</v>
      </c>
      <c r="AI12" s="125">
        <f>Valores!$C$31</f>
        <v>0</v>
      </c>
      <c r="AJ12" s="125">
        <f>Valores!$C$87</f>
        <v>0</v>
      </c>
      <c r="AK12" s="125">
        <f>Valores!C$38*B12</f>
        <v>0</v>
      </c>
      <c r="AL12" s="125">
        <f>IF($F$3="NO",0,Valores!$C$55)</f>
        <v>327.6</v>
      </c>
      <c r="AM12" s="125">
        <f t="shared" si="3"/>
        <v>327.6</v>
      </c>
      <c r="AN12" s="125">
        <f>AH12*Valores!$C$71</f>
        <v>-82689.6312</v>
      </c>
      <c r="AO12" s="125">
        <f>AH12*-Valores!$C$72</f>
        <v>0</v>
      </c>
      <c r="AP12" s="125">
        <f>AH12*Valores!$C$73</f>
        <v>-33827.5764</v>
      </c>
      <c r="AQ12" s="125">
        <f>Valores!$C$100</f>
        <v>-554.86</v>
      </c>
      <c r="AR12" s="125">
        <f>IF($F$5=0,Valores!$C$101,(Valores!$C$101+$F$5*(Valores!$C$101)))</f>
        <v>-852</v>
      </c>
      <c r="AS12" s="125">
        <f t="shared" si="6"/>
        <v>634127.4524000001</v>
      </c>
      <c r="AT12" s="125">
        <f t="shared" si="0"/>
        <v>-82689.6312</v>
      </c>
      <c r="AU12" s="125">
        <f>AH12*Valores!$C$74</f>
        <v>-20296.545840000002</v>
      </c>
      <c r="AV12" s="125">
        <f>AH12*Valores!$C$75</f>
        <v>-2255.17176</v>
      </c>
      <c r="AW12" s="125">
        <f t="shared" si="4"/>
        <v>646810.1712</v>
      </c>
      <c r="AX12" s="126">
        <v>33</v>
      </c>
      <c r="AY12" s="126">
        <v>45</v>
      </c>
      <c r="AZ12" s="123" t="s">
        <v>8</v>
      </c>
    </row>
    <row r="13" spans="1:52" s="110" customFormat="1" ht="11.25" customHeight="1">
      <c r="A13" s="123" t="s">
        <v>120</v>
      </c>
      <c r="B13" s="123">
        <v>1</v>
      </c>
      <c r="C13" s="126">
        <v>6</v>
      </c>
      <c r="D13" s="124" t="s">
        <v>121</v>
      </c>
      <c r="E13" s="192">
        <v>107</v>
      </c>
      <c r="F13" s="125">
        <f>ROUND(E13*Valores!$C$2,2)</f>
        <v>5826.15</v>
      </c>
      <c r="G13" s="192">
        <v>3779</v>
      </c>
      <c r="H13" s="125">
        <f>ROUND(G13*Valores!$C$2,2)</f>
        <v>205766.55</v>
      </c>
      <c r="I13" s="192">
        <v>219</v>
      </c>
      <c r="J13" s="125">
        <f>ROUND(I13*Valores!$C$2,2)</f>
        <v>11924.55</v>
      </c>
      <c r="K13" s="192">
        <v>0</v>
      </c>
      <c r="L13" s="125">
        <f>ROUND(K13*Valores!$C$2,2)</f>
        <v>0</v>
      </c>
      <c r="M13" s="125">
        <f>ROUND(IF($H$2=0,IF(AND(A13&lt;&gt;"13-930",A13&lt;&gt;"13-940"),(SUM(F13,H13,J13,L13,X13,T13,R13)*Valores!$C$4),0),0),2)</f>
        <v>61802.28</v>
      </c>
      <c r="N13" s="125">
        <f t="shared" si="1"/>
        <v>0</v>
      </c>
      <c r="O13" s="125">
        <f>Valores!$C$11</f>
        <v>48548.35</v>
      </c>
      <c r="P13" s="125">
        <f>Valores!$D$5</f>
        <v>27834.84</v>
      </c>
      <c r="Q13" s="125">
        <v>0</v>
      </c>
      <c r="R13" s="125">
        <f>IF($F$4="NO",Valores!$C$46,Valores!$C$46/2)</f>
        <v>23691.88</v>
      </c>
      <c r="S13" s="125">
        <v>0</v>
      </c>
      <c r="T13" s="125">
        <f t="shared" si="7"/>
        <v>0</v>
      </c>
      <c r="U13" s="125">
        <f t="shared" si="8"/>
        <v>223517.24999999997</v>
      </c>
      <c r="V13" s="125">
        <f t="shared" si="9"/>
        <v>89406.9</v>
      </c>
      <c r="W13" s="192">
        <v>0</v>
      </c>
      <c r="X13" s="125">
        <f>ROUND(W13*Valores!$C$2,2)</f>
        <v>0</v>
      </c>
      <c r="Y13" s="125">
        <v>0</v>
      </c>
      <c r="Z13" s="125">
        <f>Valores!$C$94</f>
        <v>38113.67</v>
      </c>
      <c r="AA13" s="125">
        <f>Valores!$C$25</f>
        <v>1138.39</v>
      </c>
      <c r="AB13" s="214">
        <v>0</v>
      </c>
      <c r="AC13" s="125">
        <f t="shared" si="2"/>
        <v>0</v>
      </c>
      <c r="AD13" s="125">
        <f>Valores!$C$26</f>
        <v>1138.39</v>
      </c>
      <c r="AE13" s="192">
        <v>0</v>
      </c>
      <c r="AF13" s="125">
        <f>ROUND(AE13*Valores!$C$2,2)</f>
        <v>0</v>
      </c>
      <c r="AG13" s="125">
        <f>ROUND(IF($F$4="NO",Valores!$C$63,Valores!$C$63/2),2)</f>
        <v>13014.72</v>
      </c>
      <c r="AH13" s="125">
        <f t="shared" si="5"/>
        <v>751723.92</v>
      </c>
      <c r="AI13" s="125">
        <f>Valores!$C$31</f>
        <v>0</v>
      </c>
      <c r="AJ13" s="125">
        <f>Valores!$C$87</f>
        <v>0</v>
      </c>
      <c r="AK13" s="125">
        <f>Valores!C$38*B13</f>
        <v>0</v>
      </c>
      <c r="AL13" s="125">
        <f>IF($F$3="NO",0,Valores!$C$55)</f>
        <v>327.6</v>
      </c>
      <c r="AM13" s="125">
        <f t="shared" si="3"/>
        <v>327.6</v>
      </c>
      <c r="AN13" s="125">
        <f>AH13*Valores!$C$71</f>
        <v>-82689.6312</v>
      </c>
      <c r="AO13" s="125">
        <f>AH13*-Valores!$C$72</f>
        <v>0</v>
      </c>
      <c r="AP13" s="125">
        <f>AH13*Valores!$C$73</f>
        <v>-33827.5764</v>
      </c>
      <c r="AQ13" s="125">
        <f>Valores!$C$100</f>
        <v>-554.86</v>
      </c>
      <c r="AR13" s="125">
        <f>IF($F$5=0,Valores!$C$101,(Valores!$C$101+$F$5*(Valores!$C$101)))</f>
        <v>-852</v>
      </c>
      <c r="AS13" s="125">
        <f t="shared" si="6"/>
        <v>634127.4524000001</v>
      </c>
      <c r="AT13" s="125">
        <f t="shared" si="0"/>
        <v>-82689.6312</v>
      </c>
      <c r="AU13" s="125">
        <f>AH13*Valores!$C$74</f>
        <v>-20296.545840000002</v>
      </c>
      <c r="AV13" s="125">
        <f>AH13*Valores!$C$75</f>
        <v>-2255.17176</v>
      </c>
      <c r="AW13" s="125">
        <f t="shared" si="4"/>
        <v>646810.1712</v>
      </c>
      <c r="AX13" s="126">
        <v>33</v>
      </c>
      <c r="AY13" s="126">
        <v>45</v>
      </c>
      <c r="AZ13" s="123" t="s">
        <v>8</v>
      </c>
    </row>
    <row r="14" spans="1:52" s="110" customFormat="1" ht="11.25" customHeight="1">
      <c r="A14" s="123" t="s">
        <v>122</v>
      </c>
      <c r="B14" s="123">
        <v>1</v>
      </c>
      <c r="C14" s="126">
        <v>7</v>
      </c>
      <c r="D14" s="124" t="s">
        <v>123</v>
      </c>
      <c r="E14" s="192">
        <v>107</v>
      </c>
      <c r="F14" s="125">
        <f>ROUND(E14*Valores!$C$2,2)</f>
        <v>5826.15</v>
      </c>
      <c r="G14" s="192">
        <v>3779</v>
      </c>
      <c r="H14" s="125">
        <f>ROUND(G14*Valores!$C$2,2)</f>
        <v>205766.55</v>
      </c>
      <c r="I14" s="192">
        <v>219</v>
      </c>
      <c r="J14" s="125">
        <f>ROUND(I14*Valores!$C$2,2)</f>
        <v>11924.55</v>
      </c>
      <c r="K14" s="192">
        <v>0</v>
      </c>
      <c r="L14" s="125">
        <f>ROUND(K14*Valores!$C$2,2)</f>
        <v>0</v>
      </c>
      <c r="M14" s="125">
        <f>ROUND(IF($H$2=0,IF(AND(A14&lt;&gt;"13-930",A14&lt;&gt;"13-940"),(SUM(F14,H14,J14,L14,X14,T14,R14)*Valores!$C$4),0),0),2)</f>
        <v>61802.28</v>
      </c>
      <c r="N14" s="125">
        <f t="shared" si="1"/>
        <v>0</v>
      </c>
      <c r="O14" s="125">
        <f>Valores!$C$11</f>
        <v>48548.35</v>
      </c>
      <c r="P14" s="125">
        <f>Valores!$D$5</f>
        <v>27834.84</v>
      </c>
      <c r="Q14" s="125">
        <v>0</v>
      </c>
      <c r="R14" s="125">
        <f>IF($F$4="NO",Valores!$C$46,Valores!$C$46/2)</f>
        <v>23691.88</v>
      </c>
      <c r="S14" s="125">
        <v>0</v>
      </c>
      <c r="T14" s="125">
        <f t="shared" si="7"/>
        <v>0</v>
      </c>
      <c r="U14" s="125">
        <f t="shared" si="8"/>
        <v>223517.24999999997</v>
      </c>
      <c r="V14" s="125">
        <f t="shared" si="9"/>
        <v>89406.9</v>
      </c>
      <c r="W14" s="192">
        <v>0</v>
      </c>
      <c r="X14" s="125">
        <f>ROUND(W14*Valores!$C$2,2)</f>
        <v>0</v>
      </c>
      <c r="Y14" s="125">
        <v>0</v>
      </c>
      <c r="Z14" s="125">
        <f>Valores!$C$94</f>
        <v>38113.67</v>
      </c>
      <c r="AA14" s="125">
        <f>Valores!$C$25</f>
        <v>1138.39</v>
      </c>
      <c r="AB14" s="214">
        <v>0</v>
      </c>
      <c r="AC14" s="125">
        <f t="shared" si="2"/>
        <v>0</v>
      </c>
      <c r="AD14" s="125">
        <f>Valores!$C$26</f>
        <v>1138.39</v>
      </c>
      <c r="AE14" s="192">
        <v>0</v>
      </c>
      <c r="AF14" s="125">
        <f>ROUND(AE14*Valores!$C$2,2)</f>
        <v>0</v>
      </c>
      <c r="AG14" s="125">
        <f>ROUND(IF($F$4="NO",Valores!$C$63,Valores!$C$63/2),2)</f>
        <v>13014.72</v>
      </c>
      <c r="AH14" s="125">
        <f t="shared" si="5"/>
        <v>751723.92</v>
      </c>
      <c r="AI14" s="125">
        <f>Valores!$C$31</f>
        <v>0</v>
      </c>
      <c r="AJ14" s="125">
        <f>Valores!$C$87</f>
        <v>0</v>
      </c>
      <c r="AK14" s="125">
        <f>Valores!C$38*B14</f>
        <v>0</v>
      </c>
      <c r="AL14" s="125">
        <f>IF($F$3="NO",0,Valores!$C$55)</f>
        <v>327.6</v>
      </c>
      <c r="AM14" s="125">
        <f t="shared" si="3"/>
        <v>327.6</v>
      </c>
      <c r="AN14" s="125">
        <f>AH14*Valores!$C$71</f>
        <v>-82689.6312</v>
      </c>
      <c r="AO14" s="125">
        <f>AH14*-Valores!$C$72</f>
        <v>0</v>
      </c>
      <c r="AP14" s="125">
        <f>AH14*Valores!$C$73</f>
        <v>-33827.5764</v>
      </c>
      <c r="AQ14" s="125">
        <f>Valores!$C$100</f>
        <v>-554.86</v>
      </c>
      <c r="AR14" s="125">
        <f>IF($F$5=0,Valores!$C$101,(Valores!$C$101+$F$5*(Valores!$C$101)))</f>
        <v>-852</v>
      </c>
      <c r="AS14" s="125">
        <f t="shared" si="6"/>
        <v>634127.4524000001</v>
      </c>
      <c r="AT14" s="125">
        <f t="shared" si="0"/>
        <v>-82689.6312</v>
      </c>
      <c r="AU14" s="125">
        <f>AH14*Valores!$C$74</f>
        <v>-20296.545840000002</v>
      </c>
      <c r="AV14" s="125">
        <f>AH14*Valores!$C$75</f>
        <v>-2255.17176</v>
      </c>
      <c r="AW14" s="125">
        <f t="shared" si="4"/>
        <v>646810.1712</v>
      </c>
      <c r="AX14" s="126">
        <v>33</v>
      </c>
      <c r="AY14" s="126">
        <v>45</v>
      </c>
      <c r="AZ14" s="123" t="s">
        <v>8</v>
      </c>
    </row>
    <row r="15" spans="1:52" s="110" customFormat="1" ht="11.25" customHeight="1">
      <c r="A15" s="123" t="s">
        <v>124</v>
      </c>
      <c r="B15" s="123">
        <v>1</v>
      </c>
      <c r="C15" s="126">
        <v>8</v>
      </c>
      <c r="D15" s="124" t="s">
        <v>125</v>
      </c>
      <c r="E15" s="192">
        <v>107</v>
      </c>
      <c r="F15" s="125">
        <f>ROUND(E15*Valores!$C$2,2)</f>
        <v>5826.15</v>
      </c>
      <c r="G15" s="192">
        <v>3779</v>
      </c>
      <c r="H15" s="125">
        <f>ROUND(G15*Valores!$C$2,2)</f>
        <v>205766.55</v>
      </c>
      <c r="I15" s="192">
        <v>219</v>
      </c>
      <c r="J15" s="125">
        <f>ROUND(I15*Valores!$C$2,2)</f>
        <v>11924.55</v>
      </c>
      <c r="K15" s="192">
        <v>0</v>
      </c>
      <c r="L15" s="125">
        <f>ROUND(K15*Valores!$C$2,2)</f>
        <v>0</v>
      </c>
      <c r="M15" s="125">
        <f>ROUND(IF($H$2=0,IF(AND(A15&lt;&gt;"13-930",A15&lt;&gt;"13-940"),(SUM(F15,H15,J15,L15,X15,T15,R15)*Valores!$C$4),0),0),2)</f>
        <v>61802.28</v>
      </c>
      <c r="N15" s="125">
        <f t="shared" si="1"/>
        <v>0</v>
      </c>
      <c r="O15" s="125">
        <f>Valores!$C$11</f>
        <v>48548.35</v>
      </c>
      <c r="P15" s="125">
        <f>Valores!$D$5</f>
        <v>27834.84</v>
      </c>
      <c r="Q15" s="125">
        <v>0</v>
      </c>
      <c r="R15" s="125">
        <f>IF($F$4="NO",Valores!$C$46,Valores!$C$46/2)</f>
        <v>23691.88</v>
      </c>
      <c r="S15" s="125">
        <v>0</v>
      </c>
      <c r="T15" s="125">
        <f t="shared" si="7"/>
        <v>0</v>
      </c>
      <c r="U15" s="125">
        <f t="shared" si="8"/>
        <v>223517.24999999997</v>
      </c>
      <c r="V15" s="125">
        <f t="shared" si="9"/>
        <v>89406.9</v>
      </c>
      <c r="W15" s="192">
        <v>0</v>
      </c>
      <c r="X15" s="125">
        <f>ROUND(W15*Valores!$C$2,2)</f>
        <v>0</v>
      </c>
      <c r="Y15" s="125">
        <v>0</v>
      </c>
      <c r="Z15" s="125">
        <f>Valores!$C$94</f>
        <v>38113.67</v>
      </c>
      <c r="AA15" s="125">
        <f>Valores!$C$25</f>
        <v>1138.39</v>
      </c>
      <c r="AB15" s="214">
        <v>0</v>
      </c>
      <c r="AC15" s="125">
        <f t="shared" si="2"/>
        <v>0</v>
      </c>
      <c r="AD15" s="125">
        <f>Valores!$C$26</f>
        <v>1138.39</v>
      </c>
      <c r="AE15" s="192">
        <v>0</v>
      </c>
      <c r="AF15" s="125">
        <f>ROUND(AE15*Valores!$C$2,2)</f>
        <v>0</v>
      </c>
      <c r="AG15" s="125">
        <f>ROUND(IF($F$4="NO",Valores!$C$63,Valores!$C$63/2),2)</f>
        <v>13014.72</v>
      </c>
      <c r="AH15" s="125">
        <f t="shared" si="5"/>
        <v>751723.92</v>
      </c>
      <c r="AI15" s="125">
        <f>Valores!$C$31</f>
        <v>0</v>
      </c>
      <c r="AJ15" s="125">
        <f>Valores!$C$87</f>
        <v>0</v>
      </c>
      <c r="AK15" s="125">
        <f>Valores!C$38*B15</f>
        <v>0</v>
      </c>
      <c r="AL15" s="125">
        <f>IF($F$3="NO",0,Valores!$C$55)</f>
        <v>327.6</v>
      </c>
      <c r="AM15" s="125">
        <f t="shared" si="3"/>
        <v>327.6</v>
      </c>
      <c r="AN15" s="125">
        <f>AH15*Valores!$C$71</f>
        <v>-82689.6312</v>
      </c>
      <c r="AO15" s="125">
        <f>AH15*-Valores!$C$72</f>
        <v>0</v>
      </c>
      <c r="AP15" s="125">
        <f>AH15*Valores!$C$73</f>
        <v>-33827.5764</v>
      </c>
      <c r="AQ15" s="125">
        <f>Valores!$C$100</f>
        <v>-554.86</v>
      </c>
      <c r="AR15" s="125">
        <f>IF($F$5=0,Valores!$C$101,(Valores!$C$101+$F$5*(Valores!$C$101)))</f>
        <v>-852</v>
      </c>
      <c r="AS15" s="125">
        <f t="shared" si="6"/>
        <v>634127.4524000001</v>
      </c>
      <c r="AT15" s="125">
        <f t="shared" si="0"/>
        <v>-82689.6312</v>
      </c>
      <c r="AU15" s="125">
        <f>AH15*Valores!$C$74</f>
        <v>-20296.545840000002</v>
      </c>
      <c r="AV15" s="125">
        <f>AH15*Valores!$C$75</f>
        <v>-2255.17176</v>
      </c>
      <c r="AW15" s="125">
        <f t="shared" si="4"/>
        <v>646810.1712</v>
      </c>
      <c r="AX15" s="126">
        <v>33</v>
      </c>
      <c r="AY15" s="126">
        <v>45</v>
      </c>
      <c r="AZ15" s="123" t="s">
        <v>8</v>
      </c>
    </row>
    <row r="16" spans="1:52" s="110" customFormat="1" ht="11.25" customHeight="1">
      <c r="A16" s="123" t="s">
        <v>126</v>
      </c>
      <c r="B16" s="123">
        <v>1</v>
      </c>
      <c r="C16" s="126">
        <v>9</v>
      </c>
      <c r="D16" s="124" t="s">
        <v>127</v>
      </c>
      <c r="E16" s="192">
        <v>100</v>
      </c>
      <c r="F16" s="125">
        <f>ROUND(E16*Valores!$C$2,2)</f>
        <v>5445</v>
      </c>
      <c r="G16" s="192">
        <v>3727</v>
      </c>
      <c r="H16" s="125">
        <f>ROUND(G16*Valores!$C$2,2)</f>
        <v>202935.15</v>
      </c>
      <c r="I16" s="192">
        <v>219</v>
      </c>
      <c r="J16" s="125">
        <f>ROUND(I16*Valores!$C$2,2)</f>
        <v>11924.55</v>
      </c>
      <c r="K16" s="192">
        <v>0</v>
      </c>
      <c r="L16" s="125">
        <f>ROUND(K16*Valores!$C$2,2)</f>
        <v>0</v>
      </c>
      <c r="M16" s="125">
        <f>ROUND(IF($H$2=0,IF(AND(A16&lt;&gt;"13-930",A16&lt;&gt;"13-940"),(SUM(F16,H16,J16,L16,X16,T16,R16)*Valores!$C$4),0),0),2)</f>
        <v>60999.15</v>
      </c>
      <c r="N16" s="125">
        <f t="shared" si="1"/>
        <v>0</v>
      </c>
      <c r="O16" s="125">
        <f>Valores!$C$11</f>
        <v>48548.35</v>
      </c>
      <c r="P16" s="125">
        <f>Valores!$D$5</f>
        <v>27834.84</v>
      </c>
      <c r="Q16" s="125">
        <v>0</v>
      </c>
      <c r="R16" s="125">
        <f>IF($F$4="NO",Valores!$C$46,Valores!$C$46/2)</f>
        <v>23691.88</v>
      </c>
      <c r="S16" s="125">
        <v>0</v>
      </c>
      <c r="T16" s="125">
        <f t="shared" si="7"/>
        <v>0</v>
      </c>
      <c r="U16" s="125">
        <f t="shared" si="8"/>
        <v>220304.69999999998</v>
      </c>
      <c r="V16" s="125">
        <f t="shared" si="9"/>
        <v>88121.88</v>
      </c>
      <c r="W16" s="192">
        <v>0</v>
      </c>
      <c r="X16" s="125">
        <f>ROUND(W16*Valores!$C$2,2)</f>
        <v>0</v>
      </c>
      <c r="Y16" s="125">
        <v>0</v>
      </c>
      <c r="Z16" s="125">
        <f>Valores!$C$94</f>
        <v>38113.67</v>
      </c>
      <c r="AA16" s="125">
        <f>Valores!$C$25</f>
        <v>1138.39</v>
      </c>
      <c r="AB16" s="214">
        <v>0</v>
      </c>
      <c r="AC16" s="125">
        <f t="shared" si="2"/>
        <v>0</v>
      </c>
      <c r="AD16" s="125">
        <f>Valores!$C$26</f>
        <v>1138.39</v>
      </c>
      <c r="AE16" s="192">
        <v>0</v>
      </c>
      <c r="AF16" s="125">
        <f>ROUND(AE16*Valores!$C$2,2)</f>
        <v>0</v>
      </c>
      <c r="AG16" s="125">
        <f>ROUND(IF($F$4="NO",Valores!$C$63,Valores!$C$63/2),2)</f>
        <v>13014.72</v>
      </c>
      <c r="AH16" s="125">
        <f t="shared" si="5"/>
        <v>743210.67</v>
      </c>
      <c r="AI16" s="125">
        <f>Valores!$C$31</f>
        <v>0</v>
      </c>
      <c r="AJ16" s="125">
        <f>Valores!$C$87</f>
        <v>0</v>
      </c>
      <c r="AK16" s="125">
        <f>Valores!C$38*B16</f>
        <v>0</v>
      </c>
      <c r="AL16" s="125">
        <f>IF($F$3="NO",0,Valores!$C$55)</f>
        <v>327.6</v>
      </c>
      <c r="AM16" s="125">
        <f t="shared" si="3"/>
        <v>327.6</v>
      </c>
      <c r="AN16" s="125">
        <f>AH16*Valores!$C$71</f>
        <v>-81753.1737</v>
      </c>
      <c r="AO16" s="125">
        <f>AH16*-Valores!$C$72</f>
        <v>0</v>
      </c>
      <c r="AP16" s="125">
        <f>AH16*Valores!$C$73</f>
        <v>-33444.48015</v>
      </c>
      <c r="AQ16" s="125">
        <f>Valores!$C$100</f>
        <v>-554.86</v>
      </c>
      <c r="AR16" s="125">
        <f>IF($F$5=0,Valores!$C$101,(Valores!$C$101+$F$5*(Valores!$C$101)))</f>
        <v>-852</v>
      </c>
      <c r="AS16" s="125">
        <f t="shared" si="6"/>
        <v>626933.75615</v>
      </c>
      <c r="AT16" s="125">
        <f t="shared" si="0"/>
        <v>-81753.1737</v>
      </c>
      <c r="AU16" s="125">
        <f>AH16*Valores!$C$74</f>
        <v>-20066.68809</v>
      </c>
      <c r="AV16" s="125">
        <f>AH16*Valores!$C$75</f>
        <v>-2229.6320100000003</v>
      </c>
      <c r="AW16" s="125">
        <f t="shared" si="4"/>
        <v>639488.7762</v>
      </c>
      <c r="AX16" s="126">
        <v>33</v>
      </c>
      <c r="AY16" s="126">
        <v>45</v>
      </c>
      <c r="AZ16" s="123" t="s">
        <v>8</v>
      </c>
    </row>
    <row r="17" spans="1:52" s="110" customFormat="1" ht="11.25" customHeight="1">
      <c r="A17" s="123" t="s">
        <v>128</v>
      </c>
      <c r="B17" s="123">
        <v>1</v>
      </c>
      <c r="C17" s="126">
        <v>10</v>
      </c>
      <c r="D17" s="124" t="s">
        <v>129</v>
      </c>
      <c r="E17" s="192">
        <v>100</v>
      </c>
      <c r="F17" s="125">
        <f>ROUND(E17*Valores!$C$2,2)</f>
        <v>5445</v>
      </c>
      <c r="G17" s="192">
        <v>3727</v>
      </c>
      <c r="H17" s="125">
        <f>ROUND(G17*Valores!$C$2,2)</f>
        <v>202935.15</v>
      </c>
      <c r="I17" s="192">
        <v>219</v>
      </c>
      <c r="J17" s="125">
        <f>ROUND(I17*Valores!$C$2,2)</f>
        <v>11924.55</v>
      </c>
      <c r="K17" s="192">
        <v>0</v>
      </c>
      <c r="L17" s="125">
        <f>ROUND(K17*Valores!$C$2,2)</f>
        <v>0</v>
      </c>
      <c r="M17" s="125">
        <f>ROUND(IF($H$2=0,IF(AND(A17&lt;&gt;"13-930",A17&lt;&gt;"13-940"),(SUM(F17,H17,J17,L17,X17,T17,R17)*Valores!$C$4),0),0),2)</f>
        <v>60999.15</v>
      </c>
      <c r="N17" s="125">
        <f t="shared" si="1"/>
        <v>0</v>
      </c>
      <c r="O17" s="125">
        <f>Valores!$C$11</f>
        <v>48548.35</v>
      </c>
      <c r="P17" s="125">
        <f>Valores!$D$5</f>
        <v>27834.84</v>
      </c>
      <c r="Q17" s="125">
        <v>0</v>
      </c>
      <c r="R17" s="125">
        <f>IF($F$4="NO",Valores!$C$46,Valores!$C$46/2)</f>
        <v>23691.88</v>
      </c>
      <c r="S17" s="125">
        <v>0</v>
      </c>
      <c r="T17" s="125">
        <f t="shared" si="7"/>
        <v>0</v>
      </c>
      <c r="U17" s="125">
        <f t="shared" si="8"/>
        <v>220304.69999999998</v>
      </c>
      <c r="V17" s="125">
        <f t="shared" si="9"/>
        <v>88121.88</v>
      </c>
      <c r="W17" s="192">
        <v>0</v>
      </c>
      <c r="X17" s="125">
        <f>ROUND(W17*Valores!$C$2,2)</f>
        <v>0</v>
      </c>
      <c r="Y17" s="125">
        <v>0</v>
      </c>
      <c r="Z17" s="125">
        <f>Valores!$C$94</f>
        <v>38113.67</v>
      </c>
      <c r="AA17" s="125">
        <f>Valores!$C$25</f>
        <v>1138.39</v>
      </c>
      <c r="AB17" s="214">
        <v>0</v>
      </c>
      <c r="AC17" s="125">
        <f t="shared" si="2"/>
        <v>0</v>
      </c>
      <c r="AD17" s="125">
        <f>Valores!$C$26</f>
        <v>1138.39</v>
      </c>
      <c r="AE17" s="192">
        <v>0</v>
      </c>
      <c r="AF17" s="125">
        <f>ROUND(AE17*Valores!$C$2,2)</f>
        <v>0</v>
      </c>
      <c r="AG17" s="125">
        <f>ROUND(IF($F$4="NO",Valores!$C$63,Valores!$C$63/2),2)</f>
        <v>13014.72</v>
      </c>
      <c r="AH17" s="125">
        <f t="shared" si="5"/>
        <v>743210.67</v>
      </c>
      <c r="AI17" s="125">
        <f>Valores!$C$31</f>
        <v>0</v>
      </c>
      <c r="AJ17" s="125">
        <f>Valores!$C$87</f>
        <v>0</v>
      </c>
      <c r="AK17" s="125">
        <f>Valores!C$38*B17</f>
        <v>0</v>
      </c>
      <c r="AL17" s="125">
        <f>IF($F$3="NO",0,Valores!$C$55)</f>
        <v>327.6</v>
      </c>
      <c r="AM17" s="125">
        <f t="shared" si="3"/>
        <v>327.6</v>
      </c>
      <c r="AN17" s="125">
        <f>AH17*Valores!$C$71</f>
        <v>-81753.1737</v>
      </c>
      <c r="AO17" s="125">
        <f>AH17*-Valores!$C$72</f>
        <v>0</v>
      </c>
      <c r="AP17" s="125">
        <f>AH17*Valores!$C$73</f>
        <v>-33444.48015</v>
      </c>
      <c r="AQ17" s="125">
        <f>Valores!$C$100</f>
        <v>-554.86</v>
      </c>
      <c r="AR17" s="125">
        <f>IF($F$5=0,Valores!$C$101,(Valores!$C$101+$F$5*(Valores!$C$101)))</f>
        <v>-852</v>
      </c>
      <c r="AS17" s="125">
        <f t="shared" si="6"/>
        <v>626933.75615</v>
      </c>
      <c r="AT17" s="125">
        <f t="shared" si="0"/>
        <v>-81753.1737</v>
      </c>
      <c r="AU17" s="125">
        <f>AH17*Valores!$C$74</f>
        <v>-20066.68809</v>
      </c>
      <c r="AV17" s="125">
        <f>AH17*Valores!$C$75</f>
        <v>-2229.6320100000003</v>
      </c>
      <c r="AW17" s="125">
        <f t="shared" si="4"/>
        <v>639488.7762</v>
      </c>
      <c r="AX17" s="126">
        <v>33</v>
      </c>
      <c r="AY17" s="126">
        <v>45</v>
      </c>
      <c r="AZ17" s="123" t="s">
        <v>8</v>
      </c>
    </row>
    <row r="18" spans="1:52" s="110" customFormat="1" ht="11.25" customHeight="1">
      <c r="A18" s="123" t="s">
        <v>130</v>
      </c>
      <c r="B18" s="123">
        <v>1</v>
      </c>
      <c r="C18" s="126">
        <v>11</v>
      </c>
      <c r="D18" s="124" t="s">
        <v>131</v>
      </c>
      <c r="E18" s="192">
        <v>100</v>
      </c>
      <c r="F18" s="125">
        <f>ROUND(E18*Valores!$C$2,2)</f>
        <v>5445</v>
      </c>
      <c r="G18" s="192">
        <v>3727</v>
      </c>
      <c r="H18" s="125">
        <f>ROUND(G18*Valores!$C$2,2)</f>
        <v>202935.15</v>
      </c>
      <c r="I18" s="192">
        <v>219</v>
      </c>
      <c r="J18" s="125">
        <f>ROUND(I18*Valores!$C$2,2)</f>
        <v>11924.55</v>
      </c>
      <c r="K18" s="192">
        <v>0</v>
      </c>
      <c r="L18" s="125">
        <f>ROUND(K18*Valores!$C$2,2)</f>
        <v>0</v>
      </c>
      <c r="M18" s="125">
        <f>ROUND(IF($H$2=0,IF(AND(A18&lt;&gt;"13-930",A18&lt;&gt;"13-940"),(SUM(F18,H18,J18,L18,X18,T18,R18)*Valores!$C$4),0),0),2)</f>
        <v>60999.15</v>
      </c>
      <c r="N18" s="125">
        <f t="shared" si="1"/>
        <v>0</v>
      </c>
      <c r="O18" s="125">
        <f>Valores!$C$11</f>
        <v>48548.35</v>
      </c>
      <c r="P18" s="125">
        <f>Valores!$D$5</f>
        <v>27834.84</v>
      </c>
      <c r="Q18" s="125">
        <v>0</v>
      </c>
      <c r="R18" s="125">
        <f>IF($F$4="NO",Valores!$C$46,Valores!$C$46/2)</f>
        <v>23691.88</v>
      </c>
      <c r="S18" s="125">
        <v>0</v>
      </c>
      <c r="T18" s="125">
        <f t="shared" si="7"/>
        <v>0</v>
      </c>
      <c r="U18" s="125">
        <f t="shared" si="8"/>
        <v>220304.69999999998</v>
      </c>
      <c r="V18" s="125">
        <f t="shared" si="9"/>
        <v>88121.88</v>
      </c>
      <c r="W18" s="192">
        <v>0</v>
      </c>
      <c r="X18" s="125">
        <f>ROUND(W18*Valores!$C$2,2)</f>
        <v>0</v>
      </c>
      <c r="Y18" s="125">
        <v>0</v>
      </c>
      <c r="Z18" s="125">
        <f>Valores!$C$94</f>
        <v>38113.67</v>
      </c>
      <c r="AA18" s="125">
        <f>Valores!$C$25</f>
        <v>1138.39</v>
      </c>
      <c r="AB18" s="214">
        <v>0</v>
      </c>
      <c r="AC18" s="125">
        <f t="shared" si="2"/>
        <v>0</v>
      </c>
      <c r="AD18" s="125">
        <f>Valores!$C$26</f>
        <v>1138.39</v>
      </c>
      <c r="AE18" s="192">
        <v>0</v>
      </c>
      <c r="AF18" s="125">
        <f>ROUND(AE18*Valores!$C$2,2)</f>
        <v>0</v>
      </c>
      <c r="AG18" s="125">
        <f>ROUND(IF($F$4="NO",Valores!$C$63,Valores!$C$63/2),2)</f>
        <v>13014.72</v>
      </c>
      <c r="AH18" s="125">
        <f t="shared" si="5"/>
        <v>743210.67</v>
      </c>
      <c r="AI18" s="125">
        <f>Valores!$C$31</f>
        <v>0</v>
      </c>
      <c r="AJ18" s="125">
        <f>Valores!$C$87</f>
        <v>0</v>
      </c>
      <c r="AK18" s="125">
        <f>Valores!C$38*B18</f>
        <v>0</v>
      </c>
      <c r="AL18" s="125">
        <f>IF($F$3="NO",0,Valores!$C$55)</f>
        <v>327.6</v>
      </c>
      <c r="AM18" s="125">
        <f t="shared" si="3"/>
        <v>327.6</v>
      </c>
      <c r="AN18" s="125">
        <f>AH18*Valores!$C$71</f>
        <v>-81753.1737</v>
      </c>
      <c r="AO18" s="125">
        <f>AH18*-Valores!$C$72</f>
        <v>0</v>
      </c>
      <c r="AP18" s="125">
        <f>AH18*Valores!$C$73</f>
        <v>-33444.48015</v>
      </c>
      <c r="AQ18" s="125">
        <f>Valores!$C$100</f>
        <v>-554.86</v>
      </c>
      <c r="AR18" s="125">
        <f>IF($F$5=0,Valores!$C$101,(Valores!$C$101+$F$5*(Valores!$C$101)))</f>
        <v>-852</v>
      </c>
      <c r="AS18" s="125">
        <f t="shared" si="6"/>
        <v>626933.75615</v>
      </c>
      <c r="AT18" s="125">
        <f t="shared" si="0"/>
        <v>-81753.1737</v>
      </c>
      <c r="AU18" s="125">
        <f>AH18*Valores!$C$74</f>
        <v>-20066.68809</v>
      </c>
      <c r="AV18" s="125">
        <f>AH18*Valores!$C$75</f>
        <v>-2229.6320100000003</v>
      </c>
      <c r="AW18" s="125">
        <f t="shared" si="4"/>
        <v>639488.7762</v>
      </c>
      <c r="AX18" s="126"/>
      <c r="AY18" s="126">
        <v>45</v>
      </c>
      <c r="AZ18" s="123" t="s">
        <v>8</v>
      </c>
    </row>
    <row r="19" spans="1:52" s="110" customFormat="1" ht="11.25" customHeight="1">
      <c r="A19" s="123" t="s">
        <v>132</v>
      </c>
      <c r="B19" s="123">
        <v>1</v>
      </c>
      <c r="C19" s="126">
        <v>12</v>
      </c>
      <c r="D19" s="124" t="s">
        <v>133</v>
      </c>
      <c r="E19" s="192">
        <v>100</v>
      </c>
      <c r="F19" s="125">
        <f>ROUND(E19*Valores!$C$2,2)</f>
        <v>5445</v>
      </c>
      <c r="G19" s="192">
        <v>3727</v>
      </c>
      <c r="H19" s="125">
        <f>ROUND(G19*Valores!$C$2,2)</f>
        <v>202935.15</v>
      </c>
      <c r="I19" s="192">
        <v>219</v>
      </c>
      <c r="J19" s="125">
        <f>ROUND(I19*Valores!$C$2,2)</f>
        <v>11924.55</v>
      </c>
      <c r="K19" s="192">
        <v>0</v>
      </c>
      <c r="L19" s="125">
        <f>ROUND(K19*Valores!$C$2,2)</f>
        <v>0</v>
      </c>
      <c r="M19" s="125">
        <f>ROUND(IF($H$2=0,IF(AND(A19&lt;&gt;"13-930",A19&lt;&gt;"13-940"),(SUM(F19,H19,J19,L19,X19,T19,R19)*Valores!$C$4),0),0),2)</f>
        <v>60999.15</v>
      </c>
      <c r="N19" s="125">
        <f t="shared" si="1"/>
        <v>0</v>
      </c>
      <c r="O19" s="125">
        <f>Valores!$C$11</f>
        <v>48548.35</v>
      </c>
      <c r="P19" s="125">
        <f>Valores!$D$5</f>
        <v>27834.84</v>
      </c>
      <c r="Q19" s="125">
        <v>0</v>
      </c>
      <c r="R19" s="125">
        <f>IF($F$4="NO",Valores!$C$46,Valores!$C$46/2)</f>
        <v>23691.88</v>
      </c>
      <c r="S19" s="125">
        <v>0</v>
      </c>
      <c r="T19" s="125">
        <f t="shared" si="7"/>
        <v>0</v>
      </c>
      <c r="U19" s="125">
        <f t="shared" si="8"/>
        <v>220304.69999999998</v>
      </c>
      <c r="V19" s="125">
        <f t="shared" si="9"/>
        <v>88121.88</v>
      </c>
      <c r="W19" s="192">
        <v>0</v>
      </c>
      <c r="X19" s="125">
        <f>ROUND(W19*Valores!$C$2,2)</f>
        <v>0</v>
      </c>
      <c r="Y19" s="125">
        <v>0</v>
      </c>
      <c r="Z19" s="125">
        <f>Valores!$C$94</f>
        <v>38113.67</v>
      </c>
      <c r="AA19" s="125">
        <f>Valores!$C$25</f>
        <v>1138.39</v>
      </c>
      <c r="AB19" s="214">
        <v>0</v>
      </c>
      <c r="AC19" s="125">
        <f t="shared" si="2"/>
        <v>0</v>
      </c>
      <c r="AD19" s="125">
        <f>Valores!$C$26</f>
        <v>1138.39</v>
      </c>
      <c r="AE19" s="192">
        <v>0</v>
      </c>
      <c r="AF19" s="125">
        <f>ROUND(AE19*Valores!$C$2,2)</f>
        <v>0</v>
      </c>
      <c r="AG19" s="125">
        <f>ROUND(IF($F$4="NO",Valores!$C$63,Valores!$C$63/2),2)</f>
        <v>13014.72</v>
      </c>
      <c r="AH19" s="125">
        <f t="shared" si="5"/>
        <v>743210.67</v>
      </c>
      <c r="AI19" s="125">
        <f>Valores!$C$31</f>
        <v>0</v>
      </c>
      <c r="AJ19" s="125">
        <f>Valores!$C$87</f>
        <v>0</v>
      </c>
      <c r="AK19" s="125">
        <f>Valores!C$38*B19</f>
        <v>0</v>
      </c>
      <c r="AL19" s="125">
        <f>IF($F$3="NO",0,Valores!$C$55)</f>
        <v>327.6</v>
      </c>
      <c r="AM19" s="125">
        <f t="shared" si="3"/>
        <v>327.6</v>
      </c>
      <c r="AN19" s="125">
        <f>AH19*Valores!$C$71</f>
        <v>-81753.1737</v>
      </c>
      <c r="AO19" s="125">
        <f>AH19*-Valores!$C$72</f>
        <v>0</v>
      </c>
      <c r="AP19" s="125">
        <f>AH19*Valores!$C$73</f>
        <v>-33444.48015</v>
      </c>
      <c r="AQ19" s="125">
        <f>Valores!$C$100</f>
        <v>-554.86</v>
      </c>
      <c r="AR19" s="125">
        <f>IF($F$5=0,Valores!$C$101,(Valores!$C$101+$F$5*(Valores!$C$101)))</f>
        <v>-852</v>
      </c>
      <c r="AS19" s="125">
        <f t="shared" si="6"/>
        <v>626933.75615</v>
      </c>
      <c r="AT19" s="125">
        <f t="shared" si="0"/>
        <v>-81753.1737</v>
      </c>
      <c r="AU19" s="125">
        <f>AH19*Valores!$C$74</f>
        <v>-20066.68809</v>
      </c>
      <c r="AV19" s="125">
        <f>AH19*Valores!$C$75</f>
        <v>-2229.6320100000003</v>
      </c>
      <c r="AW19" s="125">
        <f t="shared" si="4"/>
        <v>639488.7762</v>
      </c>
      <c r="AX19" s="126"/>
      <c r="AY19" s="126">
        <v>45</v>
      </c>
      <c r="AZ19" s="123" t="s">
        <v>8</v>
      </c>
    </row>
    <row r="20" spans="1:52" s="110" customFormat="1" ht="11.25" customHeight="1">
      <c r="A20" s="123" t="s">
        <v>134</v>
      </c>
      <c r="B20" s="123">
        <v>1</v>
      </c>
      <c r="C20" s="126">
        <v>13</v>
      </c>
      <c r="D20" s="124" t="s">
        <v>135</v>
      </c>
      <c r="E20" s="192">
        <v>100</v>
      </c>
      <c r="F20" s="125">
        <f>ROUND(E20*Valores!$C$2,2)</f>
        <v>5445</v>
      </c>
      <c r="G20" s="192">
        <v>3727</v>
      </c>
      <c r="H20" s="125">
        <f>ROUND(G20*Valores!$C$2,2)</f>
        <v>202935.15</v>
      </c>
      <c r="I20" s="192">
        <v>219</v>
      </c>
      <c r="J20" s="125">
        <f>ROUND(I20*Valores!$C$2,2)</f>
        <v>11924.55</v>
      </c>
      <c r="K20" s="192">
        <v>0</v>
      </c>
      <c r="L20" s="125">
        <f>ROUND(K20*Valores!$C$2,2)</f>
        <v>0</v>
      </c>
      <c r="M20" s="125">
        <f>ROUND(IF($H$2=0,IF(AND(A20&lt;&gt;"13-930",A20&lt;&gt;"13-940"),(SUM(F20,H20,J20,L20,X20,T20,R20)*Valores!$C$4),0),0),2)</f>
        <v>60999.15</v>
      </c>
      <c r="N20" s="125">
        <f t="shared" si="1"/>
        <v>0</v>
      </c>
      <c r="O20" s="125">
        <f>Valores!$C$11</f>
        <v>48548.35</v>
      </c>
      <c r="P20" s="125">
        <f>Valores!$D$5</f>
        <v>27834.84</v>
      </c>
      <c r="Q20" s="125">
        <v>0</v>
      </c>
      <c r="R20" s="125">
        <f>IF($F$4="NO",Valores!$C$46,Valores!$C$46/2)</f>
        <v>23691.88</v>
      </c>
      <c r="S20" s="125">
        <v>0</v>
      </c>
      <c r="T20" s="125">
        <f t="shared" si="7"/>
        <v>0</v>
      </c>
      <c r="U20" s="125">
        <f t="shared" si="8"/>
        <v>220304.69999999998</v>
      </c>
      <c r="V20" s="125">
        <f t="shared" si="9"/>
        <v>88121.88</v>
      </c>
      <c r="W20" s="192">
        <v>0</v>
      </c>
      <c r="X20" s="125">
        <f>ROUND(W20*Valores!$C$2,2)</f>
        <v>0</v>
      </c>
      <c r="Y20" s="125">
        <v>0</v>
      </c>
      <c r="Z20" s="125">
        <f>Valores!$C$94</f>
        <v>38113.67</v>
      </c>
      <c r="AA20" s="125">
        <f>Valores!$C$25</f>
        <v>1138.39</v>
      </c>
      <c r="AB20" s="214">
        <v>0</v>
      </c>
      <c r="AC20" s="125">
        <f t="shared" si="2"/>
        <v>0</v>
      </c>
      <c r="AD20" s="125">
        <f>Valores!$C$26</f>
        <v>1138.39</v>
      </c>
      <c r="AE20" s="192">
        <v>0</v>
      </c>
      <c r="AF20" s="125">
        <f>ROUND(AE20*Valores!$C$2,2)</f>
        <v>0</v>
      </c>
      <c r="AG20" s="125">
        <f>ROUND(IF($F$4="NO",Valores!$C$63,Valores!$C$63/2),2)</f>
        <v>13014.72</v>
      </c>
      <c r="AH20" s="125">
        <f t="shared" si="5"/>
        <v>743210.67</v>
      </c>
      <c r="AI20" s="125">
        <f>Valores!$C$31</f>
        <v>0</v>
      </c>
      <c r="AJ20" s="125">
        <f>Valores!$C$87</f>
        <v>0</v>
      </c>
      <c r="AK20" s="125">
        <f>Valores!C$38*B20</f>
        <v>0</v>
      </c>
      <c r="AL20" s="125">
        <f>IF($F$3="NO",0,Valores!$C$55)</f>
        <v>327.6</v>
      </c>
      <c r="AM20" s="125">
        <f t="shared" si="3"/>
        <v>327.6</v>
      </c>
      <c r="AN20" s="125">
        <f>AH20*Valores!$C$71</f>
        <v>-81753.1737</v>
      </c>
      <c r="AO20" s="125">
        <f>AH20*-Valores!$C$72</f>
        <v>0</v>
      </c>
      <c r="AP20" s="125">
        <f>AH20*Valores!$C$73</f>
        <v>-33444.48015</v>
      </c>
      <c r="AQ20" s="125">
        <f>Valores!$C$100</f>
        <v>-554.86</v>
      </c>
      <c r="AR20" s="125">
        <f>IF($F$5=0,Valores!$C$101,(Valores!$C$101+$F$5*(Valores!$C$101)))</f>
        <v>-852</v>
      </c>
      <c r="AS20" s="125">
        <f t="shared" si="6"/>
        <v>626933.75615</v>
      </c>
      <c r="AT20" s="125">
        <f t="shared" si="0"/>
        <v>-81753.1737</v>
      </c>
      <c r="AU20" s="125">
        <f>AH20*Valores!$C$74</f>
        <v>-20066.68809</v>
      </c>
      <c r="AV20" s="125">
        <f>AH20*Valores!$C$75</f>
        <v>-2229.6320100000003</v>
      </c>
      <c r="AW20" s="125">
        <f t="shared" si="4"/>
        <v>639488.7762</v>
      </c>
      <c r="AX20" s="126"/>
      <c r="AY20" s="126">
        <v>45</v>
      </c>
      <c r="AZ20" s="123" t="s">
        <v>8</v>
      </c>
    </row>
    <row r="21" spans="1:52" s="110" customFormat="1" ht="11.25" customHeight="1">
      <c r="A21" s="123" t="s">
        <v>136</v>
      </c>
      <c r="B21" s="123">
        <v>1</v>
      </c>
      <c r="C21" s="126">
        <v>14</v>
      </c>
      <c r="D21" s="124" t="s">
        <v>137</v>
      </c>
      <c r="E21" s="192">
        <v>107</v>
      </c>
      <c r="F21" s="125">
        <f>ROUND(E21*Valores!$C$2,2)</f>
        <v>5826.15</v>
      </c>
      <c r="G21" s="192">
        <v>3720</v>
      </c>
      <c r="H21" s="125">
        <f>ROUND(G21*Valores!$C$2,2)</f>
        <v>202554</v>
      </c>
      <c r="I21" s="192">
        <v>1226</v>
      </c>
      <c r="J21" s="125">
        <f>ROUND(I21*Valores!$C$2,2)</f>
        <v>66755.7</v>
      </c>
      <c r="K21" s="192">
        <v>0</v>
      </c>
      <c r="L21" s="125">
        <f>ROUND(K21*Valores!$C$2,2)</f>
        <v>0</v>
      </c>
      <c r="M21" s="125">
        <f>ROUND(IF($H$2=0,IF(AND(A21&lt;&gt;"13-930",A21&lt;&gt;"13-940"),(SUM(F21,H21,J21,L21,X21,T21,R21)*Valores!$C$4),0),0),2)</f>
        <v>82532.92</v>
      </c>
      <c r="N21" s="125">
        <f t="shared" si="1"/>
        <v>0</v>
      </c>
      <c r="O21" s="125">
        <f>Valores!$C$12</f>
        <v>123523.42</v>
      </c>
      <c r="P21" s="125">
        <f>Valores!$D$5</f>
        <v>27834.84</v>
      </c>
      <c r="Q21" s="125">
        <v>0</v>
      </c>
      <c r="R21" s="125">
        <f>IF($F$4="NO",Valores!$C$47,Valores!$C$47/2)</f>
        <v>29096.75</v>
      </c>
      <c r="S21" s="125">
        <f>Valores!$C$19</f>
        <v>25899.06</v>
      </c>
      <c r="T21" s="125">
        <f t="shared" si="7"/>
        <v>25899.06</v>
      </c>
      <c r="U21" s="125">
        <v>0</v>
      </c>
      <c r="V21" s="125">
        <v>0</v>
      </c>
      <c r="W21" s="192">
        <v>0</v>
      </c>
      <c r="X21" s="125">
        <f>ROUND(W21*Valores!$C$2,2)</f>
        <v>0</v>
      </c>
      <c r="Y21" s="125">
        <v>0</v>
      </c>
      <c r="Z21" s="125">
        <f>Valores!$C$96</f>
        <v>76227.32</v>
      </c>
      <c r="AA21" s="125">
        <f>Valores!$C$25</f>
        <v>1138.39</v>
      </c>
      <c r="AB21" s="214">
        <v>0</v>
      </c>
      <c r="AC21" s="125">
        <f t="shared" si="2"/>
        <v>0</v>
      </c>
      <c r="AD21" s="125">
        <f>Valores!$C$26</f>
        <v>1138.39</v>
      </c>
      <c r="AE21" s="192">
        <v>0</v>
      </c>
      <c r="AF21" s="125">
        <f>ROUND(AE21*Valores!$C$2,2)</f>
        <v>0</v>
      </c>
      <c r="AG21" s="125">
        <f>ROUND(IF($F$4="NO",Valores!$C$63,Valores!$C$63/2),2)</f>
        <v>13014.72</v>
      </c>
      <c r="AH21" s="125">
        <f t="shared" si="5"/>
        <v>655541.6600000001</v>
      </c>
      <c r="AI21" s="125">
        <f>Valores!$C$31</f>
        <v>0</v>
      </c>
      <c r="AJ21" s="125">
        <f>Valores!$C$89</f>
        <v>0</v>
      </c>
      <c r="AK21" s="125">
        <f>Valores!C$38*B21</f>
        <v>0</v>
      </c>
      <c r="AL21" s="125">
        <f>IF($F$3="NO",0,Valores!$C$55)</f>
        <v>327.6</v>
      </c>
      <c r="AM21" s="125">
        <f t="shared" si="3"/>
        <v>327.6</v>
      </c>
      <c r="AN21" s="125">
        <f>AH21*Valores!$C$71</f>
        <v>-72109.58260000002</v>
      </c>
      <c r="AO21" s="125">
        <f>AH21*-Valores!$C$72</f>
        <v>0</v>
      </c>
      <c r="AP21" s="125">
        <f>AH21*Valores!$C$73</f>
        <v>-29499.374700000004</v>
      </c>
      <c r="AQ21" s="125">
        <f>Valores!$C$100</f>
        <v>-554.86</v>
      </c>
      <c r="AR21" s="125">
        <f>IF($F$5=0,Valores!$C$101,(Valores!$C$101+$F$5*(Valores!$C$101)))</f>
        <v>-852</v>
      </c>
      <c r="AS21" s="125">
        <f t="shared" si="6"/>
        <v>552853.4427000001</v>
      </c>
      <c r="AT21" s="125">
        <f t="shared" si="0"/>
        <v>-72109.58260000002</v>
      </c>
      <c r="AU21" s="125">
        <f>AH21*Valores!$C$74</f>
        <v>-17699.624820000005</v>
      </c>
      <c r="AV21" s="125">
        <f>AH21*Valores!$C$75</f>
        <v>-1966.6249800000005</v>
      </c>
      <c r="AW21" s="125">
        <f t="shared" si="4"/>
        <v>564093.4276</v>
      </c>
      <c r="AX21" s="126"/>
      <c r="AY21" s="126">
        <v>45</v>
      </c>
      <c r="AZ21" s="123" t="s">
        <v>4</v>
      </c>
    </row>
    <row r="22" spans="1:52" s="110" customFormat="1" ht="11.25" customHeight="1">
      <c r="A22" s="123" t="s">
        <v>138</v>
      </c>
      <c r="B22" s="123">
        <v>1</v>
      </c>
      <c r="C22" s="126">
        <v>15</v>
      </c>
      <c r="D22" s="124" t="s">
        <v>139</v>
      </c>
      <c r="E22" s="192">
        <v>100</v>
      </c>
      <c r="F22" s="125">
        <f>ROUND(E22*Valores!$C$2,2)</f>
        <v>5445</v>
      </c>
      <c r="G22" s="192">
        <v>3727</v>
      </c>
      <c r="H22" s="125">
        <f>ROUND(G22*Valores!$C$2,2)</f>
        <v>202935.15</v>
      </c>
      <c r="I22" s="192">
        <v>219</v>
      </c>
      <c r="J22" s="125">
        <f>ROUND(I22*Valores!$C$2,2)</f>
        <v>11924.55</v>
      </c>
      <c r="K22" s="192">
        <v>0</v>
      </c>
      <c r="L22" s="125">
        <f>ROUND(K22*Valores!$C$2,2)</f>
        <v>0</v>
      </c>
      <c r="M22" s="125">
        <f>ROUND(IF($H$2=0,IF(AND(A22&lt;&gt;"13-930",A22&lt;&gt;"13-940"),(SUM(F22,H22,J22,L22,X22,T22,R22)*Valores!$C$4),0),0),2)</f>
        <v>60999.15</v>
      </c>
      <c r="N22" s="125">
        <f t="shared" si="1"/>
        <v>0</v>
      </c>
      <c r="O22" s="125">
        <f>Valores!$C$11</f>
        <v>48548.35</v>
      </c>
      <c r="P22" s="125">
        <f>Valores!$D$5</f>
        <v>27834.84</v>
      </c>
      <c r="Q22" s="125">
        <v>0</v>
      </c>
      <c r="R22" s="125">
        <f>IF($F$4="NO",Valores!$C$46,Valores!$C$46/2)</f>
        <v>23691.88</v>
      </c>
      <c r="S22" s="125">
        <v>0</v>
      </c>
      <c r="T22" s="125">
        <f t="shared" si="7"/>
        <v>0</v>
      </c>
      <c r="U22" s="125">
        <f>SUM(F22,H22,J22)</f>
        <v>220304.69999999998</v>
      </c>
      <c r="V22" s="125">
        <f>INT((SUM(F22,H22,J22)*0.4*100)+0.49)/100</f>
        <v>88121.88</v>
      </c>
      <c r="W22" s="192">
        <v>0</v>
      </c>
      <c r="X22" s="125">
        <f>ROUND(W22*Valores!$C$2,2)</f>
        <v>0</v>
      </c>
      <c r="Y22" s="125">
        <v>0</v>
      </c>
      <c r="Z22" s="125">
        <f>Valores!$C$94</f>
        <v>38113.67</v>
      </c>
      <c r="AA22" s="125">
        <f>Valores!$C$25</f>
        <v>1138.39</v>
      </c>
      <c r="AB22" s="214">
        <v>0</v>
      </c>
      <c r="AC22" s="125">
        <f t="shared" si="2"/>
        <v>0</v>
      </c>
      <c r="AD22" s="125">
        <f>Valores!$C$26</f>
        <v>1138.39</v>
      </c>
      <c r="AE22" s="192">
        <v>0</v>
      </c>
      <c r="AF22" s="125">
        <f>ROUND(AE22*Valores!$C$2,2)</f>
        <v>0</v>
      </c>
      <c r="AG22" s="125">
        <f>ROUND(IF($F$4="NO",Valores!$C$63,Valores!$C$63/2),2)</f>
        <v>13014.72</v>
      </c>
      <c r="AH22" s="125">
        <f t="shared" si="5"/>
        <v>743210.67</v>
      </c>
      <c r="AI22" s="125">
        <f>Valores!$C$31</f>
        <v>0</v>
      </c>
      <c r="AJ22" s="125">
        <f>Valores!$C$87</f>
        <v>0</v>
      </c>
      <c r="AK22" s="125">
        <f>Valores!C$38*B22</f>
        <v>0</v>
      </c>
      <c r="AL22" s="125">
        <f>IF($F$3="NO",0,Valores!$C$55)</f>
        <v>327.6</v>
      </c>
      <c r="AM22" s="125">
        <f t="shared" si="3"/>
        <v>327.6</v>
      </c>
      <c r="AN22" s="125">
        <f>AH22*Valores!$C$71</f>
        <v>-81753.1737</v>
      </c>
      <c r="AO22" s="125">
        <f>AH22*-Valores!$C$72</f>
        <v>0</v>
      </c>
      <c r="AP22" s="125">
        <f>AH22*Valores!$C$73</f>
        <v>-33444.48015</v>
      </c>
      <c r="AQ22" s="125">
        <f>Valores!$C$100</f>
        <v>-554.86</v>
      </c>
      <c r="AR22" s="125">
        <f>IF($F$5=0,Valores!$C$101,(Valores!$C$101+$F$5*(Valores!$C$101)))</f>
        <v>-852</v>
      </c>
      <c r="AS22" s="125">
        <f t="shared" si="6"/>
        <v>626933.75615</v>
      </c>
      <c r="AT22" s="125">
        <f t="shared" si="0"/>
        <v>-81753.1737</v>
      </c>
      <c r="AU22" s="125">
        <f>AH22*Valores!$C$74</f>
        <v>-20066.68809</v>
      </c>
      <c r="AV22" s="125">
        <f>AH22*Valores!$C$75</f>
        <v>-2229.6320100000003</v>
      </c>
      <c r="AW22" s="125">
        <f t="shared" si="4"/>
        <v>639488.7762</v>
      </c>
      <c r="AX22" s="126"/>
      <c r="AY22" s="126">
        <v>45</v>
      </c>
      <c r="AZ22" s="123" t="s">
        <v>8</v>
      </c>
    </row>
    <row r="23" spans="1:52" s="110" customFormat="1" ht="11.25" customHeight="1">
      <c r="A23" s="123" t="s">
        <v>140</v>
      </c>
      <c r="B23" s="123">
        <v>1</v>
      </c>
      <c r="C23" s="126">
        <v>16</v>
      </c>
      <c r="D23" s="124" t="s">
        <v>141</v>
      </c>
      <c r="E23" s="192">
        <v>100</v>
      </c>
      <c r="F23" s="125">
        <f>ROUND(E23*Valores!$C$2,2)</f>
        <v>5445</v>
      </c>
      <c r="G23" s="192">
        <v>3727</v>
      </c>
      <c r="H23" s="125">
        <f>ROUND(G23*Valores!$C$2,2)</f>
        <v>202935.15</v>
      </c>
      <c r="I23" s="192">
        <v>219</v>
      </c>
      <c r="J23" s="125">
        <f>ROUND(I23*Valores!$C$2,2)</f>
        <v>11924.55</v>
      </c>
      <c r="K23" s="192">
        <v>0</v>
      </c>
      <c r="L23" s="125">
        <f>ROUND(K23*Valores!$C$2,2)</f>
        <v>0</v>
      </c>
      <c r="M23" s="125">
        <f>ROUND(IF($H$2=0,IF(AND(A23&lt;&gt;"13-930",A23&lt;&gt;"13-940"),(SUM(F23,H23,J23,L23,X23,T23,R23)*Valores!$C$4),0),0),2)</f>
        <v>60999.15</v>
      </c>
      <c r="N23" s="125">
        <f t="shared" si="1"/>
        <v>0</v>
      </c>
      <c r="O23" s="125">
        <f>Valores!$C$11</f>
        <v>48548.35</v>
      </c>
      <c r="P23" s="125">
        <f>Valores!$D$5</f>
        <v>27834.84</v>
      </c>
      <c r="Q23" s="125">
        <v>0</v>
      </c>
      <c r="R23" s="125">
        <f>IF($F$4="NO",Valores!$C$46,Valores!$C$46/2)</f>
        <v>23691.88</v>
      </c>
      <c r="S23" s="125">
        <v>0</v>
      </c>
      <c r="T23" s="125">
        <f t="shared" si="7"/>
        <v>0</v>
      </c>
      <c r="U23" s="125">
        <f>SUM(F23,H23,J23)</f>
        <v>220304.69999999998</v>
      </c>
      <c r="V23" s="125">
        <f>INT((SUM(F23,H23,J23)*0.4*100)+0.49)/100</f>
        <v>88121.88</v>
      </c>
      <c r="W23" s="192">
        <v>0</v>
      </c>
      <c r="X23" s="125">
        <f>ROUND(W23*Valores!$C$2,2)</f>
        <v>0</v>
      </c>
      <c r="Y23" s="125">
        <v>0</v>
      </c>
      <c r="Z23" s="125">
        <f>Valores!$C$94</f>
        <v>38113.67</v>
      </c>
      <c r="AA23" s="125">
        <f>Valores!$C$25</f>
        <v>1138.39</v>
      </c>
      <c r="AB23" s="214">
        <v>0</v>
      </c>
      <c r="AC23" s="125">
        <f t="shared" si="2"/>
        <v>0</v>
      </c>
      <c r="AD23" s="125">
        <f>Valores!$C$26</f>
        <v>1138.39</v>
      </c>
      <c r="AE23" s="192">
        <v>0</v>
      </c>
      <c r="AF23" s="125">
        <f>ROUND(AE23*Valores!$C$2,2)</f>
        <v>0</v>
      </c>
      <c r="AG23" s="125">
        <f>ROUND(IF($F$4="NO",Valores!$C$63,Valores!$C$63/2),2)</f>
        <v>13014.72</v>
      </c>
      <c r="AH23" s="125">
        <f t="shared" si="5"/>
        <v>743210.67</v>
      </c>
      <c r="AI23" s="125">
        <f>Valores!$C$31</f>
        <v>0</v>
      </c>
      <c r="AJ23" s="125">
        <f>Valores!$C$87</f>
        <v>0</v>
      </c>
      <c r="AK23" s="125">
        <f>Valores!C$38*B23</f>
        <v>0</v>
      </c>
      <c r="AL23" s="125">
        <f>IF($F$3="NO",0,Valores!$C$55)</f>
        <v>327.6</v>
      </c>
      <c r="AM23" s="125">
        <f t="shared" si="3"/>
        <v>327.6</v>
      </c>
      <c r="AN23" s="125">
        <f>AH23*Valores!$C$71</f>
        <v>-81753.1737</v>
      </c>
      <c r="AO23" s="125">
        <f>AH23*-Valores!$C$72</f>
        <v>0</v>
      </c>
      <c r="AP23" s="125">
        <f>AH23*Valores!$C$73</f>
        <v>-33444.48015</v>
      </c>
      <c r="AQ23" s="125">
        <f>Valores!$C$100</f>
        <v>-554.86</v>
      </c>
      <c r="AR23" s="125">
        <f>IF($F$5=0,Valores!$C$101,(Valores!$C$101+$F$5*(Valores!$C$101)))</f>
        <v>-852</v>
      </c>
      <c r="AS23" s="125">
        <f t="shared" si="6"/>
        <v>626933.75615</v>
      </c>
      <c r="AT23" s="125">
        <f t="shared" si="0"/>
        <v>-81753.1737</v>
      </c>
      <c r="AU23" s="125">
        <f>AH23*Valores!$C$74</f>
        <v>-20066.68809</v>
      </c>
      <c r="AV23" s="125">
        <f>AH23*Valores!$C$75</f>
        <v>-2229.6320100000003</v>
      </c>
      <c r="AW23" s="125">
        <f t="shared" si="4"/>
        <v>639488.7762</v>
      </c>
      <c r="AX23" s="126"/>
      <c r="AY23" s="126">
        <v>45</v>
      </c>
      <c r="AZ23" s="123" t="s">
        <v>8</v>
      </c>
    </row>
    <row r="24" spans="1:52" s="110" customFormat="1" ht="11.25" customHeight="1">
      <c r="A24" s="123" t="s">
        <v>142</v>
      </c>
      <c r="B24" s="123">
        <v>1</v>
      </c>
      <c r="C24" s="126">
        <v>17</v>
      </c>
      <c r="D24" s="124" t="s">
        <v>143</v>
      </c>
      <c r="E24" s="192">
        <v>100</v>
      </c>
      <c r="F24" s="125">
        <f>ROUND(E24*Valores!$C$2,2)</f>
        <v>5445</v>
      </c>
      <c r="G24" s="192">
        <v>3727</v>
      </c>
      <c r="H24" s="125">
        <f>ROUND(G24*Valores!$C$2,2)</f>
        <v>202935.15</v>
      </c>
      <c r="I24" s="192">
        <v>219</v>
      </c>
      <c r="J24" s="125">
        <f>ROUND(I24*Valores!$C$2,2)</f>
        <v>11924.55</v>
      </c>
      <c r="K24" s="192">
        <v>0</v>
      </c>
      <c r="L24" s="125">
        <f>ROUND(K24*Valores!$C$2,2)</f>
        <v>0</v>
      </c>
      <c r="M24" s="125">
        <f>ROUND(IF($H$2=0,IF(AND(A24&lt;&gt;"13-930",A24&lt;&gt;"13-940"),(SUM(F24,H24,J24,L24,X24,T24,R24)*Valores!$C$4),0),0),2)</f>
        <v>60999.15</v>
      </c>
      <c r="N24" s="125">
        <f t="shared" si="1"/>
        <v>0</v>
      </c>
      <c r="O24" s="125">
        <f>Valores!$C$11</f>
        <v>48548.35</v>
      </c>
      <c r="P24" s="125">
        <f>Valores!$D$5</f>
        <v>27834.84</v>
      </c>
      <c r="Q24" s="125">
        <v>0</v>
      </c>
      <c r="R24" s="125">
        <f>IF($F$4="NO",Valores!$C$46,Valores!$C$46/2)</f>
        <v>23691.88</v>
      </c>
      <c r="S24" s="125">
        <v>0</v>
      </c>
      <c r="T24" s="125">
        <f t="shared" si="7"/>
        <v>0</v>
      </c>
      <c r="U24" s="125">
        <f>SUM(F24,H24,J24)</f>
        <v>220304.69999999998</v>
      </c>
      <c r="V24" s="125">
        <f>INT((SUM(F24,H24,J24)*0.4*100)+0.49)/100</f>
        <v>88121.88</v>
      </c>
      <c r="W24" s="192">
        <v>0</v>
      </c>
      <c r="X24" s="125">
        <f>ROUND(W24*Valores!$C$2,2)</f>
        <v>0</v>
      </c>
      <c r="Y24" s="125">
        <v>0</v>
      </c>
      <c r="Z24" s="125">
        <f>Valores!$C$94</f>
        <v>38113.67</v>
      </c>
      <c r="AA24" s="125">
        <f>Valores!$C$25</f>
        <v>1138.39</v>
      </c>
      <c r="AB24" s="214">
        <v>0</v>
      </c>
      <c r="AC24" s="125">
        <f t="shared" si="2"/>
        <v>0</v>
      </c>
      <c r="AD24" s="125">
        <f>Valores!$C$26</f>
        <v>1138.39</v>
      </c>
      <c r="AE24" s="192">
        <v>0</v>
      </c>
      <c r="AF24" s="125">
        <f>ROUND(AE24*Valores!$C$2,2)</f>
        <v>0</v>
      </c>
      <c r="AG24" s="125">
        <f>ROUND(IF($F$4="NO",Valores!$C$63,Valores!$C$63/2),2)</f>
        <v>13014.72</v>
      </c>
      <c r="AH24" s="125">
        <f t="shared" si="5"/>
        <v>743210.67</v>
      </c>
      <c r="AI24" s="125">
        <f>Valores!$C$31</f>
        <v>0</v>
      </c>
      <c r="AJ24" s="125">
        <f>Valores!$C$87</f>
        <v>0</v>
      </c>
      <c r="AK24" s="125">
        <f>Valores!C$38*B24</f>
        <v>0</v>
      </c>
      <c r="AL24" s="125">
        <f>IF($F$3="NO",0,Valores!$C$55)</f>
        <v>327.6</v>
      </c>
      <c r="AM24" s="125">
        <f t="shared" si="3"/>
        <v>327.6</v>
      </c>
      <c r="AN24" s="125">
        <f>AH24*Valores!$C$71</f>
        <v>-81753.1737</v>
      </c>
      <c r="AO24" s="125">
        <f>AH24*-Valores!$C$72</f>
        <v>0</v>
      </c>
      <c r="AP24" s="125">
        <f>AH24*Valores!$C$73</f>
        <v>-33444.48015</v>
      </c>
      <c r="AQ24" s="125">
        <f>Valores!$C$100</f>
        <v>-554.86</v>
      </c>
      <c r="AR24" s="125">
        <f>IF($F$5=0,Valores!$C$101,(Valores!$C$101+$F$5*(Valores!$C$101)))</f>
        <v>-852</v>
      </c>
      <c r="AS24" s="125">
        <f t="shared" si="6"/>
        <v>626933.75615</v>
      </c>
      <c r="AT24" s="125">
        <f t="shared" si="0"/>
        <v>-81753.1737</v>
      </c>
      <c r="AU24" s="125">
        <f>AH24*Valores!$C$74</f>
        <v>-20066.68809</v>
      </c>
      <c r="AV24" s="125">
        <f>AH24*Valores!$C$75</f>
        <v>-2229.6320100000003</v>
      </c>
      <c r="AW24" s="125">
        <f t="shared" si="4"/>
        <v>639488.7762</v>
      </c>
      <c r="AX24" s="126"/>
      <c r="AY24" s="126">
        <v>45</v>
      </c>
      <c r="AZ24" s="123" t="s">
        <v>8</v>
      </c>
    </row>
    <row r="25" spans="1:52" s="110" customFormat="1" ht="11.25" customHeight="1">
      <c r="A25" s="123" t="s">
        <v>144</v>
      </c>
      <c r="B25" s="123">
        <v>1</v>
      </c>
      <c r="C25" s="126">
        <v>18</v>
      </c>
      <c r="D25" s="124" t="s">
        <v>145</v>
      </c>
      <c r="E25" s="192">
        <v>96</v>
      </c>
      <c r="F25" s="125">
        <f>ROUND(E25*Valores!$C$2,2)</f>
        <v>5227.2</v>
      </c>
      <c r="G25" s="192">
        <v>3737</v>
      </c>
      <c r="H25" s="125">
        <f>ROUND(G25*Valores!$C$2,2)</f>
        <v>203479.65</v>
      </c>
      <c r="I25" s="192">
        <v>1220</v>
      </c>
      <c r="J25" s="125">
        <f>ROUND(I25*Valores!$C$2,2)</f>
        <v>66429</v>
      </c>
      <c r="K25" s="192">
        <v>0</v>
      </c>
      <c r="L25" s="125">
        <f>ROUND(K25*Valores!$C$2,2)</f>
        <v>0</v>
      </c>
      <c r="M25" s="125">
        <f>ROUND(IF($H$2=0,IF(AND(A25&lt;&gt;"13-930",A25&lt;&gt;"13-940"),(SUM(F25,H25,J25,L25,X25,T25,R25)*Valores!$C$4),0),0),2)</f>
        <v>82532.92</v>
      </c>
      <c r="N25" s="125">
        <f t="shared" si="1"/>
        <v>0</v>
      </c>
      <c r="O25" s="125">
        <f>Valores!$C$12</f>
        <v>123523.42</v>
      </c>
      <c r="P25" s="125">
        <f>Valores!$D$5</f>
        <v>27834.84</v>
      </c>
      <c r="Q25" s="125">
        <v>0</v>
      </c>
      <c r="R25" s="125">
        <f>IF($F$4="NO",Valores!$C$47,Valores!$C$47/2)</f>
        <v>29096.75</v>
      </c>
      <c r="S25" s="125">
        <f>Valores!$C$19</f>
        <v>25899.06</v>
      </c>
      <c r="T25" s="125">
        <f t="shared" si="7"/>
        <v>25899.06</v>
      </c>
      <c r="U25" s="125">
        <v>0</v>
      </c>
      <c r="V25" s="125">
        <v>0</v>
      </c>
      <c r="W25" s="192">
        <v>0</v>
      </c>
      <c r="X25" s="125">
        <f>ROUND(W25*Valores!$C$2,2)</f>
        <v>0</v>
      </c>
      <c r="Y25" s="125">
        <v>0</v>
      </c>
      <c r="Z25" s="125">
        <f>Valores!$C$96</f>
        <v>76227.32</v>
      </c>
      <c r="AA25" s="125">
        <f>Valores!$C$25</f>
        <v>1138.39</v>
      </c>
      <c r="AB25" s="214">
        <v>0</v>
      </c>
      <c r="AC25" s="125">
        <f t="shared" si="2"/>
        <v>0</v>
      </c>
      <c r="AD25" s="125">
        <f>Valores!$C$26</f>
        <v>1138.39</v>
      </c>
      <c r="AE25" s="192">
        <v>0</v>
      </c>
      <c r="AF25" s="125">
        <f>ROUND(AE25*Valores!$C$2,2)</f>
        <v>0</v>
      </c>
      <c r="AG25" s="125">
        <f>ROUND(IF($F$4="NO",Valores!$C$63,Valores!$C$63/2),2)</f>
        <v>13014.72</v>
      </c>
      <c r="AH25" s="125">
        <f t="shared" si="5"/>
        <v>655541.6600000001</v>
      </c>
      <c r="AI25" s="125">
        <f>Valores!$C$31</f>
        <v>0</v>
      </c>
      <c r="AJ25" s="125">
        <f>Valores!$C$89</f>
        <v>0</v>
      </c>
      <c r="AK25" s="125">
        <f>Valores!C$38*B25</f>
        <v>0</v>
      </c>
      <c r="AL25" s="125">
        <f>IF($F$3="NO",0,Valores!$C$55)</f>
        <v>327.6</v>
      </c>
      <c r="AM25" s="125">
        <f t="shared" si="3"/>
        <v>327.6</v>
      </c>
      <c r="AN25" s="125">
        <f>AH25*Valores!$C$71</f>
        <v>-72109.58260000002</v>
      </c>
      <c r="AO25" s="125">
        <f>AH25*-Valores!$C$72</f>
        <v>0</v>
      </c>
      <c r="AP25" s="125">
        <f>AH25*Valores!$C$73</f>
        <v>-29499.374700000004</v>
      </c>
      <c r="AQ25" s="125">
        <f>Valores!$C$100</f>
        <v>-554.86</v>
      </c>
      <c r="AR25" s="125">
        <f>IF($F$5=0,Valores!$C$101,(Valores!$C$101+$F$5*(Valores!$C$101)))</f>
        <v>-852</v>
      </c>
      <c r="AS25" s="125">
        <f t="shared" si="6"/>
        <v>552853.4427000001</v>
      </c>
      <c r="AT25" s="125">
        <f t="shared" si="0"/>
        <v>-72109.58260000002</v>
      </c>
      <c r="AU25" s="125">
        <f>AH25*Valores!$C$74</f>
        <v>-17699.624820000005</v>
      </c>
      <c r="AV25" s="125">
        <f>AH25*Valores!$C$75</f>
        <v>-1966.6249800000005</v>
      </c>
      <c r="AW25" s="125">
        <f t="shared" si="4"/>
        <v>564093.4276</v>
      </c>
      <c r="AX25" s="126"/>
      <c r="AY25" s="126">
        <v>45</v>
      </c>
      <c r="AZ25" s="123" t="s">
        <v>4</v>
      </c>
    </row>
    <row r="26" spans="1:52" s="110" customFormat="1" ht="11.25" customHeight="1">
      <c r="A26" s="123" t="s">
        <v>146</v>
      </c>
      <c r="B26" s="123">
        <v>1</v>
      </c>
      <c r="C26" s="126">
        <v>19</v>
      </c>
      <c r="D26" s="124" t="s">
        <v>147</v>
      </c>
      <c r="E26" s="192">
        <v>96</v>
      </c>
      <c r="F26" s="125">
        <f>ROUND(E26*Valores!$C$2,2)</f>
        <v>5227.2</v>
      </c>
      <c r="G26" s="192">
        <v>3737</v>
      </c>
      <c r="H26" s="125">
        <f>ROUND(G26*Valores!$C$2,2)</f>
        <v>203479.65</v>
      </c>
      <c r="I26" s="192">
        <v>1220</v>
      </c>
      <c r="J26" s="125">
        <f>ROUND(I26*Valores!$C$2,2)</f>
        <v>66429</v>
      </c>
      <c r="K26" s="192">
        <v>0</v>
      </c>
      <c r="L26" s="125">
        <f>ROUND(K26*Valores!$C$2,2)</f>
        <v>0</v>
      </c>
      <c r="M26" s="125">
        <f>ROUND(IF($H$2=0,IF(AND(A26&lt;&gt;"13-930",A26&lt;&gt;"13-940"),(SUM(F26,H26,J26,L26,X26,T26,R26)*Valores!$C$4),0),0),2)</f>
        <v>82532.92</v>
      </c>
      <c r="N26" s="125">
        <f t="shared" si="1"/>
        <v>0</v>
      </c>
      <c r="O26" s="125">
        <f>Valores!$C$12</f>
        <v>123523.42</v>
      </c>
      <c r="P26" s="125">
        <f>Valores!$D$5</f>
        <v>27834.84</v>
      </c>
      <c r="Q26" s="125">
        <v>0</v>
      </c>
      <c r="R26" s="125">
        <f>IF($F$4="NO",Valores!$C$47,Valores!$C$47/2)</f>
        <v>29096.75</v>
      </c>
      <c r="S26" s="125">
        <f>Valores!$C$19</f>
        <v>25899.06</v>
      </c>
      <c r="T26" s="125">
        <f t="shared" si="7"/>
        <v>25899.06</v>
      </c>
      <c r="U26" s="125">
        <v>0</v>
      </c>
      <c r="V26" s="125">
        <v>0</v>
      </c>
      <c r="W26" s="192">
        <v>0</v>
      </c>
      <c r="X26" s="125">
        <f>ROUND(W26*Valores!$C$2,2)</f>
        <v>0</v>
      </c>
      <c r="Y26" s="125">
        <v>0</v>
      </c>
      <c r="Z26" s="125">
        <f>Valores!$C$96</f>
        <v>76227.32</v>
      </c>
      <c r="AA26" s="125">
        <f>Valores!$C$25</f>
        <v>1138.39</v>
      </c>
      <c r="AB26" s="214">
        <v>0</v>
      </c>
      <c r="AC26" s="125">
        <f t="shared" si="2"/>
        <v>0</v>
      </c>
      <c r="AD26" s="125">
        <f>Valores!$C$26</f>
        <v>1138.39</v>
      </c>
      <c r="AE26" s="192">
        <v>0</v>
      </c>
      <c r="AF26" s="125">
        <f>ROUND(AE26*Valores!$C$2,2)</f>
        <v>0</v>
      </c>
      <c r="AG26" s="125">
        <f>ROUND(IF($F$4="NO",Valores!$C$63,Valores!$C$63/2),2)</f>
        <v>13014.72</v>
      </c>
      <c r="AH26" s="125">
        <f t="shared" si="5"/>
        <v>655541.6600000001</v>
      </c>
      <c r="AI26" s="125">
        <f>Valores!$C$31</f>
        <v>0</v>
      </c>
      <c r="AJ26" s="125">
        <f>Valores!$C$89</f>
        <v>0</v>
      </c>
      <c r="AK26" s="125">
        <f>Valores!C$38*B26</f>
        <v>0</v>
      </c>
      <c r="AL26" s="125">
        <f>IF($F$3="NO",0,Valores!$C$55)</f>
        <v>327.6</v>
      </c>
      <c r="AM26" s="125">
        <f t="shared" si="3"/>
        <v>327.6</v>
      </c>
      <c r="AN26" s="125">
        <f>AH26*Valores!$C$71</f>
        <v>-72109.58260000002</v>
      </c>
      <c r="AO26" s="125">
        <f>AH26*-Valores!$C$72</f>
        <v>0</v>
      </c>
      <c r="AP26" s="125">
        <f>AH26*Valores!$C$73</f>
        <v>-29499.374700000004</v>
      </c>
      <c r="AQ26" s="125">
        <f>Valores!$C$100</f>
        <v>-554.86</v>
      </c>
      <c r="AR26" s="125">
        <f>IF($F$5=0,Valores!$C$101,(Valores!$C$101+$F$5*(Valores!$C$101)))</f>
        <v>-852</v>
      </c>
      <c r="AS26" s="125">
        <f t="shared" si="6"/>
        <v>552853.4427000001</v>
      </c>
      <c r="AT26" s="125">
        <f t="shared" si="0"/>
        <v>-72109.58260000002</v>
      </c>
      <c r="AU26" s="125">
        <f>AH26*Valores!$C$74</f>
        <v>-17699.624820000005</v>
      </c>
      <c r="AV26" s="125">
        <f>AH26*Valores!$C$75</f>
        <v>-1966.6249800000005</v>
      </c>
      <c r="AW26" s="125">
        <f t="shared" si="4"/>
        <v>564093.4276</v>
      </c>
      <c r="AX26" s="126"/>
      <c r="AY26" s="126">
        <v>45</v>
      </c>
      <c r="AZ26" s="123" t="s">
        <v>4</v>
      </c>
    </row>
    <row r="27" spans="1:52" s="110" customFormat="1" ht="11.25" customHeight="1">
      <c r="A27" s="123" t="s">
        <v>148</v>
      </c>
      <c r="B27" s="123">
        <v>1</v>
      </c>
      <c r="C27" s="126">
        <v>20</v>
      </c>
      <c r="D27" s="124" t="s">
        <v>149</v>
      </c>
      <c r="E27" s="192">
        <v>96</v>
      </c>
      <c r="F27" s="125">
        <f>ROUND(E27*Valores!$C$2,2)</f>
        <v>5227.2</v>
      </c>
      <c r="G27" s="192">
        <v>3737</v>
      </c>
      <c r="H27" s="125">
        <f>ROUND(G27*Valores!$C$2,2)</f>
        <v>203479.65</v>
      </c>
      <c r="I27" s="192">
        <v>1220</v>
      </c>
      <c r="J27" s="125">
        <f>ROUND(I27*Valores!$C$2,2)</f>
        <v>66429</v>
      </c>
      <c r="K27" s="192">
        <v>0</v>
      </c>
      <c r="L27" s="125">
        <f>ROUND(K27*Valores!$C$2,2)</f>
        <v>0</v>
      </c>
      <c r="M27" s="125">
        <f>ROUND(IF($H$2=0,IF(AND(A27&lt;&gt;"13-930",A27&lt;&gt;"13-940"),(SUM(F27,H27,J27,L27,X27,T27,R27)*Valores!$C$4),0),0),2)</f>
        <v>82532.92</v>
      </c>
      <c r="N27" s="125">
        <f t="shared" si="1"/>
        <v>0</v>
      </c>
      <c r="O27" s="125">
        <f>Valores!$C$12</f>
        <v>123523.42</v>
      </c>
      <c r="P27" s="125">
        <f>Valores!$D$5</f>
        <v>27834.84</v>
      </c>
      <c r="Q27" s="125">
        <v>0</v>
      </c>
      <c r="R27" s="125">
        <f>IF($F$4="NO",Valores!$C$47,Valores!$C$47/2)</f>
        <v>29096.75</v>
      </c>
      <c r="S27" s="125">
        <f>Valores!$C$19</f>
        <v>25899.06</v>
      </c>
      <c r="T27" s="125">
        <f t="shared" si="7"/>
        <v>25899.06</v>
      </c>
      <c r="U27" s="125">
        <v>0</v>
      </c>
      <c r="V27" s="125">
        <v>0</v>
      </c>
      <c r="W27" s="192">
        <v>0</v>
      </c>
      <c r="X27" s="125">
        <f>ROUND(W27*Valores!$C$2,2)</f>
        <v>0</v>
      </c>
      <c r="Y27" s="125">
        <v>0</v>
      </c>
      <c r="Z27" s="125">
        <f>Valores!$C$96</f>
        <v>76227.32</v>
      </c>
      <c r="AA27" s="125">
        <f>Valores!$C$25</f>
        <v>1138.39</v>
      </c>
      <c r="AB27" s="214">
        <v>0</v>
      </c>
      <c r="AC27" s="125">
        <f t="shared" si="2"/>
        <v>0</v>
      </c>
      <c r="AD27" s="125">
        <f>Valores!$C$26</f>
        <v>1138.39</v>
      </c>
      <c r="AE27" s="192">
        <v>0</v>
      </c>
      <c r="AF27" s="125">
        <f>ROUND(AE27*Valores!$C$2,2)</f>
        <v>0</v>
      </c>
      <c r="AG27" s="125">
        <f>ROUND(IF($F$4="NO",Valores!$C$63,Valores!$C$63/2),2)</f>
        <v>13014.72</v>
      </c>
      <c r="AH27" s="125">
        <f t="shared" si="5"/>
        <v>655541.6600000001</v>
      </c>
      <c r="AI27" s="125">
        <f>Valores!$C$31</f>
        <v>0</v>
      </c>
      <c r="AJ27" s="125">
        <f>Valores!$C$89</f>
        <v>0</v>
      </c>
      <c r="AK27" s="125">
        <f>Valores!C$38*B27</f>
        <v>0</v>
      </c>
      <c r="AL27" s="125">
        <f>IF($F$3="NO",0,Valores!$C$55)</f>
        <v>327.6</v>
      </c>
      <c r="AM27" s="125">
        <f t="shared" si="3"/>
        <v>327.6</v>
      </c>
      <c r="AN27" s="125">
        <f>AH27*Valores!$C$71</f>
        <v>-72109.58260000002</v>
      </c>
      <c r="AO27" s="125">
        <f>AH27*-Valores!$C$72</f>
        <v>0</v>
      </c>
      <c r="AP27" s="125">
        <f>AH27*Valores!$C$73</f>
        <v>-29499.374700000004</v>
      </c>
      <c r="AQ27" s="125">
        <f>Valores!$C$100</f>
        <v>-554.86</v>
      </c>
      <c r="AR27" s="125">
        <f>IF($F$5=0,Valores!$C$101,(Valores!$C$101+$F$5*(Valores!$C$101)))</f>
        <v>-852</v>
      </c>
      <c r="AS27" s="125">
        <f t="shared" si="6"/>
        <v>552853.4427000001</v>
      </c>
      <c r="AT27" s="125">
        <f t="shared" si="0"/>
        <v>-72109.58260000002</v>
      </c>
      <c r="AU27" s="125">
        <f>AH27*Valores!$C$74</f>
        <v>-17699.624820000005</v>
      </c>
      <c r="AV27" s="125">
        <f>AH27*Valores!$C$75</f>
        <v>-1966.6249800000005</v>
      </c>
      <c r="AW27" s="125">
        <f t="shared" si="4"/>
        <v>564093.4276</v>
      </c>
      <c r="AX27" s="126"/>
      <c r="AY27" s="126">
        <v>45</v>
      </c>
      <c r="AZ27" s="123" t="s">
        <v>4</v>
      </c>
    </row>
    <row r="28" spans="1:52" s="110" customFormat="1" ht="11.25" customHeight="1">
      <c r="A28" s="123" t="s">
        <v>150</v>
      </c>
      <c r="B28" s="123">
        <v>1</v>
      </c>
      <c r="C28" s="126">
        <v>21</v>
      </c>
      <c r="D28" s="124" t="s">
        <v>151</v>
      </c>
      <c r="E28" s="192">
        <v>107</v>
      </c>
      <c r="F28" s="125">
        <f>ROUND(E28*Valores!$C$2,2)</f>
        <v>5826.15</v>
      </c>
      <c r="G28" s="192">
        <v>3728</v>
      </c>
      <c r="H28" s="125">
        <f>ROUND(G28*Valores!$C$2,2)</f>
        <v>202989.6</v>
      </c>
      <c r="I28" s="192">
        <v>1218</v>
      </c>
      <c r="J28" s="125">
        <f>ROUND(I28*Valores!$C$2,2)</f>
        <v>66320.1</v>
      </c>
      <c r="K28" s="192">
        <v>0</v>
      </c>
      <c r="L28" s="125">
        <f>ROUND(K28*Valores!$C$2,2)</f>
        <v>0</v>
      </c>
      <c r="M28" s="125">
        <f>ROUND(IF($H$2=0,IF(AND(A28&lt;&gt;"13-930",A28&lt;&gt;"13-940"),(SUM(F28,H28,J28,L28,X28,T28,R28)*Valores!$C$4),0),0),2)</f>
        <v>82532.92</v>
      </c>
      <c r="N28" s="125">
        <f t="shared" si="1"/>
        <v>0</v>
      </c>
      <c r="O28" s="125">
        <f>Valores!$C$12</f>
        <v>123523.42</v>
      </c>
      <c r="P28" s="125">
        <f>Valores!$D$5</f>
        <v>27834.84</v>
      </c>
      <c r="Q28" s="125">
        <v>0</v>
      </c>
      <c r="R28" s="125">
        <f>IF($F$4="NO",Valores!$C$47,Valores!$C$47/2)</f>
        <v>29096.75</v>
      </c>
      <c r="S28" s="125">
        <f>Valores!$C$19</f>
        <v>25899.06</v>
      </c>
      <c r="T28" s="125">
        <f t="shared" si="7"/>
        <v>25899.06</v>
      </c>
      <c r="U28" s="125">
        <v>0</v>
      </c>
      <c r="V28" s="125">
        <v>0</v>
      </c>
      <c r="W28" s="192">
        <v>0</v>
      </c>
      <c r="X28" s="125">
        <f>ROUND(W28*Valores!$C$2,2)</f>
        <v>0</v>
      </c>
      <c r="Y28" s="125">
        <v>0</v>
      </c>
      <c r="Z28" s="125">
        <f>Valores!$C$96</f>
        <v>76227.32</v>
      </c>
      <c r="AA28" s="125">
        <f>Valores!$C$25</f>
        <v>1138.39</v>
      </c>
      <c r="AB28" s="214">
        <v>0</v>
      </c>
      <c r="AC28" s="125">
        <f t="shared" si="2"/>
        <v>0</v>
      </c>
      <c r="AD28" s="125">
        <f>Valores!$C$26</f>
        <v>1138.39</v>
      </c>
      <c r="AE28" s="192">
        <v>0</v>
      </c>
      <c r="AF28" s="125">
        <f>ROUND(AE28*Valores!$C$2,2)</f>
        <v>0</v>
      </c>
      <c r="AG28" s="125">
        <f>ROUND(IF($F$4="NO",Valores!$C$63,Valores!$C$63/2),2)</f>
        <v>13014.72</v>
      </c>
      <c r="AH28" s="125">
        <f t="shared" si="5"/>
        <v>655541.6600000001</v>
      </c>
      <c r="AI28" s="125">
        <f>Valores!$C$31</f>
        <v>0</v>
      </c>
      <c r="AJ28" s="125">
        <f>Valores!$C$89</f>
        <v>0</v>
      </c>
      <c r="AK28" s="125">
        <f>Valores!C$38*B28</f>
        <v>0</v>
      </c>
      <c r="AL28" s="125">
        <f>IF($F$3="NO",0,Valores!$C$55)</f>
        <v>327.6</v>
      </c>
      <c r="AM28" s="125">
        <f t="shared" si="3"/>
        <v>327.6</v>
      </c>
      <c r="AN28" s="125">
        <f>AH28*Valores!$C$71</f>
        <v>-72109.58260000002</v>
      </c>
      <c r="AO28" s="125">
        <f>AH28*-Valores!$C$72</f>
        <v>0</v>
      </c>
      <c r="AP28" s="125">
        <f>AH28*Valores!$C$73</f>
        <v>-29499.374700000004</v>
      </c>
      <c r="AQ28" s="125">
        <f>Valores!$C$100</f>
        <v>-554.86</v>
      </c>
      <c r="AR28" s="125">
        <f>IF($F$5=0,Valores!$C$101,(Valores!$C$101+$F$5*(Valores!$C$101)))</f>
        <v>-852</v>
      </c>
      <c r="AS28" s="125">
        <f t="shared" si="6"/>
        <v>552853.4427000001</v>
      </c>
      <c r="AT28" s="125">
        <f t="shared" si="0"/>
        <v>-72109.58260000002</v>
      </c>
      <c r="AU28" s="125">
        <f>AH28*Valores!$C$74</f>
        <v>-17699.624820000005</v>
      </c>
      <c r="AV28" s="125">
        <f>AH28*Valores!$C$75</f>
        <v>-1966.6249800000005</v>
      </c>
      <c r="AW28" s="125">
        <f t="shared" si="4"/>
        <v>564093.4276</v>
      </c>
      <c r="AX28" s="126"/>
      <c r="AY28" s="126">
        <v>45</v>
      </c>
      <c r="AZ28" s="123" t="s">
        <v>8</v>
      </c>
    </row>
    <row r="29" spans="1:52" s="110" customFormat="1" ht="11.25" customHeight="1">
      <c r="A29" s="123" t="s">
        <v>152</v>
      </c>
      <c r="B29" s="123">
        <v>1</v>
      </c>
      <c r="C29" s="126">
        <v>22</v>
      </c>
      <c r="D29" s="124" t="s">
        <v>153</v>
      </c>
      <c r="E29" s="192">
        <v>94</v>
      </c>
      <c r="F29" s="125">
        <f>ROUND(E29*Valores!$C$2,2)</f>
        <v>5118.3</v>
      </c>
      <c r="G29" s="192">
        <v>3624</v>
      </c>
      <c r="H29" s="125">
        <f>ROUND(G29*Valores!$C$2,2)</f>
        <v>197326.8</v>
      </c>
      <c r="I29" s="192">
        <v>1219</v>
      </c>
      <c r="J29" s="125">
        <f>ROUND(I29*Valores!$C$2,2)</f>
        <v>66374.55</v>
      </c>
      <c r="K29" s="192">
        <v>0</v>
      </c>
      <c r="L29" s="125">
        <f>ROUND(K29*Valores!$C$2,2)</f>
        <v>0</v>
      </c>
      <c r="M29" s="125">
        <f>ROUND(IF($H$2=0,IF(AND(A29&lt;&gt;"13-930",A29&lt;&gt;"13-940"),(SUM(F29,H29,J29,L29,X29,T29,R29)*Valores!$C$4),0),0),2)</f>
        <v>80953.87</v>
      </c>
      <c r="N29" s="125">
        <f t="shared" si="1"/>
        <v>0</v>
      </c>
      <c r="O29" s="125">
        <f>Valores!$C$12</f>
        <v>123523.42</v>
      </c>
      <c r="P29" s="125">
        <f>Valores!$D$5</f>
        <v>27834.84</v>
      </c>
      <c r="Q29" s="125">
        <v>0</v>
      </c>
      <c r="R29" s="125">
        <f>IF($F$4="NO",Valores!$C$47,Valores!$C$47/2)</f>
        <v>29096.75</v>
      </c>
      <c r="S29" s="125">
        <f>Valores!$C$19</f>
        <v>25899.06</v>
      </c>
      <c r="T29" s="125">
        <f t="shared" si="7"/>
        <v>25899.06</v>
      </c>
      <c r="U29" s="125">
        <v>0</v>
      </c>
      <c r="V29" s="125">
        <v>0</v>
      </c>
      <c r="W29" s="192">
        <v>0</v>
      </c>
      <c r="X29" s="125">
        <f>ROUND(W29*Valores!$C$2,2)</f>
        <v>0</v>
      </c>
      <c r="Y29" s="125">
        <v>0</v>
      </c>
      <c r="Z29" s="125">
        <f>Valores!$C$96</f>
        <v>76227.32</v>
      </c>
      <c r="AA29" s="125">
        <f>Valores!$C$25</f>
        <v>1138.39</v>
      </c>
      <c r="AB29" s="214">
        <v>0</v>
      </c>
      <c r="AC29" s="125">
        <f t="shared" si="2"/>
        <v>0</v>
      </c>
      <c r="AD29" s="125">
        <f>Valores!$C$26</f>
        <v>1138.39</v>
      </c>
      <c r="AE29" s="192">
        <v>0</v>
      </c>
      <c r="AF29" s="125">
        <f>ROUND(AE29*Valores!$C$2,2)</f>
        <v>0</v>
      </c>
      <c r="AG29" s="125">
        <f>ROUND(IF($F$4="NO",Valores!$C$63,Valores!$C$63/2),2)</f>
        <v>13014.72</v>
      </c>
      <c r="AH29" s="125">
        <f t="shared" si="5"/>
        <v>647646.4100000001</v>
      </c>
      <c r="AI29" s="125">
        <f>Valores!$C$31</f>
        <v>0</v>
      </c>
      <c r="AJ29" s="125">
        <f>Valores!$C$89</f>
        <v>0</v>
      </c>
      <c r="AK29" s="125">
        <f>Valores!C$38*B29</f>
        <v>0</v>
      </c>
      <c r="AL29" s="125">
        <f>IF($F$3="NO",0,Valores!$C$55)</f>
        <v>327.6</v>
      </c>
      <c r="AM29" s="125">
        <f t="shared" si="3"/>
        <v>327.6</v>
      </c>
      <c r="AN29" s="125">
        <f>AH29*Valores!$C$71</f>
        <v>-71241.10510000002</v>
      </c>
      <c r="AO29" s="125">
        <f>AH29*-Valores!$C$72</f>
        <v>0</v>
      </c>
      <c r="AP29" s="125">
        <f>AH29*Valores!$C$73</f>
        <v>-29144.088450000007</v>
      </c>
      <c r="AQ29" s="125">
        <f>Valores!$C$100</f>
        <v>-554.86</v>
      </c>
      <c r="AR29" s="125">
        <f>IF($F$5=0,Valores!$C$101,(Valores!$C$101+$F$5*(Valores!$C$101)))</f>
        <v>-852</v>
      </c>
      <c r="AS29" s="125">
        <f t="shared" si="6"/>
        <v>546181.9564500002</v>
      </c>
      <c r="AT29" s="125">
        <f t="shared" si="0"/>
        <v>-71241.10510000002</v>
      </c>
      <c r="AU29" s="125">
        <f>AH29*Valores!$C$74</f>
        <v>-17486.453070000003</v>
      </c>
      <c r="AV29" s="125">
        <f>AH29*Valores!$C$75</f>
        <v>-1942.9392300000004</v>
      </c>
      <c r="AW29" s="125">
        <f t="shared" si="4"/>
        <v>557303.5126000001</v>
      </c>
      <c r="AX29" s="126"/>
      <c r="AY29" s="126">
        <v>45</v>
      </c>
      <c r="AZ29" s="123" t="s">
        <v>4</v>
      </c>
    </row>
    <row r="30" spans="1:52" s="110" customFormat="1" ht="11.25" customHeight="1">
      <c r="A30" s="123" t="s">
        <v>154</v>
      </c>
      <c r="B30" s="123">
        <v>1</v>
      </c>
      <c r="C30" s="126">
        <v>23</v>
      </c>
      <c r="D30" s="124" t="s">
        <v>155</v>
      </c>
      <c r="E30" s="192">
        <v>93</v>
      </c>
      <c r="F30" s="125">
        <f>ROUND(E30*Valores!$C$2,2)</f>
        <v>5063.85</v>
      </c>
      <c r="G30" s="192">
        <v>3627</v>
      </c>
      <c r="H30" s="125">
        <f>ROUND(G30*Valores!$C$2,2)</f>
        <v>197490.15</v>
      </c>
      <c r="I30" s="192">
        <v>210</v>
      </c>
      <c r="J30" s="125">
        <f>ROUND(I30*Valores!$C$2,2)</f>
        <v>11434.5</v>
      </c>
      <c r="K30" s="192">
        <v>0</v>
      </c>
      <c r="L30" s="125">
        <f>ROUND(K30*Valores!$C$2,2)</f>
        <v>0</v>
      </c>
      <c r="M30" s="125">
        <f>ROUND(IF($H$2=0,IF(AND(A30&lt;&gt;"13-930",A30&lt;&gt;"13-940"),(SUM(F30,H30,J30,L30,X30,T30,R30)*Valores!$C$4),0),0),2)</f>
        <v>67246.08</v>
      </c>
      <c r="N30" s="125">
        <f t="shared" si="1"/>
        <v>0</v>
      </c>
      <c r="O30" s="125">
        <f>Valores!$C$12</f>
        <v>123523.42</v>
      </c>
      <c r="P30" s="125">
        <f>Valores!$D$5</f>
        <v>27834.84</v>
      </c>
      <c r="Q30" s="125">
        <v>0</v>
      </c>
      <c r="R30" s="125">
        <f>IF($F$4="NO",Valores!$C$47,Valores!$C$47/2)</f>
        <v>29096.75</v>
      </c>
      <c r="S30" s="125">
        <f>Valores!$C$19</f>
        <v>25899.06</v>
      </c>
      <c r="T30" s="125">
        <f t="shared" si="7"/>
        <v>25899.06</v>
      </c>
      <c r="U30" s="125">
        <v>0</v>
      </c>
      <c r="V30" s="125">
        <v>0</v>
      </c>
      <c r="W30" s="192">
        <v>0</v>
      </c>
      <c r="X30" s="125">
        <f>ROUND(W30*Valores!$C$2,2)</f>
        <v>0</v>
      </c>
      <c r="Y30" s="125">
        <v>0</v>
      </c>
      <c r="Z30" s="125">
        <f>Valores!$C$96</f>
        <v>76227.32</v>
      </c>
      <c r="AA30" s="125">
        <f>Valores!$C$25</f>
        <v>1138.39</v>
      </c>
      <c r="AB30" s="214">
        <v>0</v>
      </c>
      <c r="AC30" s="125">
        <f t="shared" si="2"/>
        <v>0</v>
      </c>
      <c r="AD30" s="125">
        <f>Valores!$C$26</f>
        <v>1138.39</v>
      </c>
      <c r="AE30" s="192">
        <v>0</v>
      </c>
      <c r="AF30" s="125">
        <f>ROUND(AE30*Valores!$C$2,2)</f>
        <v>0</v>
      </c>
      <c r="AG30" s="125">
        <f>ROUND(IF($F$4="NO",Valores!$C$63,Valores!$C$63/2),2)</f>
        <v>13014.72</v>
      </c>
      <c r="AH30" s="125">
        <f t="shared" si="5"/>
        <v>579107.47</v>
      </c>
      <c r="AI30" s="125">
        <f>Valores!$C$31</f>
        <v>0</v>
      </c>
      <c r="AJ30" s="125">
        <f>Valores!$C$89</f>
        <v>0</v>
      </c>
      <c r="AK30" s="125">
        <f>Valores!C$38*B30</f>
        <v>0</v>
      </c>
      <c r="AL30" s="125">
        <f>IF($F$3="NO",0,Valores!$C$55)</f>
        <v>327.6</v>
      </c>
      <c r="AM30" s="125">
        <f t="shared" si="3"/>
        <v>327.6</v>
      </c>
      <c r="AN30" s="125">
        <f>AH30*Valores!$C$71</f>
        <v>-63701.8217</v>
      </c>
      <c r="AO30" s="125">
        <f>AH30*-Valores!$C$72</f>
        <v>0</v>
      </c>
      <c r="AP30" s="125">
        <f>AH30*Valores!$C$73</f>
        <v>-26059.83615</v>
      </c>
      <c r="AQ30" s="125">
        <f>Valores!$C$100</f>
        <v>-554.86</v>
      </c>
      <c r="AR30" s="125">
        <f>IF($F$5=0,Valores!$C$101,(Valores!$C$101+$F$5*(Valores!$C$101)))</f>
        <v>-852</v>
      </c>
      <c r="AS30" s="125">
        <f t="shared" si="6"/>
        <v>488266.55215</v>
      </c>
      <c r="AT30" s="125">
        <f t="shared" si="0"/>
        <v>-63701.8217</v>
      </c>
      <c r="AU30" s="125">
        <f>AH30*Valores!$C$74</f>
        <v>-15635.901689999999</v>
      </c>
      <c r="AV30" s="125">
        <f>AH30*Valores!$C$75</f>
        <v>-1737.32241</v>
      </c>
      <c r="AW30" s="125">
        <f t="shared" si="4"/>
        <v>498360.0242</v>
      </c>
      <c r="AX30" s="126"/>
      <c r="AY30" s="126">
        <v>45</v>
      </c>
      <c r="AZ30" s="123" t="s">
        <v>8</v>
      </c>
    </row>
    <row r="31" spans="1:52" s="110" customFormat="1" ht="11.25" customHeight="1">
      <c r="A31" s="123" t="s">
        <v>156</v>
      </c>
      <c r="B31" s="123">
        <v>1</v>
      </c>
      <c r="C31" s="126">
        <v>24</v>
      </c>
      <c r="D31" s="124" t="s">
        <v>157</v>
      </c>
      <c r="E31" s="192">
        <v>93</v>
      </c>
      <c r="F31" s="125">
        <f>ROUND(E31*Valores!$C$2,2)</f>
        <v>5063.85</v>
      </c>
      <c r="G31" s="192">
        <v>3630</v>
      </c>
      <c r="H31" s="125">
        <f>ROUND(G31*Valores!$C$2,2)</f>
        <v>197653.5</v>
      </c>
      <c r="I31" s="192">
        <v>1214</v>
      </c>
      <c r="J31" s="125">
        <f>ROUND(I31*Valores!$C$2,2)</f>
        <v>66102.3</v>
      </c>
      <c r="K31" s="192">
        <v>0</v>
      </c>
      <c r="L31" s="125">
        <f>ROUND(K31*Valores!$C$2,2)</f>
        <v>0</v>
      </c>
      <c r="M31" s="125">
        <f>ROUND(IF($H$2=0,IF(AND(A31&lt;&gt;"13-930",A31&lt;&gt;"13-940"),(SUM(F31,H31,J31,L31,X31,T31,R31)*Valores!$C$4),0),0),2)</f>
        <v>80953.87</v>
      </c>
      <c r="N31" s="125">
        <f t="shared" si="1"/>
        <v>0</v>
      </c>
      <c r="O31" s="125">
        <f>Valores!$C$12</f>
        <v>123523.42</v>
      </c>
      <c r="P31" s="125">
        <f>Valores!$D$5</f>
        <v>27834.84</v>
      </c>
      <c r="Q31" s="125">
        <v>0</v>
      </c>
      <c r="R31" s="125">
        <f>IF($F$4="NO",Valores!$C$47,Valores!$C$47/2)</f>
        <v>29096.75</v>
      </c>
      <c r="S31" s="125">
        <f>Valores!$C$19</f>
        <v>25899.06</v>
      </c>
      <c r="T31" s="125">
        <f t="shared" si="7"/>
        <v>25899.06</v>
      </c>
      <c r="U31" s="125">
        <v>0</v>
      </c>
      <c r="V31" s="125">
        <v>0</v>
      </c>
      <c r="W31" s="192">
        <v>0</v>
      </c>
      <c r="X31" s="125">
        <f>ROUND(W31*Valores!$C$2,2)</f>
        <v>0</v>
      </c>
      <c r="Y31" s="125">
        <v>0</v>
      </c>
      <c r="Z31" s="125">
        <f>Valores!$C$96</f>
        <v>76227.32</v>
      </c>
      <c r="AA31" s="125">
        <f>Valores!$C$25</f>
        <v>1138.39</v>
      </c>
      <c r="AB31" s="214">
        <v>0</v>
      </c>
      <c r="AC31" s="125">
        <f t="shared" si="2"/>
        <v>0</v>
      </c>
      <c r="AD31" s="125">
        <f>Valores!$C$26</f>
        <v>1138.39</v>
      </c>
      <c r="AE31" s="192">
        <v>0</v>
      </c>
      <c r="AF31" s="125">
        <f>ROUND(AE31*Valores!$C$2,2)</f>
        <v>0</v>
      </c>
      <c r="AG31" s="125">
        <f>ROUND(IF($F$4="NO",Valores!$C$63,Valores!$C$63/2),2)</f>
        <v>13014.72</v>
      </c>
      <c r="AH31" s="125">
        <f t="shared" si="5"/>
        <v>647646.4100000001</v>
      </c>
      <c r="AI31" s="125">
        <f>Valores!$C$31</f>
        <v>0</v>
      </c>
      <c r="AJ31" s="125">
        <f>Valores!$C$89</f>
        <v>0</v>
      </c>
      <c r="AK31" s="125">
        <f>Valores!C$38*B31</f>
        <v>0</v>
      </c>
      <c r="AL31" s="125">
        <f>IF($F$3="NO",0,Valores!$C$55)</f>
        <v>327.6</v>
      </c>
      <c r="AM31" s="125">
        <f t="shared" si="3"/>
        <v>327.6</v>
      </c>
      <c r="AN31" s="125">
        <f>AH31*Valores!$C$71</f>
        <v>-71241.10510000002</v>
      </c>
      <c r="AO31" s="125">
        <f>AH31*-Valores!$C$72</f>
        <v>0</v>
      </c>
      <c r="AP31" s="125">
        <f>AH31*Valores!$C$73</f>
        <v>-29144.088450000007</v>
      </c>
      <c r="AQ31" s="125">
        <f>Valores!$C$100</f>
        <v>-554.86</v>
      </c>
      <c r="AR31" s="125">
        <f>IF($F$5=0,Valores!$C$101,(Valores!$C$101+$F$5*(Valores!$C$101)))</f>
        <v>-852</v>
      </c>
      <c r="AS31" s="125">
        <f t="shared" si="6"/>
        <v>546181.9564500002</v>
      </c>
      <c r="AT31" s="125">
        <f t="shared" si="0"/>
        <v>-71241.10510000002</v>
      </c>
      <c r="AU31" s="125">
        <f>AH31*Valores!$C$74</f>
        <v>-17486.453070000003</v>
      </c>
      <c r="AV31" s="125">
        <f>AH31*Valores!$C$75</f>
        <v>-1942.9392300000004</v>
      </c>
      <c r="AW31" s="125">
        <f t="shared" si="4"/>
        <v>557303.5126000001</v>
      </c>
      <c r="AX31" s="126"/>
      <c r="AY31" s="126">
        <v>45</v>
      </c>
      <c r="AZ31" s="123" t="s">
        <v>4</v>
      </c>
    </row>
    <row r="32" spans="1:52" s="110" customFormat="1" ht="11.25" customHeight="1">
      <c r="A32" s="123" t="s">
        <v>158</v>
      </c>
      <c r="B32" s="123">
        <v>1</v>
      </c>
      <c r="C32" s="126">
        <v>25</v>
      </c>
      <c r="D32" s="124" t="s">
        <v>159</v>
      </c>
      <c r="E32" s="192">
        <v>96</v>
      </c>
      <c r="F32" s="125">
        <f>ROUND(E32*Valores!$C$2,2)</f>
        <v>5227.2</v>
      </c>
      <c r="G32" s="192">
        <v>3737</v>
      </c>
      <c r="H32" s="125">
        <f>ROUND(G32*Valores!$C$2,2)</f>
        <v>203479.65</v>
      </c>
      <c r="I32" s="192">
        <v>1220</v>
      </c>
      <c r="J32" s="125">
        <f>ROUND(I32*Valores!$C$2,2)</f>
        <v>66429</v>
      </c>
      <c r="K32" s="192">
        <v>0</v>
      </c>
      <c r="L32" s="125">
        <f>ROUND(K32*Valores!$C$2,2)</f>
        <v>0</v>
      </c>
      <c r="M32" s="125">
        <f>ROUND(IF($H$2=0,IF(AND(A32&lt;&gt;"13-930",A32&lt;&gt;"13-940"),(SUM(F32,H32,J32,L32,X32,T32,R32)*Valores!$C$4),0),0),2)</f>
        <v>82532.92</v>
      </c>
      <c r="N32" s="125">
        <f t="shared" si="1"/>
        <v>0</v>
      </c>
      <c r="O32" s="125">
        <f>Valores!$C$12</f>
        <v>123523.42</v>
      </c>
      <c r="P32" s="125">
        <f>Valores!$D$5</f>
        <v>27834.84</v>
      </c>
      <c r="Q32" s="125">
        <v>0</v>
      </c>
      <c r="R32" s="125">
        <f>IF($F$4="NO",Valores!$C$47,Valores!$C$47/2)</f>
        <v>29096.75</v>
      </c>
      <c r="S32" s="125">
        <f>Valores!$C$19</f>
        <v>25899.06</v>
      </c>
      <c r="T32" s="125">
        <f t="shared" si="7"/>
        <v>25899.06</v>
      </c>
      <c r="U32" s="125">
        <v>0</v>
      </c>
      <c r="V32" s="125">
        <v>0</v>
      </c>
      <c r="W32" s="192">
        <v>0</v>
      </c>
      <c r="X32" s="125">
        <f>ROUND(W32*Valores!$C$2,2)</f>
        <v>0</v>
      </c>
      <c r="Y32" s="125">
        <f>ROUND(SUM(J32,H32,F32,R32)*Valores!$C$3,2)</f>
        <v>45634.89</v>
      </c>
      <c r="Z32" s="125">
        <f>Valores!$C$96</f>
        <v>76227.32</v>
      </c>
      <c r="AA32" s="125">
        <f>Valores!$C$25</f>
        <v>1138.39</v>
      </c>
      <c r="AB32" s="214">
        <v>0</v>
      </c>
      <c r="AC32" s="125">
        <f t="shared" si="2"/>
        <v>0</v>
      </c>
      <c r="AD32" s="125">
        <f>Valores!$C$26</f>
        <v>1138.39</v>
      </c>
      <c r="AE32" s="192">
        <v>0</v>
      </c>
      <c r="AF32" s="125">
        <f>ROUND(AE32*Valores!$C$2,2)</f>
        <v>0</v>
      </c>
      <c r="AG32" s="125">
        <f>ROUND(IF($F$4="NO",Valores!$C$63,Valores!$C$63/2),2)</f>
        <v>13014.72</v>
      </c>
      <c r="AH32" s="125">
        <f t="shared" si="5"/>
        <v>701176.55</v>
      </c>
      <c r="AI32" s="125">
        <f>Valores!$C$31</f>
        <v>0</v>
      </c>
      <c r="AJ32" s="125">
        <f>Valores!$C$89</f>
        <v>0</v>
      </c>
      <c r="AK32" s="125">
        <f>Valores!C$38*B32</f>
        <v>0</v>
      </c>
      <c r="AL32" s="125">
        <f>IF($F$3="NO",0,Valores!$C$55)</f>
        <v>327.6</v>
      </c>
      <c r="AM32" s="125">
        <f t="shared" si="3"/>
        <v>327.6</v>
      </c>
      <c r="AN32" s="125">
        <f>AH32*Valores!$C$71</f>
        <v>-77129.42050000001</v>
      </c>
      <c r="AO32" s="125">
        <f>AH32*-Valores!$C$72</f>
        <v>0</v>
      </c>
      <c r="AP32" s="125">
        <f>AH32*Valores!$C$73</f>
        <v>-31552.944750000002</v>
      </c>
      <c r="AQ32" s="125">
        <f>Valores!$C$100</f>
        <v>-554.86</v>
      </c>
      <c r="AR32" s="125">
        <f>IF($F$5=0,Valores!$C$101,(Valores!$C$101+$F$5*(Valores!$C$101)))</f>
        <v>-852</v>
      </c>
      <c r="AS32" s="125">
        <f t="shared" si="6"/>
        <v>591414.92475</v>
      </c>
      <c r="AT32" s="125">
        <f t="shared" si="0"/>
        <v>-77129.42050000001</v>
      </c>
      <c r="AU32" s="125">
        <f>AH32*Valores!$C$74</f>
        <v>-18931.76685</v>
      </c>
      <c r="AV32" s="125">
        <f>AH32*Valores!$C$75</f>
        <v>-2103.5296500000004</v>
      </c>
      <c r="AW32" s="125">
        <f t="shared" si="4"/>
        <v>603339.433</v>
      </c>
      <c r="AX32" s="126"/>
      <c r="AY32" s="126">
        <v>45</v>
      </c>
      <c r="AZ32" s="123" t="s">
        <v>8</v>
      </c>
    </row>
    <row r="33" spans="1:52" s="110" customFormat="1" ht="11.25" customHeight="1">
      <c r="A33" s="123" t="s">
        <v>160</v>
      </c>
      <c r="B33" s="123">
        <v>1</v>
      </c>
      <c r="C33" s="126">
        <v>26</v>
      </c>
      <c r="D33" s="124" t="s">
        <v>161</v>
      </c>
      <c r="E33" s="192">
        <v>92</v>
      </c>
      <c r="F33" s="125">
        <f>ROUND(E33*Valores!$C$2,2)</f>
        <v>5009.4</v>
      </c>
      <c r="G33" s="192">
        <v>3483</v>
      </c>
      <c r="H33" s="125">
        <f>ROUND(G33*Valores!$C$2,2)</f>
        <v>189649.35</v>
      </c>
      <c r="I33" s="192">
        <v>1217</v>
      </c>
      <c r="J33" s="125">
        <f>ROUND(I33*Valores!$C$2,2)</f>
        <v>66265.65</v>
      </c>
      <c r="K33" s="192">
        <v>0</v>
      </c>
      <c r="L33" s="125">
        <f>ROUND(K33*Valores!$C$2,2)</f>
        <v>0</v>
      </c>
      <c r="M33" s="125">
        <f>ROUND(IF($H$2=0,IF(AND(A33&lt;&gt;"13-930",A33&lt;&gt;"13-940"),(SUM(F33,H33,J33,L33,X33,T33,R33)*Valores!$C$4),0),0),2)</f>
        <v>78980.05</v>
      </c>
      <c r="N33" s="125">
        <f t="shared" si="1"/>
        <v>0</v>
      </c>
      <c r="O33" s="125">
        <f>Valores!$C$12</f>
        <v>123523.42</v>
      </c>
      <c r="P33" s="125">
        <f>Valores!$D$5</f>
        <v>27834.84</v>
      </c>
      <c r="Q33" s="125">
        <v>0</v>
      </c>
      <c r="R33" s="125">
        <f>IF($F$4="NO",Valores!$C$47,Valores!$C$47/2)</f>
        <v>29096.75</v>
      </c>
      <c r="S33" s="125">
        <f>Valores!$C$19</f>
        <v>25899.06</v>
      </c>
      <c r="T33" s="125">
        <f t="shared" si="7"/>
        <v>25899.06</v>
      </c>
      <c r="U33" s="125">
        <v>0</v>
      </c>
      <c r="V33" s="125">
        <v>0</v>
      </c>
      <c r="W33" s="192">
        <v>0</v>
      </c>
      <c r="X33" s="125">
        <f>ROUND(W33*Valores!$C$2,2)</f>
        <v>0</v>
      </c>
      <c r="Y33" s="125">
        <v>0</v>
      </c>
      <c r="Z33" s="125">
        <f>Valores!$C$96</f>
        <v>76227.32</v>
      </c>
      <c r="AA33" s="125">
        <f>Valores!$C$25</f>
        <v>1138.39</v>
      </c>
      <c r="AB33" s="214">
        <v>0</v>
      </c>
      <c r="AC33" s="125">
        <f t="shared" si="2"/>
        <v>0</v>
      </c>
      <c r="AD33" s="125">
        <f>Valores!$C$26</f>
        <v>1138.39</v>
      </c>
      <c r="AE33" s="192">
        <v>0</v>
      </c>
      <c r="AF33" s="125">
        <f>ROUND(AE33*Valores!$C$2,2)</f>
        <v>0</v>
      </c>
      <c r="AG33" s="125">
        <f>ROUND(IF($F$4="NO",Valores!$C$63,Valores!$C$63/2),2)</f>
        <v>13014.72</v>
      </c>
      <c r="AH33" s="125">
        <f t="shared" si="5"/>
        <v>637777.3400000001</v>
      </c>
      <c r="AI33" s="125">
        <f>Valores!$C$31</f>
        <v>0</v>
      </c>
      <c r="AJ33" s="125">
        <f>Valores!$C$89</f>
        <v>0</v>
      </c>
      <c r="AK33" s="125">
        <f>Valores!C$38*B33</f>
        <v>0</v>
      </c>
      <c r="AL33" s="125">
        <f>IF($F$3="NO",0,Valores!$C$55)</f>
        <v>327.6</v>
      </c>
      <c r="AM33" s="125">
        <f t="shared" si="3"/>
        <v>327.6</v>
      </c>
      <c r="AN33" s="125">
        <f>AH33*Valores!$C$71</f>
        <v>-70155.50740000002</v>
      </c>
      <c r="AO33" s="125">
        <f>AH33*-Valores!$C$72</f>
        <v>0</v>
      </c>
      <c r="AP33" s="125">
        <f>AH33*Valores!$C$73</f>
        <v>-28699.980300000003</v>
      </c>
      <c r="AQ33" s="125">
        <f>Valores!$C$100</f>
        <v>-554.86</v>
      </c>
      <c r="AR33" s="125">
        <f>IF($F$5=0,Valores!$C$101,(Valores!$C$101+$F$5*(Valores!$C$101)))</f>
        <v>-852</v>
      </c>
      <c r="AS33" s="125">
        <f t="shared" si="6"/>
        <v>537842.5923</v>
      </c>
      <c r="AT33" s="125">
        <f t="shared" si="0"/>
        <v>-70155.50740000002</v>
      </c>
      <c r="AU33" s="125">
        <f>AH33*Valores!$C$74</f>
        <v>-17219.98818</v>
      </c>
      <c r="AV33" s="125">
        <f>AH33*Valores!$C$75</f>
        <v>-1913.3320200000003</v>
      </c>
      <c r="AW33" s="125">
        <f t="shared" si="4"/>
        <v>548816.1124</v>
      </c>
      <c r="AX33" s="126"/>
      <c r="AY33" s="126">
        <v>45</v>
      </c>
      <c r="AZ33" s="123" t="s">
        <v>4</v>
      </c>
    </row>
    <row r="34" spans="1:52" s="110" customFormat="1" ht="11.25" customHeight="1">
      <c r="A34" s="123" t="s">
        <v>162</v>
      </c>
      <c r="B34" s="123">
        <v>1</v>
      </c>
      <c r="C34" s="126">
        <v>27</v>
      </c>
      <c r="D34" s="124" t="s">
        <v>163</v>
      </c>
      <c r="E34" s="192">
        <v>85</v>
      </c>
      <c r="F34" s="125">
        <f>ROUND(E34*Valores!$C$2,2)</f>
        <v>4628.25</v>
      </c>
      <c r="G34" s="192">
        <v>3498</v>
      </c>
      <c r="H34" s="125">
        <f>ROUND(G34*Valores!$C$2,2)</f>
        <v>190466.1</v>
      </c>
      <c r="I34" s="192">
        <v>1209</v>
      </c>
      <c r="J34" s="125">
        <f>ROUND(I34*Valores!$C$2,2)</f>
        <v>65830.05</v>
      </c>
      <c r="K34" s="192">
        <v>0</v>
      </c>
      <c r="L34" s="125">
        <f>ROUND(K34*Valores!$C$2,2)</f>
        <v>0</v>
      </c>
      <c r="M34" s="125">
        <f>ROUND(IF($H$2=0,IF(AND(A34&lt;&gt;"13-930",A34&lt;&gt;"13-940"),(SUM(F34,H34,J34,L34,X34,T34,R34)*Valores!$C$4),0),0),2)</f>
        <v>78980.05</v>
      </c>
      <c r="N34" s="125">
        <f t="shared" si="1"/>
        <v>0</v>
      </c>
      <c r="O34" s="125">
        <f>Valores!$C$12</f>
        <v>123523.42</v>
      </c>
      <c r="P34" s="125">
        <f>Valores!$D$5</f>
        <v>27834.84</v>
      </c>
      <c r="Q34" s="125">
        <v>0</v>
      </c>
      <c r="R34" s="125">
        <f>IF($F$4="NO",Valores!$C$47,Valores!$C$47/2)</f>
        <v>29096.75</v>
      </c>
      <c r="S34" s="125">
        <f>Valores!$C$19</f>
        <v>25899.06</v>
      </c>
      <c r="T34" s="125">
        <f t="shared" si="7"/>
        <v>25899.06</v>
      </c>
      <c r="U34" s="125">
        <v>0</v>
      </c>
      <c r="V34" s="125">
        <v>0</v>
      </c>
      <c r="W34" s="192">
        <v>0</v>
      </c>
      <c r="X34" s="125">
        <f>ROUND(W34*Valores!$C$2,2)</f>
        <v>0</v>
      </c>
      <c r="Y34" s="125">
        <v>0</v>
      </c>
      <c r="Z34" s="125">
        <f>Valores!$C$96</f>
        <v>76227.32</v>
      </c>
      <c r="AA34" s="125">
        <f>Valores!$C$25</f>
        <v>1138.39</v>
      </c>
      <c r="AB34" s="214">
        <v>0</v>
      </c>
      <c r="AC34" s="125">
        <f t="shared" si="2"/>
        <v>0</v>
      </c>
      <c r="AD34" s="125">
        <f>Valores!$C$26</f>
        <v>1138.39</v>
      </c>
      <c r="AE34" s="192">
        <v>0</v>
      </c>
      <c r="AF34" s="125">
        <f>ROUND(AE34*Valores!$C$2,2)</f>
        <v>0</v>
      </c>
      <c r="AG34" s="125">
        <f>ROUND(IF($F$4="NO",Valores!$C$63,Valores!$C$63/2),2)</f>
        <v>13014.72</v>
      </c>
      <c r="AH34" s="125">
        <f t="shared" si="5"/>
        <v>637777.3400000001</v>
      </c>
      <c r="AI34" s="125">
        <f>Valores!$C$31</f>
        <v>0</v>
      </c>
      <c r="AJ34" s="125">
        <f>Valores!$C$89</f>
        <v>0</v>
      </c>
      <c r="AK34" s="125">
        <f>Valores!C$38*B34</f>
        <v>0</v>
      </c>
      <c r="AL34" s="125">
        <f>IF($F$3="NO",0,Valores!$C$55)</f>
        <v>327.6</v>
      </c>
      <c r="AM34" s="125">
        <f t="shared" si="3"/>
        <v>327.6</v>
      </c>
      <c r="AN34" s="125">
        <f>AH34*Valores!$C$71</f>
        <v>-70155.50740000002</v>
      </c>
      <c r="AO34" s="125">
        <f>AH34*-Valores!$C$72</f>
        <v>0</v>
      </c>
      <c r="AP34" s="125">
        <f>AH34*Valores!$C$73</f>
        <v>-28699.980300000003</v>
      </c>
      <c r="AQ34" s="125">
        <f>Valores!$C$100</f>
        <v>-554.86</v>
      </c>
      <c r="AR34" s="125">
        <f>IF($F$5=0,Valores!$C$101,(Valores!$C$101+$F$5*(Valores!$C$101)))</f>
        <v>-852</v>
      </c>
      <c r="AS34" s="125">
        <f t="shared" si="6"/>
        <v>537842.5923</v>
      </c>
      <c r="AT34" s="125">
        <f t="shared" si="0"/>
        <v>-70155.50740000002</v>
      </c>
      <c r="AU34" s="125">
        <f>AH34*Valores!$C$74</f>
        <v>-17219.98818</v>
      </c>
      <c r="AV34" s="125">
        <f>AH34*Valores!$C$75</f>
        <v>-1913.3320200000003</v>
      </c>
      <c r="AW34" s="125">
        <f t="shared" si="4"/>
        <v>548816.1124</v>
      </c>
      <c r="AX34" s="126"/>
      <c r="AY34" s="126">
        <v>45</v>
      </c>
      <c r="AZ34" s="123" t="s">
        <v>4</v>
      </c>
    </row>
    <row r="35" spans="1:52" s="110" customFormat="1" ht="11.25" customHeight="1">
      <c r="A35" s="123" t="s">
        <v>164</v>
      </c>
      <c r="B35" s="123">
        <v>1</v>
      </c>
      <c r="C35" s="126">
        <v>28</v>
      </c>
      <c r="D35" s="124" t="s">
        <v>165</v>
      </c>
      <c r="E35" s="192">
        <v>92</v>
      </c>
      <c r="F35" s="125">
        <f>ROUND(E35*Valores!$C$2,2)</f>
        <v>5009.4</v>
      </c>
      <c r="G35" s="192">
        <v>3483</v>
      </c>
      <c r="H35" s="125">
        <f>ROUND(G35*Valores!$C$2,2)</f>
        <v>189649.35</v>
      </c>
      <c r="I35" s="192">
        <v>1217</v>
      </c>
      <c r="J35" s="125">
        <f>ROUND(I35*Valores!$C$2,2)</f>
        <v>66265.65</v>
      </c>
      <c r="K35" s="192">
        <v>0</v>
      </c>
      <c r="L35" s="125">
        <f>ROUND(K35*Valores!$C$2,2)</f>
        <v>0</v>
      </c>
      <c r="M35" s="125">
        <f>ROUND(IF($H$2=0,IF(AND(A35&lt;&gt;"13-930",A35&lt;&gt;"13-940"),(SUM(F35,H35,J35,L35,X35,T35,R35)*Valores!$C$4),0),0),2)</f>
        <v>78980.05</v>
      </c>
      <c r="N35" s="125">
        <f t="shared" si="1"/>
        <v>0</v>
      </c>
      <c r="O35" s="125">
        <f>Valores!$C$12</f>
        <v>123523.42</v>
      </c>
      <c r="P35" s="125">
        <f>Valores!$D$5</f>
        <v>27834.84</v>
      </c>
      <c r="Q35" s="125">
        <v>0</v>
      </c>
      <c r="R35" s="125">
        <f>IF($F$4="NO",Valores!$C$47,Valores!$C$47/2)</f>
        <v>29096.75</v>
      </c>
      <c r="S35" s="125">
        <f>Valores!$C$19</f>
        <v>25899.06</v>
      </c>
      <c r="T35" s="125">
        <f t="shared" si="7"/>
        <v>25899.06</v>
      </c>
      <c r="U35" s="125">
        <v>0</v>
      </c>
      <c r="V35" s="125">
        <v>0</v>
      </c>
      <c r="W35" s="192">
        <v>0</v>
      </c>
      <c r="X35" s="125">
        <f>ROUND(W35*Valores!$C$2,2)</f>
        <v>0</v>
      </c>
      <c r="Y35" s="125">
        <v>0</v>
      </c>
      <c r="Z35" s="125">
        <f>Valores!$C$96</f>
        <v>76227.32</v>
      </c>
      <c r="AA35" s="125">
        <f>Valores!$C$25</f>
        <v>1138.39</v>
      </c>
      <c r="AB35" s="214">
        <v>0</v>
      </c>
      <c r="AC35" s="125">
        <f t="shared" si="2"/>
        <v>0</v>
      </c>
      <c r="AD35" s="125">
        <f>Valores!$C$26</f>
        <v>1138.39</v>
      </c>
      <c r="AE35" s="192">
        <v>0</v>
      </c>
      <c r="AF35" s="125">
        <f>ROUND(AE35*Valores!$C$2,2)</f>
        <v>0</v>
      </c>
      <c r="AG35" s="125">
        <f>ROUND(IF($F$4="NO",Valores!$C$63,Valores!$C$63/2),2)</f>
        <v>13014.72</v>
      </c>
      <c r="AH35" s="125">
        <f t="shared" si="5"/>
        <v>637777.3400000001</v>
      </c>
      <c r="AI35" s="125">
        <f>Valores!$C$31</f>
        <v>0</v>
      </c>
      <c r="AJ35" s="125">
        <f>Valores!$C$89</f>
        <v>0</v>
      </c>
      <c r="AK35" s="125">
        <f>Valores!C$38*B35</f>
        <v>0</v>
      </c>
      <c r="AL35" s="125">
        <f>IF($F$3="NO",0,Valores!$C$55)</f>
        <v>327.6</v>
      </c>
      <c r="AM35" s="125">
        <f t="shared" si="3"/>
        <v>327.6</v>
      </c>
      <c r="AN35" s="125">
        <f>AH35*Valores!$C$71</f>
        <v>-70155.50740000002</v>
      </c>
      <c r="AO35" s="125">
        <f>AH35*-Valores!$C$72</f>
        <v>0</v>
      </c>
      <c r="AP35" s="125">
        <f>AH35*Valores!$C$73</f>
        <v>-28699.980300000003</v>
      </c>
      <c r="AQ35" s="125">
        <f>Valores!$C$100</f>
        <v>-554.86</v>
      </c>
      <c r="AR35" s="125">
        <f>IF($F$5=0,Valores!$C$101,(Valores!$C$101+$F$5*(Valores!$C$101)))</f>
        <v>-852</v>
      </c>
      <c r="AS35" s="125">
        <f t="shared" si="6"/>
        <v>537842.5923</v>
      </c>
      <c r="AT35" s="125">
        <f t="shared" si="0"/>
        <v>-70155.50740000002</v>
      </c>
      <c r="AU35" s="125">
        <f>AH35*Valores!$C$74</f>
        <v>-17219.98818</v>
      </c>
      <c r="AV35" s="125">
        <f>AH35*Valores!$C$75</f>
        <v>-1913.3320200000003</v>
      </c>
      <c r="AW35" s="125">
        <f t="shared" si="4"/>
        <v>548816.1124</v>
      </c>
      <c r="AX35" s="126"/>
      <c r="AY35" s="126">
        <v>45</v>
      </c>
      <c r="AZ35" s="123" t="s">
        <v>4</v>
      </c>
    </row>
    <row r="36" spans="1:52" s="110" customFormat="1" ht="11.25" customHeight="1">
      <c r="A36" s="123" t="s">
        <v>166</v>
      </c>
      <c r="B36" s="123">
        <v>1</v>
      </c>
      <c r="C36" s="126">
        <v>29</v>
      </c>
      <c r="D36" s="124" t="s">
        <v>167</v>
      </c>
      <c r="E36" s="192">
        <v>85</v>
      </c>
      <c r="F36" s="125">
        <f>ROUND(E36*Valores!$C$2,2)</f>
        <v>4628.25</v>
      </c>
      <c r="G36" s="192">
        <v>3498</v>
      </c>
      <c r="H36" s="125">
        <f>ROUND(G36*Valores!$C$2,2)</f>
        <v>190466.1</v>
      </c>
      <c r="I36" s="192">
        <v>1209</v>
      </c>
      <c r="J36" s="125">
        <f>ROUND(I36*Valores!$C$2,2)</f>
        <v>65830.05</v>
      </c>
      <c r="K36" s="192">
        <v>0</v>
      </c>
      <c r="L36" s="125">
        <f>ROUND(K36*Valores!$C$2,2)</f>
        <v>0</v>
      </c>
      <c r="M36" s="125">
        <f>ROUND(IF($H$2=0,IF(AND(A36&lt;&gt;"13-930",A36&lt;&gt;"13-940"),(SUM(F36,H36,J36,L36,X36,T36,R36)*Valores!$C$4),0),0),2)</f>
        <v>78980.05</v>
      </c>
      <c r="N36" s="125">
        <f t="shared" si="1"/>
        <v>0</v>
      </c>
      <c r="O36" s="125">
        <f>Valores!$C$12</f>
        <v>123523.42</v>
      </c>
      <c r="P36" s="125">
        <f>Valores!$D$5</f>
        <v>27834.84</v>
      </c>
      <c r="Q36" s="125">
        <v>0</v>
      </c>
      <c r="R36" s="125">
        <f>IF($F$4="NO",Valores!$C$47,Valores!$C$47/2)</f>
        <v>29096.75</v>
      </c>
      <c r="S36" s="125">
        <f>Valores!$C$19</f>
        <v>25899.06</v>
      </c>
      <c r="T36" s="125">
        <f t="shared" si="7"/>
        <v>25899.06</v>
      </c>
      <c r="U36" s="125">
        <v>0</v>
      </c>
      <c r="V36" s="125">
        <v>0</v>
      </c>
      <c r="W36" s="192">
        <v>0</v>
      </c>
      <c r="X36" s="125">
        <f>ROUND(W36*Valores!$C$2,2)</f>
        <v>0</v>
      </c>
      <c r="Y36" s="125">
        <v>0</v>
      </c>
      <c r="Z36" s="125">
        <f>Valores!$C$96</f>
        <v>76227.32</v>
      </c>
      <c r="AA36" s="125">
        <f>Valores!$C$25</f>
        <v>1138.39</v>
      </c>
      <c r="AB36" s="214">
        <v>0</v>
      </c>
      <c r="AC36" s="125">
        <f t="shared" si="2"/>
        <v>0</v>
      </c>
      <c r="AD36" s="125">
        <f>Valores!$C$26</f>
        <v>1138.39</v>
      </c>
      <c r="AE36" s="192">
        <v>0</v>
      </c>
      <c r="AF36" s="125">
        <f>ROUND(AE36*Valores!$C$2,2)</f>
        <v>0</v>
      </c>
      <c r="AG36" s="125">
        <f>ROUND(IF($F$4="NO",Valores!$C$63,Valores!$C$63/2),2)</f>
        <v>13014.72</v>
      </c>
      <c r="AH36" s="125">
        <f t="shared" si="5"/>
        <v>637777.3400000001</v>
      </c>
      <c r="AI36" s="125">
        <f>Valores!$C$31</f>
        <v>0</v>
      </c>
      <c r="AJ36" s="125">
        <f>Valores!$C$89</f>
        <v>0</v>
      </c>
      <c r="AK36" s="125">
        <f>Valores!C$38*B36</f>
        <v>0</v>
      </c>
      <c r="AL36" s="125">
        <f>IF($F$3="NO",0,Valores!$C$55)</f>
        <v>327.6</v>
      </c>
      <c r="AM36" s="125">
        <f t="shared" si="3"/>
        <v>327.6</v>
      </c>
      <c r="AN36" s="125">
        <f>AH36*Valores!$C$71</f>
        <v>-70155.50740000002</v>
      </c>
      <c r="AO36" s="125">
        <f>AH36*-Valores!$C$72</f>
        <v>0</v>
      </c>
      <c r="AP36" s="125">
        <f>AH36*Valores!$C$73</f>
        <v>-28699.980300000003</v>
      </c>
      <c r="AQ36" s="125">
        <f>Valores!$C$100</f>
        <v>-554.86</v>
      </c>
      <c r="AR36" s="125">
        <f>IF($F$5=0,Valores!$C$101,(Valores!$C$101+$F$5*(Valores!$C$101)))</f>
        <v>-852</v>
      </c>
      <c r="AS36" s="125">
        <f t="shared" si="6"/>
        <v>537842.5923</v>
      </c>
      <c r="AT36" s="125">
        <f t="shared" si="0"/>
        <v>-70155.50740000002</v>
      </c>
      <c r="AU36" s="125">
        <f>AH36*Valores!$C$74</f>
        <v>-17219.98818</v>
      </c>
      <c r="AV36" s="125">
        <f>AH36*Valores!$C$75</f>
        <v>-1913.3320200000003</v>
      </c>
      <c r="AW36" s="125">
        <f t="shared" si="4"/>
        <v>548816.1124</v>
      </c>
      <c r="AX36" s="126"/>
      <c r="AY36" s="126">
        <v>45</v>
      </c>
      <c r="AZ36" s="123" t="s">
        <v>8</v>
      </c>
    </row>
    <row r="37" spans="1:52" s="110" customFormat="1" ht="11.25" customHeight="1">
      <c r="A37" s="123" t="s">
        <v>168</v>
      </c>
      <c r="B37" s="123">
        <v>1</v>
      </c>
      <c r="C37" s="126">
        <v>30</v>
      </c>
      <c r="D37" s="124" t="s">
        <v>169</v>
      </c>
      <c r="E37" s="192">
        <v>92</v>
      </c>
      <c r="F37" s="125">
        <f>ROUND(E37*Valores!$C$2,2)</f>
        <v>5009.4</v>
      </c>
      <c r="G37" s="192">
        <v>3483</v>
      </c>
      <c r="H37" s="125">
        <f>ROUND(G37*Valores!$C$2,2)</f>
        <v>189649.35</v>
      </c>
      <c r="I37" s="192">
        <v>1217</v>
      </c>
      <c r="J37" s="125">
        <f>ROUND(I37*Valores!$C$2,2)</f>
        <v>66265.65</v>
      </c>
      <c r="K37" s="192">
        <v>0</v>
      </c>
      <c r="L37" s="125">
        <f>ROUND(K37*Valores!$C$2,2)</f>
        <v>0</v>
      </c>
      <c r="M37" s="125">
        <f>ROUND(IF($H$2=0,IF(AND(A37&lt;&gt;"13-930",A37&lt;&gt;"13-940"),(SUM(F37,H37,J37,L37,X37,T37,R37)*Valores!$C$4),0),0),2)</f>
        <v>78980.05</v>
      </c>
      <c r="N37" s="125">
        <f t="shared" si="1"/>
        <v>0</v>
      </c>
      <c r="O37" s="125">
        <f>Valores!$C$12</f>
        <v>123523.42</v>
      </c>
      <c r="P37" s="125">
        <f>Valores!$D$5</f>
        <v>27834.84</v>
      </c>
      <c r="Q37" s="125">
        <v>0</v>
      </c>
      <c r="R37" s="125">
        <f>IF($F$4="NO",Valores!$C$47,Valores!$C$47/2)</f>
        <v>29096.75</v>
      </c>
      <c r="S37" s="125">
        <f>Valores!$C$19</f>
        <v>25899.06</v>
      </c>
      <c r="T37" s="125">
        <f t="shared" si="7"/>
        <v>25899.06</v>
      </c>
      <c r="U37" s="125">
        <v>0</v>
      </c>
      <c r="V37" s="125">
        <v>0</v>
      </c>
      <c r="W37" s="192">
        <v>0</v>
      </c>
      <c r="X37" s="125">
        <f>ROUND(W37*Valores!$C$2,2)</f>
        <v>0</v>
      </c>
      <c r="Y37" s="125">
        <f>ROUND(SUM(J37,H37,F37,R37)*Valores!$C$3,2)</f>
        <v>43503.17</v>
      </c>
      <c r="Z37" s="125">
        <f>Valores!$C$96</f>
        <v>76227.32</v>
      </c>
      <c r="AA37" s="125">
        <f>Valores!$C$25</f>
        <v>1138.39</v>
      </c>
      <c r="AB37" s="214">
        <v>0</v>
      </c>
      <c r="AC37" s="125">
        <f t="shared" si="2"/>
        <v>0</v>
      </c>
      <c r="AD37" s="125">
        <f>Valores!$C$26</f>
        <v>1138.39</v>
      </c>
      <c r="AE37" s="192">
        <v>0</v>
      </c>
      <c r="AF37" s="125">
        <f>ROUND(AE37*Valores!$C$2,2)</f>
        <v>0</v>
      </c>
      <c r="AG37" s="125">
        <f>ROUND(IF($F$4="NO",Valores!$C$63,Valores!$C$63/2),2)</f>
        <v>13014.72</v>
      </c>
      <c r="AH37" s="125">
        <f t="shared" si="5"/>
        <v>681280.51</v>
      </c>
      <c r="AI37" s="125">
        <f>Valores!$C$31</f>
        <v>0</v>
      </c>
      <c r="AJ37" s="125">
        <f>Valores!$C$89</f>
        <v>0</v>
      </c>
      <c r="AK37" s="125">
        <f>Valores!C$38*B37</f>
        <v>0</v>
      </c>
      <c r="AL37" s="125">
        <f>IF($F$3="NO",0,Valores!$C$55)</f>
        <v>327.6</v>
      </c>
      <c r="AM37" s="125">
        <f t="shared" si="3"/>
        <v>327.6</v>
      </c>
      <c r="AN37" s="125">
        <f>AH37*Valores!$C$71</f>
        <v>-74940.8561</v>
      </c>
      <c r="AO37" s="125">
        <f>AH37*-Valores!$C$72</f>
        <v>0</v>
      </c>
      <c r="AP37" s="125">
        <f>AH37*Valores!$C$73</f>
        <v>-30657.62295</v>
      </c>
      <c r="AQ37" s="125">
        <f>Valores!$C$100</f>
        <v>-554.86</v>
      </c>
      <c r="AR37" s="125">
        <f>IF($F$5=0,Valores!$C$101,(Valores!$C$101+$F$5*(Valores!$C$101)))</f>
        <v>-852</v>
      </c>
      <c r="AS37" s="125">
        <f t="shared" si="6"/>
        <v>574602.77095</v>
      </c>
      <c r="AT37" s="125">
        <f t="shared" si="0"/>
        <v>-74940.8561</v>
      </c>
      <c r="AU37" s="125">
        <f>AH37*Valores!$C$74</f>
        <v>-18394.57377</v>
      </c>
      <c r="AV37" s="125">
        <f>AH37*Valores!$C$75</f>
        <v>-2043.8415300000001</v>
      </c>
      <c r="AW37" s="125">
        <f t="shared" si="4"/>
        <v>586228.8386</v>
      </c>
      <c r="AX37" s="126"/>
      <c r="AY37" s="126">
        <v>45</v>
      </c>
      <c r="AZ37" s="123" t="s">
        <v>8</v>
      </c>
    </row>
    <row r="38" spans="1:52" s="110" customFormat="1" ht="11.25" customHeight="1">
      <c r="A38" s="123" t="s">
        <v>170</v>
      </c>
      <c r="B38" s="123">
        <v>1</v>
      </c>
      <c r="C38" s="126">
        <v>31</v>
      </c>
      <c r="D38" s="124" t="s">
        <v>171</v>
      </c>
      <c r="E38" s="192">
        <v>85</v>
      </c>
      <c r="F38" s="125">
        <f>ROUND(E38*Valores!$C$2,2)</f>
        <v>4628.25</v>
      </c>
      <c r="G38" s="192">
        <v>3498</v>
      </c>
      <c r="H38" s="125">
        <f>ROUND(G38*Valores!$C$2,2)</f>
        <v>190466.1</v>
      </c>
      <c r="I38" s="192">
        <v>202</v>
      </c>
      <c r="J38" s="125">
        <f>ROUND(I38*Valores!$C$2,2)</f>
        <v>10998.9</v>
      </c>
      <c r="K38" s="192">
        <v>0</v>
      </c>
      <c r="L38" s="125">
        <f>ROUND(K38*Valores!$C$2,2)</f>
        <v>0</v>
      </c>
      <c r="M38" s="125">
        <f>ROUND(IF($H$2=0,IF(AND(A38&lt;&gt;"13-930",A38&lt;&gt;"13-940"),(SUM(F38,H38,J38,L38,X38,T38,R38)*Valores!$C$4),0),0),2)</f>
        <v>65272.27</v>
      </c>
      <c r="N38" s="125">
        <f t="shared" si="1"/>
        <v>0</v>
      </c>
      <c r="O38" s="125">
        <f>Valores!$C$12</f>
        <v>123523.42</v>
      </c>
      <c r="P38" s="125">
        <f>Valores!$D$5</f>
        <v>27834.84</v>
      </c>
      <c r="Q38" s="125">
        <v>0</v>
      </c>
      <c r="R38" s="125">
        <f>IF($F$4="NO",Valores!$C$47,Valores!$C$47/2)</f>
        <v>29096.75</v>
      </c>
      <c r="S38" s="125">
        <f>Valores!$C$19</f>
        <v>25899.06</v>
      </c>
      <c r="T38" s="125">
        <f t="shared" si="7"/>
        <v>25899.06</v>
      </c>
      <c r="U38" s="125">
        <v>0</v>
      </c>
      <c r="V38" s="125">
        <v>0</v>
      </c>
      <c r="W38" s="192">
        <v>0</v>
      </c>
      <c r="X38" s="125">
        <f>ROUND(W38*Valores!$C$2,2)</f>
        <v>0</v>
      </c>
      <c r="Y38" s="125">
        <v>0</v>
      </c>
      <c r="Z38" s="125">
        <f>Valores!$C$96</f>
        <v>76227.32</v>
      </c>
      <c r="AA38" s="125">
        <f>Valores!$C$25</f>
        <v>1138.39</v>
      </c>
      <c r="AB38" s="214">
        <v>0</v>
      </c>
      <c r="AC38" s="125">
        <f t="shared" si="2"/>
        <v>0</v>
      </c>
      <c r="AD38" s="125">
        <f>Valores!$C$26</f>
        <v>1138.39</v>
      </c>
      <c r="AE38" s="192">
        <v>0</v>
      </c>
      <c r="AF38" s="125">
        <f>ROUND(AE38*Valores!$C$2,2)</f>
        <v>0</v>
      </c>
      <c r="AG38" s="125">
        <f>ROUND(IF($F$4="NO",Valores!$C$63,Valores!$C$63/2),2)</f>
        <v>13014.72</v>
      </c>
      <c r="AH38" s="125">
        <f t="shared" si="5"/>
        <v>569238.41</v>
      </c>
      <c r="AI38" s="125">
        <f>Valores!$C$31</f>
        <v>0</v>
      </c>
      <c r="AJ38" s="125">
        <f>Valores!$C$89</f>
        <v>0</v>
      </c>
      <c r="AK38" s="125">
        <f>Valores!C$38*B38</f>
        <v>0</v>
      </c>
      <c r="AL38" s="125">
        <f>IF($F$3="NO",0,Valores!$C$55)</f>
        <v>327.6</v>
      </c>
      <c r="AM38" s="125">
        <f t="shared" si="3"/>
        <v>327.6</v>
      </c>
      <c r="AN38" s="125">
        <f>AH38*Valores!$C$71</f>
        <v>-62616.2251</v>
      </c>
      <c r="AO38" s="125">
        <f>AH38*-Valores!$C$72</f>
        <v>0</v>
      </c>
      <c r="AP38" s="125">
        <f>AH38*Valores!$C$73</f>
        <v>-25615.72845</v>
      </c>
      <c r="AQ38" s="125">
        <f>Valores!$C$100</f>
        <v>-554.86</v>
      </c>
      <c r="AR38" s="125">
        <f>IF($F$5=0,Valores!$C$101,(Valores!$C$101+$F$5*(Valores!$C$101)))</f>
        <v>-852</v>
      </c>
      <c r="AS38" s="125">
        <f t="shared" si="6"/>
        <v>479927.19645000005</v>
      </c>
      <c r="AT38" s="125">
        <f t="shared" si="0"/>
        <v>-62616.2251</v>
      </c>
      <c r="AU38" s="125">
        <f>AH38*Valores!$C$74</f>
        <v>-15369.43707</v>
      </c>
      <c r="AV38" s="125">
        <f>AH38*Valores!$C$75</f>
        <v>-1707.7152300000002</v>
      </c>
      <c r="AW38" s="125">
        <f t="shared" si="4"/>
        <v>489872.6326</v>
      </c>
      <c r="AX38" s="126"/>
      <c r="AY38" s="126">
        <v>45</v>
      </c>
      <c r="AZ38" s="123" t="s">
        <v>8</v>
      </c>
    </row>
    <row r="39" spans="1:52" s="110" customFormat="1" ht="11.25" customHeight="1">
      <c r="A39" s="123" t="s">
        <v>172</v>
      </c>
      <c r="B39" s="123">
        <v>1</v>
      </c>
      <c r="C39" s="126">
        <v>32</v>
      </c>
      <c r="D39" s="124" t="s">
        <v>173</v>
      </c>
      <c r="E39" s="192">
        <v>85</v>
      </c>
      <c r="F39" s="125">
        <f>ROUND(E39*Valores!$C$2,2)</f>
        <v>4628.25</v>
      </c>
      <c r="G39" s="192">
        <v>3498</v>
      </c>
      <c r="H39" s="125">
        <f>ROUND(G39*Valores!$C$2,2)</f>
        <v>190466.1</v>
      </c>
      <c r="I39" s="192">
        <v>1209</v>
      </c>
      <c r="J39" s="125">
        <f>ROUND(I39*Valores!$C$2,2)</f>
        <v>65830.05</v>
      </c>
      <c r="K39" s="192">
        <v>0</v>
      </c>
      <c r="L39" s="125">
        <f>ROUND(K39*Valores!$C$2,2)</f>
        <v>0</v>
      </c>
      <c r="M39" s="125">
        <f>ROUND(IF($H$2=0,IF(AND(A39&lt;&gt;"13-930",A39&lt;&gt;"13-940"),(SUM(F39,H39,J39,L39,X39,T39,R39)*Valores!$C$4),0),0),2)</f>
        <v>78980.05</v>
      </c>
      <c r="N39" s="125">
        <f t="shared" si="1"/>
        <v>0</v>
      </c>
      <c r="O39" s="125">
        <f>Valores!$C$12</f>
        <v>123523.42</v>
      </c>
      <c r="P39" s="125">
        <f>Valores!$D$5</f>
        <v>27834.84</v>
      </c>
      <c r="Q39" s="125">
        <v>0</v>
      </c>
      <c r="R39" s="125">
        <f>IF($F$4="NO",Valores!$C$47,Valores!$C$47/2)</f>
        <v>29096.75</v>
      </c>
      <c r="S39" s="125">
        <f>Valores!$C$19</f>
        <v>25899.06</v>
      </c>
      <c r="T39" s="125">
        <f t="shared" si="7"/>
        <v>25899.06</v>
      </c>
      <c r="U39" s="125">
        <v>0</v>
      </c>
      <c r="V39" s="125">
        <v>0</v>
      </c>
      <c r="W39" s="192">
        <v>0</v>
      </c>
      <c r="X39" s="125">
        <f>ROUND(W39*Valores!$C$2,2)</f>
        <v>0</v>
      </c>
      <c r="Y39" s="125">
        <v>0</v>
      </c>
      <c r="Z39" s="125">
        <f>Valores!$C$96</f>
        <v>76227.32</v>
      </c>
      <c r="AA39" s="125">
        <f>Valores!$C$25</f>
        <v>1138.39</v>
      </c>
      <c r="AB39" s="214">
        <v>0</v>
      </c>
      <c r="AC39" s="125">
        <f t="shared" si="2"/>
        <v>0</v>
      </c>
      <c r="AD39" s="125">
        <f>Valores!$C$26</f>
        <v>1138.39</v>
      </c>
      <c r="AE39" s="192">
        <v>0</v>
      </c>
      <c r="AF39" s="125">
        <f>ROUND(AE39*Valores!$C$2,2)</f>
        <v>0</v>
      </c>
      <c r="AG39" s="125">
        <f>ROUND(IF($F$4="NO",Valores!$C$63,Valores!$C$63/2),2)</f>
        <v>13014.72</v>
      </c>
      <c r="AH39" s="125">
        <f t="shared" si="5"/>
        <v>637777.3400000001</v>
      </c>
      <c r="AI39" s="125">
        <f>Valores!$C$31</f>
        <v>0</v>
      </c>
      <c r="AJ39" s="125">
        <f>Valores!$C$89</f>
        <v>0</v>
      </c>
      <c r="AK39" s="125">
        <f>Valores!C$38*B39</f>
        <v>0</v>
      </c>
      <c r="AL39" s="125">
        <f>IF($F$3="NO",0,Valores!$C$55)</f>
        <v>327.6</v>
      </c>
      <c r="AM39" s="125">
        <f t="shared" si="3"/>
        <v>327.6</v>
      </c>
      <c r="AN39" s="125">
        <f>AH39*Valores!$C$71</f>
        <v>-70155.50740000002</v>
      </c>
      <c r="AO39" s="125">
        <f>AH39*-Valores!$C$72</f>
        <v>0</v>
      </c>
      <c r="AP39" s="125">
        <f>AH39*Valores!$C$73</f>
        <v>-28699.980300000003</v>
      </c>
      <c r="AQ39" s="125">
        <f>Valores!$C$100</f>
        <v>-554.86</v>
      </c>
      <c r="AR39" s="125">
        <f>IF($F$5=0,Valores!$C$101,(Valores!$C$101+$F$5*(Valores!$C$101)))</f>
        <v>-852</v>
      </c>
      <c r="AS39" s="125">
        <f t="shared" si="6"/>
        <v>537842.5923</v>
      </c>
      <c r="AT39" s="125">
        <f t="shared" si="0"/>
        <v>-70155.50740000002</v>
      </c>
      <c r="AU39" s="125">
        <f>AH39*Valores!$C$74</f>
        <v>-17219.98818</v>
      </c>
      <c r="AV39" s="125">
        <f>AH39*Valores!$C$75</f>
        <v>-1913.3320200000003</v>
      </c>
      <c r="AW39" s="125">
        <f t="shared" si="4"/>
        <v>548816.1124</v>
      </c>
      <c r="AX39" s="126"/>
      <c r="AY39" s="126">
        <v>45</v>
      </c>
      <c r="AZ39" s="123" t="s">
        <v>4</v>
      </c>
    </row>
    <row r="40" spans="1:52" s="110" customFormat="1" ht="11.25" customHeight="1">
      <c r="A40" s="123" t="s">
        <v>174</v>
      </c>
      <c r="B40" s="123">
        <v>1</v>
      </c>
      <c r="C40" s="126">
        <v>33</v>
      </c>
      <c r="D40" s="124" t="s">
        <v>175</v>
      </c>
      <c r="E40" s="192">
        <v>85</v>
      </c>
      <c r="F40" s="125">
        <f>ROUND(E40*Valores!$C$2,2)</f>
        <v>4628.25</v>
      </c>
      <c r="G40" s="192">
        <v>3498</v>
      </c>
      <c r="H40" s="125">
        <f>ROUND(G40*Valores!$C$2,2)</f>
        <v>190466.1</v>
      </c>
      <c r="I40" s="192">
        <v>1209</v>
      </c>
      <c r="J40" s="125">
        <f>ROUND(I40*Valores!$C$2,2)</f>
        <v>65830.05</v>
      </c>
      <c r="K40" s="192">
        <v>0</v>
      </c>
      <c r="L40" s="125">
        <f>ROUND(K40*Valores!$C$2,2)</f>
        <v>0</v>
      </c>
      <c r="M40" s="125">
        <f>ROUND(IF($H$2=0,IF(AND(A40&lt;&gt;"13-930",A40&lt;&gt;"13-940"),(SUM(F40,H40,J40,L40,X40,T40,R40)*Valores!$C$4),0),0),2)</f>
        <v>78980.05</v>
      </c>
      <c r="N40" s="125">
        <f t="shared" si="1"/>
        <v>0</v>
      </c>
      <c r="O40" s="125">
        <f>Valores!$C$12</f>
        <v>123523.42</v>
      </c>
      <c r="P40" s="125">
        <f>Valores!$D$5</f>
        <v>27834.84</v>
      </c>
      <c r="Q40" s="125">
        <v>0</v>
      </c>
      <c r="R40" s="125">
        <f>IF($F$4="NO",Valores!$C$47,Valores!$C$47/2)</f>
        <v>29096.75</v>
      </c>
      <c r="S40" s="125">
        <f>Valores!$C$19</f>
        <v>25899.06</v>
      </c>
      <c r="T40" s="125">
        <f t="shared" si="7"/>
        <v>25899.06</v>
      </c>
      <c r="U40" s="125">
        <v>0</v>
      </c>
      <c r="V40" s="125">
        <v>0</v>
      </c>
      <c r="W40" s="192">
        <v>0</v>
      </c>
      <c r="X40" s="125">
        <f>ROUND(W40*Valores!$C$2,2)</f>
        <v>0</v>
      </c>
      <c r="Y40" s="125">
        <v>0</v>
      </c>
      <c r="Z40" s="125">
        <f>Valores!$C$96</f>
        <v>76227.32</v>
      </c>
      <c r="AA40" s="125">
        <f>Valores!$C$25</f>
        <v>1138.39</v>
      </c>
      <c r="AB40" s="214">
        <v>0</v>
      </c>
      <c r="AC40" s="125">
        <f t="shared" si="2"/>
        <v>0</v>
      </c>
      <c r="AD40" s="125">
        <f>Valores!$C$26</f>
        <v>1138.39</v>
      </c>
      <c r="AE40" s="192">
        <v>0</v>
      </c>
      <c r="AF40" s="125">
        <f>ROUND(AE40*Valores!$C$2,2)</f>
        <v>0</v>
      </c>
      <c r="AG40" s="125">
        <f>ROUND(IF($F$4="NO",Valores!$C$63,Valores!$C$63/2),2)</f>
        <v>13014.72</v>
      </c>
      <c r="AH40" s="125">
        <f t="shared" si="5"/>
        <v>637777.3400000001</v>
      </c>
      <c r="AI40" s="125">
        <f>Valores!$C$31</f>
        <v>0</v>
      </c>
      <c r="AJ40" s="125">
        <f>Valores!$C$89</f>
        <v>0</v>
      </c>
      <c r="AK40" s="125">
        <f>Valores!C$38*B40</f>
        <v>0</v>
      </c>
      <c r="AL40" s="125">
        <f>IF($F$3="NO",0,Valores!$C$55)</f>
        <v>327.6</v>
      </c>
      <c r="AM40" s="125">
        <f t="shared" si="3"/>
        <v>327.6</v>
      </c>
      <c r="AN40" s="125">
        <f>AH40*Valores!$C$71</f>
        <v>-70155.50740000002</v>
      </c>
      <c r="AO40" s="125">
        <f>AH40*-Valores!$C$72</f>
        <v>0</v>
      </c>
      <c r="AP40" s="125">
        <f>AH40*Valores!$C$73</f>
        <v>-28699.980300000003</v>
      </c>
      <c r="AQ40" s="125">
        <f>Valores!$C$100</f>
        <v>-554.86</v>
      </c>
      <c r="AR40" s="125">
        <f>IF($F$5=0,Valores!$C$101,(Valores!$C$101+$F$5*(Valores!$C$101)))</f>
        <v>-852</v>
      </c>
      <c r="AS40" s="125">
        <f t="shared" si="6"/>
        <v>537842.5923</v>
      </c>
      <c r="AT40" s="125">
        <f t="shared" si="0"/>
        <v>-70155.50740000002</v>
      </c>
      <c r="AU40" s="125">
        <f>AH40*Valores!$C$74</f>
        <v>-17219.98818</v>
      </c>
      <c r="AV40" s="125">
        <f>AH40*Valores!$C$75</f>
        <v>-1913.3320200000003</v>
      </c>
      <c r="AW40" s="125">
        <f t="shared" si="4"/>
        <v>548816.1124</v>
      </c>
      <c r="AX40" s="126"/>
      <c r="AY40" s="126">
        <v>45</v>
      </c>
      <c r="AZ40" s="123" t="s">
        <v>8</v>
      </c>
    </row>
    <row r="41" spans="1:52" s="110" customFormat="1" ht="11.25" customHeight="1">
      <c r="A41" s="123" t="s">
        <v>176</v>
      </c>
      <c r="B41" s="123">
        <v>1</v>
      </c>
      <c r="C41" s="126">
        <v>34</v>
      </c>
      <c r="D41" s="124" t="s">
        <v>177</v>
      </c>
      <c r="E41" s="192">
        <v>101</v>
      </c>
      <c r="F41" s="125">
        <f>ROUND(E41*Valores!$C$2,2)</f>
        <v>5499.45</v>
      </c>
      <c r="G41" s="192">
        <v>2548</v>
      </c>
      <c r="H41" s="125">
        <f>ROUND(G41*Valores!$C$2,2)</f>
        <v>138738.6</v>
      </c>
      <c r="I41" s="192">
        <v>216</v>
      </c>
      <c r="J41" s="125">
        <f>ROUND(I41*Valores!$C$2,2)</f>
        <v>11761.2</v>
      </c>
      <c r="K41" s="192">
        <v>0</v>
      </c>
      <c r="L41" s="125">
        <f>ROUND(K41*Valores!$C$2,2)</f>
        <v>0</v>
      </c>
      <c r="M41" s="125">
        <f>ROUND(IF($H$2=0,IF(AND(A41&lt;&gt;"13-930",A41&lt;&gt;"13-940"),(SUM(F41,H41,J41,L41,X41,T41,R41)*Valores!$C$4),0),0),2)</f>
        <v>51397.55</v>
      </c>
      <c r="N41" s="125">
        <f t="shared" si="1"/>
        <v>0</v>
      </c>
      <c r="O41" s="125">
        <f>Valores!$C$9</f>
        <v>68418.57</v>
      </c>
      <c r="P41" s="125">
        <f>Valores!$D$5</f>
        <v>27834.84</v>
      </c>
      <c r="Q41" s="125">
        <v>0</v>
      </c>
      <c r="R41" s="125">
        <f>IF($F$4="NO",Valores!$C$46,Valores!$C$46/2)</f>
        <v>23691.88</v>
      </c>
      <c r="S41" s="125">
        <f>Valores!$C$19</f>
        <v>25899.06</v>
      </c>
      <c r="T41" s="125">
        <f t="shared" si="7"/>
        <v>25899.06</v>
      </c>
      <c r="U41" s="125">
        <v>0</v>
      </c>
      <c r="V41" s="125">
        <v>0</v>
      </c>
      <c r="W41" s="192">
        <v>0</v>
      </c>
      <c r="X41" s="125">
        <f>ROUND(W41*Valores!$C$2,2)</f>
        <v>0</v>
      </c>
      <c r="Y41" s="125">
        <v>0</v>
      </c>
      <c r="Z41" s="125">
        <f>Valores!$C$94</f>
        <v>38113.67</v>
      </c>
      <c r="AA41" s="125">
        <f>Valores!$C$25</f>
        <v>1138.39</v>
      </c>
      <c r="AB41" s="214">
        <v>0</v>
      </c>
      <c r="AC41" s="125">
        <f t="shared" si="2"/>
        <v>0</v>
      </c>
      <c r="AD41" s="125">
        <f>Valores!$C$26</f>
        <v>1138.39</v>
      </c>
      <c r="AE41" s="192">
        <v>0</v>
      </c>
      <c r="AF41" s="125">
        <f>ROUND(AE41*Valores!$C$2,2)</f>
        <v>0</v>
      </c>
      <c r="AG41" s="125">
        <f>ROUND(IF($F$4="NO",Valores!$C$63,Valores!$C$63/2),2)</f>
        <v>13014.72</v>
      </c>
      <c r="AH41" s="125">
        <f t="shared" si="5"/>
        <v>406646.32000000007</v>
      </c>
      <c r="AI41" s="125">
        <f>Valores!$C$31</f>
        <v>0</v>
      </c>
      <c r="AJ41" s="125">
        <f>Valores!$C$87</f>
        <v>0</v>
      </c>
      <c r="AK41" s="125">
        <f>Valores!C$38*B41</f>
        <v>0</v>
      </c>
      <c r="AL41" s="125">
        <f>IF($F$3="NO",0,Valores!$C$55)</f>
        <v>327.6</v>
      </c>
      <c r="AM41" s="125">
        <f t="shared" si="3"/>
        <v>327.6</v>
      </c>
      <c r="AN41" s="125">
        <f>AH41*Valores!$C$71</f>
        <v>-44731.09520000001</v>
      </c>
      <c r="AO41" s="125">
        <f>AH41*-Valores!$C$72</f>
        <v>0</v>
      </c>
      <c r="AP41" s="125">
        <f>AH41*Valores!$C$73</f>
        <v>-18299.084400000003</v>
      </c>
      <c r="AQ41" s="125">
        <f>Valores!$C$100</f>
        <v>-554.86</v>
      </c>
      <c r="AR41" s="125">
        <f>IF($F$5=0,Valores!$C$101,(Valores!$C$101+$F$5*(Valores!$C$101)))</f>
        <v>-852</v>
      </c>
      <c r="AS41" s="125">
        <f t="shared" si="6"/>
        <v>342536.8804</v>
      </c>
      <c r="AT41" s="125">
        <f t="shared" si="0"/>
        <v>-44731.09520000001</v>
      </c>
      <c r="AU41" s="125">
        <f>AH41*Valores!$C$74</f>
        <v>-10979.450640000001</v>
      </c>
      <c r="AV41" s="125">
        <f>AH41*Valores!$C$75</f>
        <v>-1219.9389600000002</v>
      </c>
      <c r="AW41" s="125">
        <f t="shared" si="4"/>
        <v>350043.4352</v>
      </c>
      <c r="AX41" s="126"/>
      <c r="AY41" s="126">
        <v>45</v>
      </c>
      <c r="AZ41" s="123" t="s">
        <v>8</v>
      </c>
    </row>
    <row r="42" spans="1:52" s="110" customFormat="1" ht="11.25" customHeight="1">
      <c r="A42" s="123" t="s">
        <v>178</v>
      </c>
      <c r="B42" s="123">
        <v>1</v>
      </c>
      <c r="C42" s="126">
        <v>35</v>
      </c>
      <c r="D42" s="124" t="s">
        <v>177</v>
      </c>
      <c r="E42" s="192">
        <v>101</v>
      </c>
      <c r="F42" s="125">
        <f>ROUND(E42*Valores!$C$2,2)</f>
        <v>5499.45</v>
      </c>
      <c r="G42" s="192">
        <v>2548</v>
      </c>
      <c r="H42" s="125">
        <f>ROUND(G42*Valores!$C$2,2)</f>
        <v>138738.6</v>
      </c>
      <c r="I42" s="192">
        <v>216</v>
      </c>
      <c r="J42" s="125">
        <f>ROUND(I42*Valores!$C$2,2)</f>
        <v>11761.2</v>
      </c>
      <c r="K42" s="192">
        <v>0</v>
      </c>
      <c r="L42" s="125">
        <f>ROUND(K42*Valores!$C$2,2)</f>
        <v>0</v>
      </c>
      <c r="M42" s="125">
        <f>ROUND(IF($H$2=0,IF(AND(A42&lt;&gt;"13-930",A42&lt;&gt;"13-940"),(SUM(F42,H42,J42,L42,X42,T42,R42)*Valores!$C$4),0),0),2)</f>
        <v>51397.55</v>
      </c>
      <c r="N42" s="125">
        <f t="shared" si="1"/>
        <v>0</v>
      </c>
      <c r="O42" s="125">
        <f>Valores!$C$9</f>
        <v>68418.57</v>
      </c>
      <c r="P42" s="125">
        <f>Valores!$D$5</f>
        <v>27834.84</v>
      </c>
      <c r="Q42" s="125">
        <v>0</v>
      </c>
      <c r="R42" s="125">
        <f>IF($F$4="NO",Valores!$C$46,Valores!$C$46/2)</f>
        <v>23691.88</v>
      </c>
      <c r="S42" s="125">
        <f>Valores!$C$19</f>
        <v>25899.06</v>
      </c>
      <c r="T42" s="125">
        <f t="shared" si="7"/>
        <v>25899.06</v>
      </c>
      <c r="U42" s="125">
        <v>0</v>
      </c>
      <c r="V42" s="125">
        <v>0</v>
      </c>
      <c r="W42" s="192">
        <v>0</v>
      </c>
      <c r="X42" s="125">
        <f>ROUND(W42*Valores!$C$2,2)</f>
        <v>0</v>
      </c>
      <c r="Y42" s="125">
        <v>0</v>
      </c>
      <c r="Z42" s="125">
        <f>Valores!$C$94</f>
        <v>38113.67</v>
      </c>
      <c r="AA42" s="125">
        <f>Valores!$C$25</f>
        <v>1138.39</v>
      </c>
      <c r="AB42" s="214">
        <v>0</v>
      </c>
      <c r="AC42" s="125">
        <f t="shared" si="2"/>
        <v>0</v>
      </c>
      <c r="AD42" s="125">
        <f>Valores!$C$26</f>
        <v>1138.39</v>
      </c>
      <c r="AE42" s="192">
        <v>0</v>
      </c>
      <c r="AF42" s="125">
        <f>ROUND(AE42*Valores!$C$2,2)</f>
        <v>0</v>
      </c>
      <c r="AG42" s="125">
        <f>ROUND(IF($F$4="NO",Valores!$C$63,Valores!$C$63/2),2)</f>
        <v>13014.72</v>
      </c>
      <c r="AH42" s="125">
        <f t="shared" si="5"/>
        <v>406646.32000000007</v>
      </c>
      <c r="AI42" s="125">
        <f>Valores!$C$31</f>
        <v>0</v>
      </c>
      <c r="AJ42" s="125">
        <f>Valores!$C$87</f>
        <v>0</v>
      </c>
      <c r="AK42" s="125">
        <f>Valores!C$38*B42</f>
        <v>0</v>
      </c>
      <c r="AL42" s="125">
        <f>IF($F$3="NO",0,Valores!$C$55)</f>
        <v>327.6</v>
      </c>
      <c r="AM42" s="125">
        <f t="shared" si="3"/>
        <v>327.6</v>
      </c>
      <c r="AN42" s="125">
        <f>AH42*Valores!$C$71</f>
        <v>-44731.09520000001</v>
      </c>
      <c r="AO42" s="125">
        <f>AH42*-Valores!$C$72</f>
        <v>0</v>
      </c>
      <c r="AP42" s="125">
        <f>AH42*Valores!$C$73</f>
        <v>-18299.084400000003</v>
      </c>
      <c r="AQ42" s="125">
        <f>Valores!$C$100</f>
        <v>-554.86</v>
      </c>
      <c r="AR42" s="125">
        <f>IF($F$5=0,Valores!$C$101,(Valores!$C$101+$F$5*(Valores!$C$101)))</f>
        <v>-852</v>
      </c>
      <c r="AS42" s="125">
        <f t="shared" si="6"/>
        <v>342536.8804</v>
      </c>
      <c r="AT42" s="125">
        <f t="shared" si="0"/>
        <v>-44731.09520000001</v>
      </c>
      <c r="AU42" s="125">
        <f>AH42*Valores!$C$74</f>
        <v>-10979.450640000001</v>
      </c>
      <c r="AV42" s="125">
        <f>AH42*Valores!$C$75</f>
        <v>-1219.9389600000002</v>
      </c>
      <c r="AW42" s="125">
        <f t="shared" si="4"/>
        <v>350043.4352</v>
      </c>
      <c r="AX42" s="126"/>
      <c r="AY42" s="126">
        <v>45</v>
      </c>
      <c r="AZ42" s="123" t="s">
        <v>8</v>
      </c>
    </row>
    <row r="43" spans="1:52" s="110" customFormat="1" ht="11.25" customHeight="1">
      <c r="A43" s="123" t="s">
        <v>179</v>
      </c>
      <c r="B43" s="123">
        <v>1</v>
      </c>
      <c r="C43" s="126">
        <v>36</v>
      </c>
      <c r="D43" s="124" t="s">
        <v>180</v>
      </c>
      <c r="E43" s="192">
        <v>96</v>
      </c>
      <c r="F43" s="125">
        <f>ROUND(E43*Valores!$C$2,2)</f>
        <v>5227.2</v>
      </c>
      <c r="G43" s="192">
        <v>2475</v>
      </c>
      <c r="H43" s="125">
        <f>ROUND(G43*Valores!$C$2,2)</f>
        <v>134763.75</v>
      </c>
      <c r="I43" s="192">
        <v>213</v>
      </c>
      <c r="J43" s="125">
        <f>ROUND(I43*Valores!$C$2,2)</f>
        <v>11597.85</v>
      </c>
      <c r="K43" s="192">
        <v>0</v>
      </c>
      <c r="L43" s="125">
        <f>ROUND(K43*Valores!$C$2,2)</f>
        <v>0</v>
      </c>
      <c r="M43" s="125">
        <f>ROUND(IF($H$2=0,IF(AND(A43&lt;&gt;"13-930",A43&lt;&gt;"13-940"),(SUM(F43,H43,J43,L43,X43,T43,R43)*Valores!$C$4),0),0),2)</f>
        <v>49205.8</v>
      </c>
      <c r="N43" s="125">
        <f t="shared" si="1"/>
        <v>0</v>
      </c>
      <c r="O43" s="125">
        <f>Valores!$C$9</f>
        <v>68418.57</v>
      </c>
      <c r="P43" s="125">
        <f>Valores!$D$5</f>
        <v>27834.84</v>
      </c>
      <c r="Q43" s="125">
        <v>0</v>
      </c>
      <c r="R43" s="125">
        <f>IF($F$4="NO",Valores!$C$44,Valores!$C$44/2)</f>
        <v>19335.33</v>
      </c>
      <c r="S43" s="125">
        <f>Valores!$C$19</f>
        <v>25899.06</v>
      </c>
      <c r="T43" s="125">
        <f t="shared" si="7"/>
        <v>25899.06</v>
      </c>
      <c r="U43" s="125">
        <v>0</v>
      </c>
      <c r="V43" s="125">
        <v>0</v>
      </c>
      <c r="W43" s="192">
        <v>0</v>
      </c>
      <c r="X43" s="125">
        <f>ROUND(W43*Valores!$C$2,2)</f>
        <v>0</v>
      </c>
      <c r="Y43" s="125">
        <v>0</v>
      </c>
      <c r="Z43" s="125">
        <f>Valores!$C$94</f>
        <v>38113.67</v>
      </c>
      <c r="AA43" s="125">
        <f>Valores!$C$25</f>
        <v>1138.39</v>
      </c>
      <c r="AB43" s="214">
        <v>0</v>
      </c>
      <c r="AC43" s="125">
        <f t="shared" si="2"/>
        <v>0</v>
      </c>
      <c r="AD43" s="125">
        <f>Valores!$C$26</f>
        <v>1138.39</v>
      </c>
      <c r="AE43" s="192">
        <v>0</v>
      </c>
      <c r="AF43" s="125">
        <f>ROUND(AE43*Valores!$C$2,2)</f>
        <v>0</v>
      </c>
      <c r="AG43" s="125">
        <f>ROUND(IF($F$4="NO",Valores!$C$63,Valores!$C$63/2),2)</f>
        <v>13014.72</v>
      </c>
      <c r="AH43" s="125">
        <f t="shared" si="5"/>
        <v>395687.57000000007</v>
      </c>
      <c r="AI43" s="125">
        <f>Valores!$C$31</f>
        <v>0</v>
      </c>
      <c r="AJ43" s="125">
        <f>Valores!$C$87</f>
        <v>0</v>
      </c>
      <c r="AK43" s="125">
        <f>Valores!C$38*B43</f>
        <v>0</v>
      </c>
      <c r="AL43" s="125">
        <f>IF($F$3="NO",0,Valores!$C$56)</f>
        <v>170.34</v>
      </c>
      <c r="AM43" s="125">
        <f t="shared" si="3"/>
        <v>170.34</v>
      </c>
      <c r="AN43" s="125">
        <f>AH43*Valores!$C$71</f>
        <v>-43525.63270000001</v>
      </c>
      <c r="AO43" s="125">
        <f>AH43*-Valores!$C$72</f>
        <v>0</v>
      </c>
      <c r="AP43" s="125">
        <f>AH43*Valores!$C$73</f>
        <v>-17805.94065</v>
      </c>
      <c r="AQ43" s="125">
        <f>Valores!$C$100</f>
        <v>-554.86</v>
      </c>
      <c r="AR43" s="125">
        <f>IF($F$5=0,Valores!$C$101,(Valores!$C$101+$F$5*(Valores!$C$101)))</f>
        <v>-852</v>
      </c>
      <c r="AS43" s="125">
        <f t="shared" si="6"/>
        <v>333119.4766500001</v>
      </c>
      <c r="AT43" s="125">
        <f t="shared" si="0"/>
        <v>-43525.63270000001</v>
      </c>
      <c r="AU43" s="125">
        <f>AH43*Valores!$C$74</f>
        <v>-10683.564390000001</v>
      </c>
      <c r="AV43" s="125">
        <f>AH43*Valores!$C$75</f>
        <v>-1187.0627100000002</v>
      </c>
      <c r="AW43" s="125">
        <f t="shared" si="4"/>
        <v>340461.6502000001</v>
      </c>
      <c r="AX43" s="126"/>
      <c r="AY43" s="126">
        <v>45</v>
      </c>
      <c r="AZ43" s="123" t="s">
        <v>4</v>
      </c>
    </row>
    <row r="44" spans="1:52" s="110" customFormat="1" ht="11.25" customHeight="1">
      <c r="A44" s="123" t="s">
        <v>181</v>
      </c>
      <c r="B44" s="123">
        <v>1</v>
      </c>
      <c r="C44" s="126">
        <v>37</v>
      </c>
      <c r="D44" s="124" t="s">
        <v>182</v>
      </c>
      <c r="E44" s="192">
        <v>72</v>
      </c>
      <c r="F44" s="125">
        <f>ROUND(E44*Valores!$C$2,2)</f>
        <v>3920.4</v>
      </c>
      <c r="G44" s="192">
        <v>2471</v>
      </c>
      <c r="H44" s="125">
        <f>ROUND(G44*Valores!$C$2,2)</f>
        <v>134545.95</v>
      </c>
      <c r="I44" s="192">
        <v>199</v>
      </c>
      <c r="J44" s="125">
        <f>ROUND(I44*Valores!$C$2,2)</f>
        <v>10835.55</v>
      </c>
      <c r="K44" s="192">
        <v>0</v>
      </c>
      <c r="L44" s="125">
        <f>ROUND(K44*Valores!$C$2,2)</f>
        <v>0</v>
      </c>
      <c r="M44" s="125">
        <f>ROUND(IF($H$2=0,IF(AND(A44&lt;&gt;"13-930",A44&lt;&gt;"13-940"),(SUM(F44,H44,J44,L44,X44,T44,R44)*Valores!$C$4),0),0),2)</f>
        <v>48634.07</v>
      </c>
      <c r="N44" s="125">
        <f t="shared" si="1"/>
        <v>0</v>
      </c>
      <c r="O44" s="125">
        <f>Valores!$C$9</f>
        <v>68418.57</v>
      </c>
      <c r="P44" s="125">
        <f>Valores!$D$5</f>
        <v>27834.84</v>
      </c>
      <c r="Q44" s="125">
        <v>0</v>
      </c>
      <c r="R44" s="125">
        <f>IF($F$4="NO",Valores!$C$44,Valores!$C$44/2)</f>
        <v>19335.33</v>
      </c>
      <c r="S44" s="125">
        <f>Valores!$C$19</f>
        <v>25899.06</v>
      </c>
      <c r="T44" s="125">
        <f t="shared" si="7"/>
        <v>25899.06</v>
      </c>
      <c r="U44" s="125">
        <v>0</v>
      </c>
      <c r="V44" s="125">
        <v>0</v>
      </c>
      <c r="W44" s="192">
        <v>0</v>
      </c>
      <c r="X44" s="125">
        <f>ROUND(W44*Valores!$C$2,2)</f>
        <v>0</v>
      </c>
      <c r="Y44" s="125">
        <v>0</v>
      </c>
      <c r="Z44" s="125">
        <f>Valores!$C$94</f>
        <v>38113.67</v>
      </c>
      <c r="AA44" s="125">
        <f>Valores!$C$25</f>
        <v>1138.39</v>
      </c>
      <c r="AB44" s="214">
        <v>0</v>
      </c>
      <c r="AC44" s="125">
        <f t="shared" si="2"/>
        <v>0</v>
      </c>
      <c r="AD44" s="125">
        <f>Valores!$C$26</f>
        <v>1138.39</v>
      </c>
      <c r="AE44" s="192">
        <v>0</v>
      </c>
      <c r="AF44" s="125">
        <f>ROUND(AE44*Valores!$C$2,2)</f>
        <v>0</v>
      </c>
      <c r="AG44" s="125">
        <f>ROUND(IF($F$4="NO",Valores!$C$63,Valores!$C$63/2),2)</f>
        <v>13014.72</v>
      </c>
      <c r="AH44" s="125">
        <f t="shared" si="5"/>
        <v>392828.94000000006</v>
      </c>
      <c r="AI44" s="125">
        <f>Valores!$C$31</f>
        <v>0</v>
      </c>
      <c r="AJ44" s="125">
        <f>Valores!$C$87</f>
        <v>0</v>
      </c>
      <c r="AK44" s="125">
        <f>Valores!C$38*B44</f>
        <v>0</v>
      </c>
      <c r="AL44" s="125">
        <f>IF($F$3="NO",0,Valores!$C$56)</f>
        <v>170.34</v>
      </c>
      <c r="AM44" s="125">
        <f t="shared" si="3"/>
        <v>170.34</v>
      </c>
      <c r="AN44" s="125">
        <f>AH44*Valores!$C$71</f>
        <v>-43211.18340000001</v>
      </c>
      <c r="AO44" s="125">
        <f>AH44*-Valores!$C$72</f>
        <v>0</v>
      </c>
      <c r="AP44" s="125">
        <f>AH44*Valores!$C$73</f>
        <v>-17677.302300000003</v>
      </c>
      <c r="AQ44" s="125">
        <f>Valores!$C$100</f>
        <v>-554.86</v>
      </c>
      <c r="AR44" s="125">
        <f>IF($F$5=0,Valores!$C$101,(Valores!$C$101+$F$5*(Valores!$C$101)))</f>
        <v>-852</v>
      </c>
      <c r="AS44" s="125">
        <f t="shared" si="6"/>
        <v>330703.9343</v>
      </c>
      <c r="AT44" s="125">
        <f t="shared" si="0"/>
        <v>-43211.18340000001</v>
      </c>
      <c r="AU44" s="125">
        <f>AH44*Valores!$C$74</f>
        <v>-10606.38138</v>
      </c>
      <c r="AV44" s="125">
        <f>AH44*Valores!$C$75</f>
        <v>-1178.4868200000003</v>
      </c>
      <c r="AW44" s="125">
        <f t="shared" si="4"/>
        <v>338003.2284000001</v>
      </c>
      <c r="AX44" s="126"/>
      <c r="AY44" s="126">
        <v>45</v>
      </c>
      <c r="AZ44" s="123" t="s">
        <v>4</v>
      </c>
    </row>
    <row r="45" spans="1:52" s="110" customFormat="1" ht="11.25" customHeight="1">
      <c r="A45" s="123" t="s">
        <v>183</v>
      </c>
      <c r="B45" s="123">
        <v>1</v>
      </c>
      <c r="C45" s="126">
        <v>38</v>
      </c>
      <c r="D45" s="124" t="s">
        <v>184</v>
      </c>
      <c r="E45" s="192">
        <f>E39</f>
        <v>85</v>
      </c>
      <c r="F45" s="125">
        <f>ROUND(E45*Valores!$C$2,2)</f>
        <v>4628.25</v>
      </c>
      <c r="G45" s="192">
        <f>G39</f>
        <v>3498</v>
      </c>
      <c r="H45" s="125">
        <f>ROUND(G45*Valores!$C$2,2)</f>
        <v>190466.1</v>
      </c>
      <c r="I45" s="192">
        <f>I39</f>
        <v>1209</v>
      </c>
      <c r="J45" s="125">
        <f>ROUND(I45*Valores!$C$2,2)</f>
        <v>65830.05</v>
      </c>
      <c r="K45" s="192">
        <v>0</v>
      </c>
      <c r="L45" s="125">
        <f>ROUND(K45*Valores!$C$2,2)</f>
        <v>0</v>
      </c>
      <c r="M45" s="125">
        <f>ROUND(IF($H$2=0,IF(AND(A45&lt;&gt;"13-930",A45&lt;&gt;"13-940"),(SUM(F45,H45,J45,L45,X45,T45,R45)*Valores!$C$4),0),0),2)</f>
        <v>77628.84</v>
      </c>
      <c r="N45" s="125">
        <f t="shared" si="1"/>
        <v>0</v>
      </c>
      <c r="O45" s="125">
        <f>O39</f>
        <v>123523.42</v>
      </c>
      <c r="P45" s="125">
        <f>Valores!$D$5</f>
        <v>27834.84</v>
      </c>
      <c r="Q45" s="125">
        <v>0</v>
      </c>
      <c r="R45" s="125">
        <f>IF($F$4="NO",Valores!$C$46,Valores!$C$46/2)</f>
        <v>23691.88</v>
      </c>
      <c r="S45" s="125">
        <f>S39</f>
        <v>25899.06</v>
      </c>
      <c r="T45" s="125">
        <f t="shared" si="7"/>
        <v>25899.06</v>
      </c>
      <c r="U45" s="125">
        <v>0</v>
      </c>
      <c r="V45" s="125">
        <v>0</v>
      </c>
      <c r="W45" s="192">
        <v>0</v>
      </c>
      <c r="X45" s="125">
        <f>ROUND(W45*Valores!$C$2,2)</f>
        <v>0</v>
      </c>
      <c r="Y45" s="125">
        <v>0</v>
      </c>
      <c r="Z45" s="125">
        <f>Z39</f>
        <v>76227.32</v>
      </c>
      <c r="AA45" s="125">
        <f>Valores!$C$25</f>
        <v>1138.39</v>
      </c>
      <c r="AB45" s="214">
        <v>0</v>
      </c>
      <c r="AC45" s="125">
        <f t="shared" si="2"/>
        <v>0</v>
      </c>
      <c r="AD45" s="125">
        <f>Valores!$C$26</f>
        <v>1138.39</v>
      </c>
      <c r="AE45" s="192">
        <v>0</v>
      </c>
      <c r="AF45" s="125">
        <f>ROUND(AE45*Valores!$C$2,2)</f>
        <v>0</v>
      </c>
      <c r="AG45" s="125">
        <f>ROUND(IF($F$4="NO",Valores!$C$63,Valores!$C$63/2),2)</f>
        <v>13014.72</v>
      </c>
      <c r="AH45" s="125">
        <f t="shared" si="5"/>
        <v>631021.26</v>
      </c>
      <c r="AI45" s="125">
        <f>Valores!$C$31</f>
        <v>0</v>
      </c>
      <c r="AJ45" s="125">
        <f>AJ39</f>
        <v>0</v>
      </c>
      <c r="AK45" s="125">
        <f>Valores!C$38*B45</f>
        <v>0</v>
      </c>
      <c r="AL45" s="125">
        <f>IF($F$3="NO",0,Valores!$C$55)</f>
        <v>327.6</v>
      </c>
      <c r="AM45" s="125">
        <f t="shared" si="3"/>
        <v>327.6</v>
      </c>
      <c r="AN45" s="125">
        <f>AH45*Valores!$C$71</f>
        <v>-69412.3386</v>
      </c>
      <c r="AO45" s="125">
        <f>AH45*-Valores!$C$72</f>
        <v>0</v>
      </c>
      <c r="AP45" s="125">
        <f>AH45*Valores!$C$73</f>
        <v>-28395.9567</v>
      </c>
      <c r="AQ45" s="125">
        <f>Valores!$C$100</f>
        <v>-554.86</v>
      </c>
      <c r="AR45" s="125">
        <f>IF($F$5=0,Valores!$C$101,(Valores!$C$101+$F$5*(Valores!$C$101)))</f>
        <v>-852</v>
      </c>
      <c r="AS45" s="125">
        <f t="shared" si="6"/>
        <v>532133.7047</v>
      </c>
      <c r="AT45" s="125">
        <f t="shared" si="0"/>
        <v>-69412.3386</v>
      </c>
      <c r="AU45" s="125">
        <f>AH45*Valores!$C$74</f>
        <v>-17037.57402</v>
      </c>
      <c r="AV45" s="125">
        <f>AH45*Valores!$C$75</f>
        <v>-1893.0637800000002</v>
      </c>
      <c r="AW45" s="125">
        <f t="shared" si="4"/>
        <v>543005.8836</v>
      </c>
      <c r="AX45" s="126"/>
      <c r="AY45" s="126">
        <v>45</v>
      </c>
      <c r="AZ45" s="123" t="s">
        <v>8</v>
      </c>
    </row>
    <row r="46" spans="1:52" s="110" customFormat="1" ht="11.25" customHeight="1">
      <c r="A46" s="123" t="s">
        <v>185</v>
      </c>
      <c r="B46" s="123">
        <v>1</v>
      </c>
      <c r="C46" s="126">
        <v>39</v>
      </c>
      <c r="D46" s="124" t="s">
        <v>186</v>
      </c>
      <c r="E46" s="192">
        <f>E88+E304</f>
        <v>518</v>
      </c>
      <c r="F46" s="125">
        <f>ROUND(E46*Valores!$C$2,2)</f>
        <v>28205.1</v>
      </c>
      <c r="G46" s="192">
        <f>G88+G304</f>
        <v>1997</v>
      </c>
      <c r="H46" s="125">
        <f>ROUND(G46*Valores!$C$2,2)</f>
        <v>108736.65</v>
      </c>
      <c r="I46" s="192">
        <v>0</v>
      </c>
      <c r="J46" s="125">
        <f>ROUND(I46*Valores!$C$2,2)</f>
        <v>0</v>
      </c>
      <c r="K46" s="192">
        <v>0</v>
      </c>
      <c r="L46" s="125">
        <f>ROUND(K46*Valores!$C$2,2)</f>
        <v>0</v>
      </c>
      <c r="M46" s="125">
        <f>ROUND(IF($H$2=0,IF(AND(A46&lt;&gt;"13-930",A46&lt;&gt;"13-940"),(SUM(F46,H46,J46,L46,X46,T46,R46)*Valores!$C$4),0),0),2)</f>
        <v>46759.79</v>
      </c>
      <c r="N46" s="125">
        <f t="shared" si="1"/>
        <v>0</v>
      </c>
      <c r="O46" s="125">
        <f>O88+O304</f>
        <v>78671.09</v>
      </c>
      <c r="P46" s="125">
        <f>Valores!$D$5</f>
        <v>27834.84</v>
      </c>
      <c r="Q46" s="125">
        <f>Q88+Q304</f>
        <v>24831.49</v>
      </c>
      <c r="R46" s="125">
        <f>R88+R304</f>
        <v>24198.33</v>
      </c>
      <c r="S46" s="125">
        <f>S88+S304</f>
        <v>25899.06</v>
      </c>
      <c r="T46" s="125">
        <f t="shared" si="7"/>
        <v>25899.06</v>
      </c>
      <c r="U46" s="125">
        <v>0</v>
      </c>
      <c r="V46" s="125">
        <v>0</v>
      </c>
      <c r="W46" s="192">
        <v>0</v>
      </c>
      <c r="X46" s="125">
        <f>ROUND(W46*Valores!$C$2,2)</f>
        <v>0</v>
      </c>
      <c r="Y46" s="125">
        <v>0</v>
      </c>
      <c r="Z46" s="125">
        <f>Z88+Z304</f>
        <v>38113.67</v>
      </c>
      <c r="AA46" s="125">
        <f>Valores!$C$25</f>
        <v>1138.39</v>
      </c>
      <c r="AB46" s="214">
        <v>0</v>
      </c>
      <c r="AC46" s="125">
        <f t="shared" si="2"/>
        <v>0</v>
      </c>
      <c r="AD46" s="125">
        <f>Valores!$C$26</f>
        <v>1138.39</v>
      </c>
      <c r="AE46" s="192">
        <v>0</v>
      </c>
      <c r="AF46" s="125">
        <f>ROUND(AE46*Valores!$C$2,2)</f>
        <v>0</v>
      </c>
      <c r="AG46" s="125">
        <f>ROUND(IF($F$4="NO",Valores!$C$63,Valores!$C$63/2),2)</f>
        <v>13014.72</v>
      </c>
      <c r="AH46" s="125">
        <f t="shared" si="5"/>
        <v>418541.52</v>
      </c>
      <c r="AI46" s="125">
        <f>Valores!$C$31</f>
        <v>0</v>
      </c>
      <c r="AJ46" s="125">
        <f>AJ88+AJ304</f>
        <v>0</v>
      </c>
      <c r="AK46" s="125">
        <f>Valores!C$38*B46</f>
        <v>0</v>
      </c>
      <c r="AL46" s="125">
        <f>IF($F$3="NO",0,Valores!$C$56)</f>
        <v>170.34</v>
      </c>
      <c r="AM46" s="125">
        <f t="shared" si="3"/>
        <v>170.34</v>
      </c>
      <c r="AN46" s="125">
        <f>AH46*Valores!$C$71</f>
        <v>-46039.567200000005</v>
      </c>
      <c r="AO46" s="125">
        <f>AH46*-Valores!$C$72</f>
        <v>0</v>
      </c>
      <c r="AP46" s="125">
        <f>AH46*Valores!$C$73</f>
        <v>-18834.3684</v>
      </c>
      <c r="AQ46" s="125">
        <f>Valores!$C$100</f>
        <v>-554.86</v>
      </c>
      <c r="AR46" s="125">
        <f>IF($F$5=0,Valores!$C$101,(Valores!$C$101+$F$5*(Valores!$C$101)))</f>
        <v>-852</v>
      </c>
      <c r="AS46" s="125">
        <f t="shared" si="6"/>
        <v>352431.06440000003</v>
      </c>
      <c r="AT46" s="125">
        <f t="shared" si="0"/>
        <v>-46039.567200000005</v>
      </c>
      <c r="AU46" s="125">
        <f>AH46*Valores!$C$74</f>
        <v>-11300.62104</v>
      </c>
      <c r="AV46" s="125">
        <f>AH46*Valores!$C$75</f>
        <v>-1255.62456</v>
      </c>
      <c r="AW46" s="125">
        <f t="shared" si="4"/>
        <v>360116.04720000003</v>
      </c>
      <c r="AX46" s="126"/>
      <c r="AY46" s="126"/>
      <c r="AZ46" s="123" t="s">
        <v>8</v>
      </c>
    </row>
    <row r="47" spans="1:52" s="110" customFormat="1" ht="11.25" customHeight="1">
      <c r="A47" s="123" t="s">
        <v>187</v>
      </c>
      <c r="B47" s="123">
        <v>1</v>
      </c>
      <c r="C47" s="126">
        <v>40</v>
      </c>
      <c r="D47" s="124" t="s">
        <v>188</v>
      </c>
      <c r="E47" s="192">
        <f>E55+E237</f>
        <v>572</v>
      </c>
      <c r="F47" s="125">
        <f>ROUND(E47*Valores!$C$2,2)</f>
        <v>31145.4</v>
      </c>
      <c r="G47" s="192">
        <f>G55+G237</f>
        <v>2686</v>
      </c>
      <c r="H47" s="125">
        <f>ROUND(G47*Valores!$C$2,2)</f>
        <v>146252.7</v>
      </c>
      <c r="I47" s="192">
        <v>0</v>
      </c>
      <c r="J47" s="125">
        <f>ROUND(I47*Valores!$C$2,2)</f>
        <v>0</v>
      </c>
      <c r="K47" s="192">
        <v>0</v>
      </c>
      <c r="L47" s="125">
        <f>ROUND(K47*Valores!$C$2,2)</f>
        <v>0</v>
      </c>
      <c r="M47" s="125">
        <f>ROUND(IF($H$2=0,IF(AND(A47&lt;&gt;"13-930",A47&lt;&gt;"13-940"),(SUM(F47,H47,J47,L47,X47,T47,R47)*Valores!$C$4),0),0),2)</f>
        <v>58258.36</v>
      </c>
      <c r="N47" s="125">
        <f t="shared" si="1"/>
        <v>0</v>
      </c>
      <c r="O47" s="125">
        <f>O55+O237</f>
        <v>79497.21</v>
      </c>
      <c r="P47" s="125">
        <f>Valores!$D$5</f>
        <v>27834.84</v>
      </c>
      <c r="Q47" s="125">
        <f>Q55+Q237</f>
        <v>24831.49</v>
      </c>
      <c r="R47" s="125">
        <f>R55+R237</f>
        <v>26251.9</v>
      </c>
      <c r="S47" s="125">
        <f>S55+S237</f>
        <v>29383.440000000002</v>
      </c>
      <c r="T47" s="125">
        <f t="shared" si="7"/>
        <v>29383.44</v>
      </c>
      <c r="U47" s="125">
        <v>0</v>
      </c>
      <c r="V47" s="125">
        <v>0</v>
      </c>
      <c r="W47" s="192">
        <v>0</v>
      </c>
      <c r="X47" s="125">
        <f>ROUND(W47*Valores!$C$2,2)</f>
        <v>0</v>
      </c>
      <c r="Y47" s="125">
        <v>0</v>
      </c>
      <c r="Z47" s="125">
        <f>Z55+Z237</f>
        <v>56373.55</v>
      </c>
      <c r="AA47" s="125">
        <f>AA55+AA237</f>
        <v>1412.1100000000001</v>
      </c>
      <c r="AB47" s="214">
        <v>0</v>
      </c>
      <c r="AC47" s="125">
        <f t="shared" si="2"/>
        <v>0</v>
      </c>
      <c r="AD47" s="125">
        <f>Valores!$C$26</f>
        <v>1138.39</v>
      </c>
      <c r="AE47" s="192">
        <v>0</v>
      </c>
      <c r="AF47" s="125">
        <f>ROUND(AE47*Valores!$C$2,2)</f>
        <v>0</v>
      </c>
      <c r="AG47" s="125">
        <f>AG55+AG237</f>
        <v>18220.61</v>
      </c>
      <c r="AH47" s="125">
        <f t="shared" si="5"/>
        <v>500600.00000000006</v>
      </c>
      <c r="AI47" s="125">
        <f>AI55+AI237</f>
        <v>0</v>
      </c>
      <c r="AJ47" s="125">
        <f>AJ55+AJ237</f>
        <v>0</v>
      </c>
      <c r="AK47" s="125">
        <f>Valores!C$38*B47</f>
        <v>0</v>
      </c>
      <c r="AL47" s="125">
        <f>IF($F$3="NO",0,Valores!$C$56)</f>
        <v>170.34</v>
      </c>
      <c r="AM47" s="125">
        <f t="shared" si="3"/>
        <v>170.34</v>
      </c>
      <c r="AN47" s="125">
        <f>AH47*Valores!$C$71</f>
        <v>-55066.00000000001</v>
      </c>
      <c r="AO47" s="125">
        <f>AH47*-Valores!$C$72</f>
        <v>0</v>
      </c>
      <c r="AP47" s="125">
        <f>AH47*Valores!$C$73</f>
        <v>-22527</v>
      </c>
      <c r="AQ47" s="125">
        <f>Valores!$C$100</f>
        <v>-554.86</v>
      </c>
      <c r="AR47" s="125">
        <f>IF($F$5=0,Valores!$C$101,(Valores!$C$101+$F$5*(Valores!$C$101)))</f>
        <v>-852</v>
      </c>
      <c r="AS47" s="125">
        <f t="shared" si="6"/>
        <v>421770.48000000004</v>
      </c>
      <c r="AT47" s="125">
        <f t="shared" si="0"/>
        <v>-55066.00000000001</v>
      </c>
      <c r="AU47" s="125">
        <f>AH47*Valores!$C$74</f>
        <v>-13516.2</v>
      </c>
      <c r="AV47" s="125">
        <f>AH47*Valores!$C$75</f>
        <v>-1501.8000000000002</v>
      </c>
      <c r="AW47" s="125">
        <f t="shared" si="4"/>
        <v>430686.3400000001</v>
      </c>
      <c r="AX47" s="126"/>
      <c r="AY47" s="126"/>
      <c r="AZ47" s="123" t="s">
        <v>8</v>
      </c>
    </row>
    <row r="48" spans="1:52" s="110" customFormat="1" ht="11.25" customHeight="1">
      <c r="A48" s="123" t="s">
        <v>189</v>
      </c>
      <c r="B48" s="123">
        <v>1</v>
      </c>
      <c r="C48" s="126">
        <v>41</v>
      </c>
      <c r="D48" s="124" t="s">
        <v>190</v>
      </c>
      <c r="E48" s="192">
        <v>108</v>
      </c>
      <c r="F48" s="125">
        <f>ROUND(E48*Valores!$C$2,2)</f>
        <v>5880.6</v>
      </c>
      <c r="G48" s="192">
        <v>2907</v>
      </c>
      <c r="H48" s="125">
        <f>ROUND(G48*Valores!$C$2,2)</f>
        <v>158286.15</v>
      </c>
      <c r="I48" s="192">
        <v>0</v>
      </c>
      <c r="J48" s="125">
        <f>ROUND(I48*Valores!$C$2,2)</f>
        <v>0</v>
      </c>
      <c r="K48" s="192">
        <v>0</v>
      </c>
      <c r="L48" s="125">
        <f>ROUND(K48*Valores!$C$2,2)</f>
        <v>0</v>
      </c>
      <c r="M48" s="125">
        <f>ROUND(IF($H$2=0,IF(AND(A48&lt;&gt;"13-930",A48&lt;&gt;"13-940"),(SUM(F48,H48,J48,L48,X48,T48,R48)*Valores!$C$4),0),0),2)</f>
        <v>52620.53</v>
      </c>
      <c r="N48" s="125">
        <f t="shared" si="1"/>
        <v>0</v>
      </c>
      <c r="O48" s="125">
        <f>Valores!$C$9</f>
        <v>68418.57</v>
      </c>
      <c r="P48" s="125">
        <f>Valores!$D$5</f>
        <v>27834.84</v>
      </c>
      <c r="Q48" s="125">
        <f>Valores!$C$22</f>
        <v>24831.49</v>
      </c>
      <c r="R48" s="125">
        <f>IF($F$4="NO",Valores!$C$45,Valores!$C$45/2)</f>
        <v>20416.3</v>
      </c>
      <c r="S48" s="125">
        <f>Valores!$C$19</f>
        <v>25899.06</v>
      </c>
      <c r="T48" s="125">
        <f t="shared" si="7"/>
        <v>25899.06</v>
      </c>
      <c r="U48" s="125">
        <v>0</v>
      </c>
      <c r="V48" s="125">
        <v>0</v>
      </c>
      <c r="W48" s="192">
        <v>0</v>
      </c>
      <c r="X48" s="125">
        <f>ROUND(W48*Valores!$C$2,2)</f>
        <v>0</v>
      </c>
      <c r="Y48" s="125">
        <v>0</v>
      </c>
      <c r="Z48" s="125">
        <f>Valores!$C$95</f>
        <v>45736.39</v>
      </c>
      <c r="AA48" s="125">
        <f>Valores!$C$25</f>
        <v>1138.39</v>
      </c>
      <c r="AB48" s="214">
        <v>0</v>
      </c>
      <c r="AC48" s="125">
        <f t="shared" si="2"/>
        <v>0</v>
      </c>
      <c r="AD48" s="125">
        <f>Valores!$C$26</f>
        <v>1138.39</v>
      </c>
      <c r="AE48" s="192">
        <v>0</v>
      </c>
      <c r="AF48" s="125">
        <f>ROUND(AE48*Valores!$C$2,2)</f>
        <v>0</v>
      </c>
      <c r="AG48" s="125">
        <f>ROUND(IF($F$4="NO",Valores!$C$63,Valores!$C$63/2),2)</f>
        <v>13014.72</v>
      </c>
      <c r="AH48" s="125">
        <f t="shared" si="5"/>
        <v>445215.43</v>
      </c>
      <c r="AI48" s="125">
        <f>Valores!$C$31</f>
        <v>0</v>
      </c>
      <c r="AJ48" s="125">
        <f>Valores!$C$88</f>
        <v>0</v>
      </c>
      <c r="AK48" s="125">
        <f>Valores!C$38*B48</f>
        <v>0</v>
      </c>
      <c r="AL48" s="125">
        <f>IF($F$3="NO",0,Valores!$C$56)</f>
        <v>170.34</v>
      </c>
      <c r="AM48" s="125">
        <f t="shared" si="3"/>
        <v>170.34</v>
      </c>
      <c r="AN48" s="125">
        <f>AH48*Valores!$C$71</f>
        <v>-48973.6973</v>
      </c>
      <c r="AO48" s="125">
        <f>AH48*-Valores!$C$72</f>
        <v>0</v>
      </c>
      <c r="AP48" s="125">
        <f>AH48*Valores!$C$73</f>
        <v>-20034.694349999998</v>
      </c>
      <c r="AQ48" s="125">
        <f>Valores!$C$100</f>
        <v>-554.86</v>
      </c>
      <c r="AR48" s="125">
        <f>IF($F$5=0,Valores!$C$101,(Valores!$C$101+$F$5*(Valores!$C$101)))</f>
        <v>-852</v>
      </c>
      <c r="AS48" s="125">
        <f t="shared" si="6"/>
        <v>374970.51834999997</v>
      </c>
      <c r="AT48" s="125">
        <f t="shared" si="0"/>
        <v>-48973.6973</v>
      </c>
      <c r="AU48" s="125">
        <f>AH48*Valores!$C$74</f>
        <v>-12020.81661</v>
      </c>
      <c r="AV48" s="125">
        <f>AH48*Valores!$C$75</f>
        <v>-1335.64629</v>
      </c>
      <c r="AW48" s="125">
        <f t="shared" si="4"/>
        <v>383055.60980000003</v>
      </c>
      <c r="AX48" s="126"/>
      <c r="AY48" s="126">
        <v>30</v>
      </c>
      <c r="AZ48" s="123" t="s">
        <v>4</v>
      </c>
    </row>
    <row r="49" spans="1:52" s="110" customFormat="1" ht="11.25" customHeight="1">
      <c r="A49" s="123" t="s">
        <v>191</v>
      </c>
      <c r="B49" s="123">
        <v>1</v>
      </c>
      <c r="C49" s="126">
        <v>42</v>
      </c>
      <c r="D49" s="124" t="s">
        <v>192</v>
      </c>
      <c r="E49" s="192">
        <v>88</v>
      </c>
      <c r="F49" s="125">
        <f>ROUND(E49*Valores!$C$2,2)</f>
        <v>4791.6</v>
      </c>
      <c r="G49" s="192">
        <v>2622</v>
      </c>
      <c r="H49" s="125">
        <f>ROUND(G49*Valores!$C$2,2)</f>
        <v>142767.9</v>
      </c>
      <c r="I49" s="192">
        <v>0</v>
      </c>
      <c r="J49" s="125">
        <f>ROUND(I49*Valores!$C$2,2)</f>
        <v>0</v>
      </c>
      <c r="K49" s="192">
        <v>0</v>
      </c>
      <c r="L49" s="125">
        <f>ROUND(K49*Valores!$C$2,2)</f>
        <v>0</v>
      </c>
      <c r="M49" s="125">
        <f>ROUND(IF($H$2=0,IF(AND(A49&lt;&gt;"13-930",A49&lt;&gt;"13-940"),(SUM(F49,H49,J49,L49,X49,T49,R49)*Valores!$C$4),0),0),2)</f>
        <v>48468.72</v>
      </c>
      <c r="N49" s="125">
        <f t="shared" si="1"/>
        <v>0</v>
      </c>
      <c r="O49" s="125">
        <f>Valores!$C$9</f>
        <v>68418.57</v>
      </c>
      <c r="P49" s="125">
        <f>Valores!$D$5</f>
        <v>27834.84</v>
      </c>
      <c r="Q49" s="125">
        <f>Valores!$C$22</f>
        <v>24831.49</v>
      </c>
      <c r="R49" s="125">
        <f>IF($F$4="NO",Valores!$C$45,Valores!$C$45/2)</f>
        <v>20416.3</v>
      </c>
      <c r="S49" s="125">
        <f>Valores!$C$19</f>
        <v>25899.06</v>
      </c>
      <c r="T49" s="125">
        <f t="shared" si="7"/>
        <v>25899.06</v>
      </c>
      <c r="U49" s="125">
        <v>0</v>
      </c>
      <c r="V49" s="125">
        <v>0</v>
      </c>
      <c r="W49" s="192">
        <v>0</v>
      </c>
      <c r="X49" s="125">
        <f>ROUND(W49*Valores!$C$2,2)</f>
        <v>0</v>
      </c>
      <c r="Y49" s="125">
        <v>0</v>
      </c>
      <c r="Z49" s="125">
        <f>Valores!$C$95</f>
        <v>45736.39</v>
      </c>
      <c r="AA49" s="125">
        <f>Valores!$C$25</f>
        <v>1138.39</v>
      </c>
      <c r="AB49" s="214">
        <v>0</v>
      </c>
      <c r="AC49" s="125">
        <f t="shared" si="2"/>
        <v>0</v>
      </c>
      <c r="AD49" s="125">
        <f>Valores!$C$26</f>
        <v>1138.39</v>
      </c>
      <c r="AE49" s="192">
        <v>0</v>
      </c>
      <c r="AF49" s="125">
        <f>ROUND(AE49*Valores!$C$2,2)</f>
        <v>0</v>
      </c>
      <c r="AG49" s="125">
        <f>ROUND(IF($F$4="NO",Valores!$C$63,Valores!$C$63/2),2)</f>
        <v>13014.72</v>
      </c>
      <c r="AH49" s="125">
        <f t="shared" si="5"/>
        <v>424456.37000000005</v>
      </c>
      <c r="AI49" s="125">
        <f>Valores!$C$31</f>
        <v>0</v>
      </c>
      <c r="AJ49" s="125">
        <f>Valores!$C$88</f>
        <v>0</v>
      </c>
      <c r="AK49" s="125">
        <f>Valores!C$38*B49</f>
        <v>0</v>
      </c>
      <c r="AL49" s="125">
        <f>IF($F$3="NO",0,Valores!$C$56)</f>
        <v>170.34</v>
      </c>
      <c r="AM49" s="125">
        <f t="shared" si="3"/>
        <v>170.34</v>
      </c>
      <c r="AN49" s="125">
        <f>AH49*Valores!$C$71</f>
        <v>-46690.20070000001</v>
      </c>
      <c r="AO49" s="125">
        <f>AH49*-Valores!$C$72</f>
        <v>0</v>
      </c>
      <c r="AP49" s="125">
        <f>AH49*Valores!$C$73</f>
        <v>-19100.536650000002</v>
      </c>
      <c r="AQ49" s="125">
        <f>Valores!$C$100</f>
        <v>-554.86</v>
      </c>
      <c r="AR49" s="125">
        <f>IF($F$5=0,Valores!$C$101,(Valores!$C$101+$F$5*(Valores!$C$101)))</f>
        <v>-852</v>
      </c>
      <c r="AS49" s="125">
        <f t="shared" si="6"/>
        <v>357429.11265</v>
      </c>
      <c r="AT49" s="125">
        <f t="shared" si="0"/>
        <v>-46690.20070000001</v>
      </c>
      <c r="AU49" s="125">
        <f>AH49*Valores!$C$74</f>
        <v>-11460.321990000002</v>
      </c>
      <c r="AV49" s="125">
        <f>AH49*Valores!$C$75</f>
        <v>-1273.36911</v>
      </c>
      <c r="AW49" s="125">
        <f t="shared" si="4"/>
        <v>365202.8182000001</v>
      </c>
      <c r="AX49" s="126"/>
      <c r="AY49" s="126">
        <v>30</v>
      </c>
      <c r="AZ49" s="123" t="s">
        <v>4</v>
      </c>
    </row>
    <row r="50" spans="1:52" s="110" customFormat="1" ht="11.25" customHeight="1">
      <c r="A50" s="123" t="s">
        <v>193</v>
      </c>
      <c r="B50" s="123">
        <v>1</v>
      </c>
      <c r="C50" s="126">
        <v>43</v>
      </c>
      <c r="D50" s="124" t="s">
        <v>194</v>
      </c>
      <c r="E50" s="192">
        <v>88</v>
      </c>
      <c r="F50" s="125">
        <f>ROUND(E50*Valores!$C$2,2)</f>
        <v>4791.6</v>
      </c>
      <c r="G50" s="192">
        <v>2622</v>
      </c>
      <c r="H50" s="125">
        <f>ROUND(G50*Valores!$C$2,2)</f>
        <v>142767.9</v>
      </c>
      <c r="I50" s="192">
        <v>0</v>
      </c>
      <c r="J50" s="125">
        <f>ROUND(I50*Valores!$C$2,2)</f>
        <v>0</v>
      </c>
      <c r="K50" s="192">
        <v>0</v>
      </c>
      <c r="L50" s="125">
        <f>ROUND(K50*Valores!$C$2,2)</f>
        <v>0</v>
      </c>
      <c r="M50" s="125">
        <f>ROUND(IF($H$2=0,IF(AND(A50&lt;&gt;"13-930",A50&lt;&gt;"13-940"),(SUM(F50,H50,J50,L50,X50,T50,R50)*Valores!$C$4),0),0),2)</f>
        <v>48468.72</v>
      </c>
      <c r="N50" s="125">
        <f t="shared" si="1"/>
        <v>0</v>
      </c>
      <c r="O50" s="125">
        <f>Valores!$C$9</f>
        <v>68418.57</v>
      </c>
      <c r="P50" s="125">
        <f>Valores!$D$5</f>
        <v>27834.84</v>
      </c>
      <c r="Q50" s="125">
        <f>Valores!$C$22</f>
        <v>24831.49</v>
      </c>
      <c r="R50" s="125">
        <f>IF($F$4="NO",Valores!$C$45,Valores!$C$45/2)</f>
        <v>20416.3</v>
      </c>
      <c r="S50" s="125">
        <f>Valores!$C$19</f>
        <v>25899.06</v>
      </c>
      <c r="T50" s="125">
        <f t="shared" si="7"/>
        <v>25899.06</v>
      </c>
      <c r="U50" s="125">
        <v>0</v>
      </c>
      <c r="V50" s="125">
        <v>0</v>
      </c>
      <c r="W50" s="192">
        <v>0</v>
      </c>
      <c r="X50" s="125">
        <f>ROUND(W50*Valores!$C$2,2)</f>
        <v>0</v>
      </c>
      <c r="Y50" s="125">
        <v>0</v>
      </c>
      <c r="Z50" s="125">
        <f>Valores!$C$95</f>
        <v>45736.39</v>
      </c>
      <c r="AA50" s="125">
        <f>Valores!$C$25</f>
        <v>1138.39</v>
      </c>
      <c r="AB50" s="214">
        <v>0</v>
      </c>
      <c r="AC50" s="125">
        <f t="shared" si="2"/>
        <v>0</v>
      </c>
      <c r="AD50" s="125">
        <f>Valores!$C$26</f>
        <v>1138.39</v>
      </c>
      <c r="AE50" s="192">
        <v>0</v>
      </c>
      <c r="AF50" s="125">
        <f>ROUND(AE50*Valores!$C$2,2)</f>
        <v>0</v>
      </c>
      <c r="AG50" s="125">
        <f>ROUND(IF($F$4="NO",Valores!$C$63,Valores!$C$63/2),2)</f>
        <v>13014.72</v>
      </c>
      <c r="AH50" s="125">
        <f t="shared" si="5"/>
        <v>424456.37000000005</v>
      </c>
      <c r="AI50" s="125">
        <f>Valores!$C$31</f>
        <v>0</v>
      </c>
      <c r="AJ50" s="125">
        <f>Valores!$C$88</f>
        <v>0</v>
      </c>
      <c r="AK50" s="125">
        <f>Valores!C$38*B50</f>
        <v>0</v>
      </c>
      <c r="AL50" s="125">
        <f>IF($F$3="NO",0,Valores!$C$56)</f>
        <v>170.34</v>
      </c>
      <c r="AM50" s="125">
        <f t="shared" si="3"/>
        <v>170.34</v>
      </c>
      <c r="AN50" s="125">
        <f>AH50*Valores!$C$71</f>
        <v>-46690.20070000001</v>
      </c>
      <c r="AO50" s="125">
        <f>AH50*-Valores!$C$72</f>
        <v>0</v>
      </c>
      <c r="AP50" s="125">
        <f>AH50*Valores!$C$73</f>
        <v>-19100.536650000002</v>
      </c>
      <c r="AQ50" s="125">
        <f>Valores!$C$100</f>
        <v>-554.86</v>
      </c>
      <c r="AR50" s="125">
        <f>IF($F$5=0,Valores!$C$101,(Valores!$C$101+$F$5*(Valores!$C$101)))</f>
        <v>-852</v>
      </c>
      <c r="AS50" s="125">
        <f t="shared" si="6"/>
        <v>357429.11265</v>
      </c>
      <c r="AT50" s="125">
        <f t="shared" si="0"/>
        <v>-46690.20070000001</v>
      </c>
      <c r="AU50" s="125">
        <f>AH50*Valores!$C$74</f>
        <v>-11460.321990000002</v>
      </c>
      <c r="AV50" s="125">
        <f>AH50*Valores!$C$75</f>
        <v>-1273.36911</v>
      </c>
      <c r="AW50" s="125">
        <f t="shared" si="4"/>
        <v>365202.8182000001</v>
      </c>
      <c r="AX50" s="126"/>
      <c r="AY50" s="126">
        <v>30</v>
      </c>
      <c r="AZ50" s="123" t="s">
        <v>4</v>
      </c>
    </row>
    <row r="51" spans="1:52" s="110" customFormat="1" ht="11.25" customHeight="1">
      <c r="A51" s="123" t="s">
        <v>195</v>
      </c>
      <c r="B51" s="123">
        <v>1</v>
      </c>
      <c r="C51" s="126">
        <v>44</v>
      </c>
      <c r="D51" s="124" t="s">
        <v>196</v>
      </c>
      <c r="E51" s="192">
        <v>80</v>
      </c>
      <c r="F51" s="125">
        <f>ROUND(E51*Valores!$C$2,2)</f>
        <v>4356</v>
      </c>
      <c r="G51" s="192">
        <v>2278</v>
      </c>
      <c r="H51" s="125">
        <f>ROUND(G51*Valores!$C$2,2)</f>
        <v>124037.1</v>
      </c>
      <c r="I51" s="192">
        <v>0</v>
      </c>
      <c r="J51" s="125">
        <f>ROUND(I51*Valores!$C$2,2)</f>
        <v>0</v>
      </c>
      <c r="K51" s="192">
        <v>0</v>
      </c>
      <c r="L51" s="125">
        <f>ROUND(K51*Valores!$C$2,2)</f>
        <v>0</v>
      </c>
      <c r="M51" s="125">
        <f>ROUND(IF($H$2=0,IF(AND(A51&lt;&gt;"13-930",A51&lt;&gt;"13-940"),(SUM(F51,H51,J51,L51,X51,T51,R51)*Valores!$C$4),0),0),2)</f>
        <v>43677.12</v>
      </c>
      <c r="N51" s="125">
        <f t="shared" si="1"/>
        <v>0</v>
      </c>
      <c r="O51" s="125">
        <f>Valores!$C$9</f>
        <v>68418.57</v>
      </c>
      <c r="P51" s="125">
        <f>Valores!$D$5</f>
        <v>27834.84</v>
      </c>
      <c r="Q51" s="125">
        <f>Valores!$C$22</f>
        <v>24831.49</v>
      </c>
      <c r="R51" s="125">
        <f>IF($F$4="NO",Valores!$C$45,Valores!$C$45/2)</f>
        <v>20416.3</v>
      </c>
      <c r="S51" s="125">
        <f>Valores!$C$19</f>
        <v>25899.06</v>
      </c>
      <c r="T51" s="125">
        <f t="shared" si="7"/>
        <v>25899.06</v>
      </c>
      <c r="U51" s="125">
        <v>0</v>
      </c>
      <c r="V51" s="125">
        <v>0</v>
      </c>
      <c r="W51" s="192">
        <v>0</v>
      </c>
      <c r="X51" s="125">
        <f>ROUND(W51*Valores!$C$2,2)</f>
        <v>0</v>
      </c>
      <c r="Y51" s="125">
        <v>0</v>
      </c>
      <c r="Z51" s="125">
        <f>Valores!$C$95</f>
        <v>45736.39</v>
      </c>
      <c r="AA51" s="125">
        <f>Valores!$C$25</f>
        <v>1138.39</v>
      </c>
      <c r="AB51" s="214">
        <v>0</v>
      </c>
      <c r="AC51" s="125">
        <f t="shared" si="2"/>
        <v>0</v>
      </c>
      <c r="AD51" s="125">
        <f>Valores!$C$26</f>
        <v>1138.39</v>
      </c>
      <c r="AE51" s="192">
        <v>0</v>
      </c>
      <c r="AF51" s="125">
        <f>ROUND(AE51*Valores!$C$2,2)</f>
        <v>0</v>
      </c>
      <c r="AG51" s="125">
        <f>ROUND(IF($F$4="NO",Valores!$C$63,Valores!$C$63/2),2)</f>
        <v>13014.72</v>
      </c>
      <c r="AH51" s="125">
        <f t="shared" si="5"/>
        <v>400498.37</v>
      </c>
      <c r="AI51" s="125">
        <f>Valores!$C$31</f>
        <v>0</v>
      </c>
      <c r="AJ51" s="125">
        <f>Valores!$C$88</f>
        <v>0</v>
      </c>
      <c r="AK51" s="125">
        <f>Valores!C$38*B51</f>
        <v>0</v>
      </c>
      <c r="AL51" s="125">
        <f>IF($F$3="NO",0,Valores!$C$56)</f>
        <v>170.34</v>
      </c>
      <c r="AM51" s="125">
        <f t="shared" si="3"/>
        <v>170.34</v>
      </c>
      <c r="AN51" s="125">
        <f>AH51*Valores!$C$71</f>
        <v>-44054.8207</v>
      </c>
      <c r="AO51" s="125">
        <f>AH51*-Valores!$C$72</f>
        <v>0</v>
      </c>
      <c r="AP51" s="125">
        <f>AH51*Valores!$C$73</f>
        <v>-18022.426649999998</v>
      </c>
      <c r="AQ51" s="125">
        <f>Valores!$C$100</f>
        <v>-554.86</v>
      </c>
      <c r="AR51" s="125">
        <f>IF($F$5=0,Valores!$C$101,(Valores!$C$101+$F$5*(Valores!$C$101)))</f>
        <v>-852</v>
      </c>
      <c r="AS51" s="125">
        <f t="shared" si="6"/>
        <v>337184.60265</v>
      </c>
      <c r="AT51" s="125">
        <f t="shared" si="0"/>
        <v>-44054.8207</v>
      </c>
      <c r="AU51" s="125">
        <f>AH51*Valores!$C$74</f>
        <v>-10813.45599</v>
      </c>
      <c r="AV51" s="125">
        <f>AH51*Valores!$C$75</f>
        <v>-1201.49511</v>
      </c>
      <c r="AW51" s="125">
        <f t="shared" si="4"/>
        <v>344598.93820000003</v>
      </c>
      <c r="AX51" s="126"/>
      <c r="AY51" s="126">
        <v>30</v>
      </c>
      <c r="AZ51" s="123" t="s">
        <v>4</v>
      </c>
    </row>
    <row r="52" spans="1:52" s="110" customFormat="1" ht="11.25" customHeight="1">
      <c r="A52" s="123" t="s">
        <v>197</v>
      </c>
      <c r="B52" s="123">
        <v>1</v>
      </c>
      <c r="C52" s="126">
        <v>45</v>
      </c>
      <c r="D52" s="124" t="s">
        <v>198</v>
      </c>
      <c r="E52" s="192">
        <v>100</v>
      </c>
      <c r="F52" s="125">
        <f>ROUND(E52*Valores!$C$2,2)</f>
        <v>5445</v>
      </c>
      <c r="G52" s="192">
        <v>3620</v>
      </c>
      <c r="H52" s="125">
        <f>ROUND(G52*Valores!$C$2,2)</f>
        <v>197109</v>
      </c>
      <c r="I52" s="192">
        <v>0</v>
      </c>
      <c r="J52" s="125">
        <f>ROUND(I52*Valores!$C$2,2)</f>
        <v>0</v>
      </c>
      <c r="K52" s="192">
        <v>0</v>
      </c>
      <c r="L52" s="125">
        <f>ROUND(K52*Valores!$C$2,2)</f>
        <v>0</v>
      </c>
      <c r="M52" s="125">
        <f>ROUND(IF($H$2=0,IF(AND(A52&lt;&gt;"13-930",A52&lt;&gt;"13-940"),(SUM(F52,H52,J52,L52,X52,T52,R52)*Valores!$C$4),0),0),2)</f>
        <v>64387.45</v>
      </c>
      <c r="N52" s="125">
        <f t="shared" si="1"/>
        <v>0</v>
      </c>
      <c r="O52" s="125">
        <f>Valores!$C$9</f>
        <v>68418.57</v>
      </c>
      <c r="P52" s="125">
        <f>Valores!$D$5</f>
        <v>27834.84</v>
      </c>
      <c r="Q52" s="125">
        <f>Valores!$C$22</f>
        <v>24831.49</v>
      </c>
      <c r="R52" s="125">
        <f>IF($F$4="NO",Valores!$C$47,Valores!$C$47/2)</f>
        <v>29096.75</v>
      </c>
      <c r="S52" s="125">
        <f>Valores!$C$19</f>
        <v>25899.06</v>
      </c>
      <c r="T52" s="125">
        <f t="shared" si="7"/>
        <v>25899.06</v>
      </c>
      <c r="U52" s="125">
        <v>0</v>
      </c>
      <c r="V52" s="125">
        <v>0</v>
      </c>
      <c r="W52" s="192">
        <v>0</v>
      </c>
      <c r="X52" s="125">
        <f>ROUND(W52*Valores!$C$2,2)</f>
        <v>0</v>
      </c>
      <c r="Y52" s="125">
        <v>0</v>
      </c>
      <c r="Z52" s="125">
        <f>Valores!$C$96</f>
        <v>76227.32</v>
      </c>
      <c r="AA52" s="125">
        <f>Valores!$C$25</f>
        <v>1138.39</v>
      </c>
      <c r="AB52" s="214">
        <v>0</v>
      </c>
      <c r="AC52" s="125">
        <f t="shared" si="2"/>
        <v>0</v>
      </c>
      <c r="AD52" s="125">
        <f>Valores!$C$26</f>
        <v>1138.39</v>
      </c>
      <c r="AE52" s="192">
        <v>0</v>
      </c>
      <c r="AF52" s="125">
        <f>ROUND(AE52*Valores!$C$2,2)</f>
        <v>0</v>
      </c>
      <c r="AG52" s="125">
        <f>ROUND(IF($F$4="NO",Valores!$C$63,Valores!$C$63/2),2)</f>
        <v>13014.72</v>
      </c>
      <c r="AH52" s="125">
        <f t="shared" si="5"/>
        <v>534540.9800000001</v>
      </c>
      <c r="AI52" s="125">
        <f>Valores!$C$31</f>
        <v>0</v>
      </c>
      <c r="AJ52" s="125">
        <f>Valores!$C$89</f>
        <v>0</v>
      </c>
      <c r="AK52" s="125">
        <f>Valores!C$38*B52</f>
        <v>0</v>
      </c>
      <c r="AL52" s="125">
        <f>IF($F$3="NO",0,Valores!$C$56)</f>
        <v>170.34</v>
      </c>
      <c r="AM52" s="125">
        <f t="shared" si="3"/>
        <v>170.34</v>
      </c>
      <c r="AN52" s="125">
        <f>AH52*Valores!$C$71</f>
        <v>-58799.507800000014</v>
      </c>
      <c r="AO52" s="125">
        <f>AH52*-Valores!$C$72</f>
        <v>0</v>
      </c>
      <c r="AP52" s="125">
        <f>AH52*Valores!$C$73</f>
        <v>-24054.344100000002</v>
      </c>
      <c r="AQ52" s="125">
        <f>Valores!$C$100</f>
        <v>-554.86</v>
      </c>
      <c r="AR52" s="125">
        <f>IF($F$5=0,Valores!$C$101,(Valores!$C$101+$F$5*(Valores!$C$101)))</f>
        <v>-852</v>
      </c>
      <c r="AS52" s="125">
        <f t="shared" si="6"/>
        <v>450450.60810000007</v>
      </c>
      <c r="AT52" s="125">
        <f t="shared" si="0"/>
        <v>-58799.507800000014</v>
      </c>
      <c r="AU52" s="125">
        <f>AH52*Valores!$C$74</f>
        <v>-14432.606460000003</v>
      </c>
      <c r="AV52" s="125">
        <f>AH52*Valores!$C$75</f>
        <v>-1603.6229400000004</v>
      </c>
      <c r="AW52" s="125">
        <f t="shared" si="4"/>
        <v>459875.58280000003</v>
      </c>
      <c r="AX52" s="126"/>
      <c r="AY52" s="126"/>
      <c r="AZ52" s="123" t="s">
        <v>4</v>
      </c>
    </row>
    <row r="53" spans="1:52" s="110" customFormat="1" ht="11.25" customHeight="1">
      <c r="A53" s="123" t="s">
        <v>199</v>
      </c>
      <c r="B53" s="123">
        <v>1</v>
      </c>
      <c r="C53" s="126">
        <v>46</v>
      </c>
      <c r="D53" s="124" t="s">
        <v>200</v>
      </c>
      <c r="E53" s="192">
        <v>100</v>
      </c>
      <c r="F53" s="125">
        <f>ROUND(E53*Valores!$C$2,2)</f>
        <v>5445</v>
      </c>
      <c r="G53" s="192">
        <v>3560</v>
      </c>
      <c r="H53" s="125">
        <f>ROUND(G53*Valores!$C$2,2)</f>
        <v>193842</v>
      </c>
      <c r="I53" s="192">
        <v>0</v>
      </c>
      <c r="J53" s="125">
        <f>ROUND(I53*Valores!$C$2,2)</f>
        <v>0</v>
      </c>
      <c r="K53" s="192">
        <v>0</v>
      </c>
      <c r="L53" s="125">
        <f>ROUND(K53*Valores!$C$2,2)</f>
        <v>0</v>
      </c>
      <c r="M53" s="125">
        <f>ROUND(IF($H$2=0,IF(AND(A53&lt;&gt;"13-930",A53&lt;&gt;"13-940"),(SUM(F53,H53,J53,L53,X53,T53,R53)*Valores!$C$4),0),0),2)</f>
        <v>63570.7</v>
      </c>
      <c r="N53" s="125">
        <f t="shared" si="1"/>
        <v>0</v>
      </c>
      <c r="O53" s="125">
        <f>Valores!$C$9</f>
        <v>68418.57</v>
      </c>
      <c r="P53" s="125">
        <f>Valores!$D$5</f>
        <v>27834.84</v>
      </c>
      <c r="Q53" s="125">
        <v>0</v>
      </c>
      <c r="R53" s="125">
        <f>IF($F$4="NO",Valores!$C$47,Valores!$C$47/2)</f>
        <v>29096.75</v>
      </c>
      <c r="S53" s="125">
        <f>Valores!$C$19</f>
        <v>25899.06</v>
      </c>
      <c r="T53" s="125">
        <f t="shared" si="7"/>
        <v>25899.06</v>
      </c>
      <c r="U53" s="125">
        <v>0</v>
      </c>
      <c r="V53" s="125">
        <v>0</v>
      </c>
      <c r="W53" s="192">
        <v>0</v>
      </c>
      <c r="X53" s="125">
        <f>ROUND(W53*Valores!$C$2,2)</f>
        <v>0</v>
      </c>
      <c r="Y53" s="125">
        <v>0</v>
      </c>
      <c r="Z53" s="125">
        <f>Valores!$C$96</f>
        <v>76227.32</v>
      </c>
      <c r="AA53" s="125">
        <f>Valores!$C$25</f>
        <v>1138.39</v>
      </c>
      <c r="AB53" s="214">
        <v>0</v>
      </c>
      <c r="AC53" s="125">
        <f t="shared" si="2"/>
        <v>0</v>
      </c>
      <c r="AD53" s="125">
        <f>Valores!$C$26</f>
        <v>1138.39</v>
      </c>
      <c r="AE53" s="192">
        <v>0</v>
      </c>
      <c r="AF53" s="125">
        <f>ROUND(AE53*Valores!$C$2,2)</f>
        <v>0</v>
      </c>
      <c r="AG53" s="125">
        <f>ROUND(IF($F$4="NO",Valores!$C$63,Valores!$C$63/2),2)</f>
        <v>13014.72</v>
      </c>
      <c r="AH53" s="125">
        <f t="shared" si="5"/>
        <v>505625.74000000005</v>
      </c>
      <c r="AI53" s="125">
        <f>Valores!$C$31</f>
        <v>0</v>
      </c>
      <c r="AJ53" s="125">
        <f>Valores!$C$89</f>
        <v>0</v>
      </c>
      <c r="AK53" s="125">
        <f>Valores!C$38*B53</f>
        <v>0</v>
      </c>
      <c r="AL53" s="125">
        <f>IF($F$3="NO",0,Valores!$C$56)</f>
        <v>170.34</v>
      </c>
      <c r="AM53" s="125">
        <f t="shared" si="3"/>
        <v>170.34</v>
      </c>
      <c r="AN53" s="125">
        <f>AH53*Valores!$C$71</f>
        <v>-55618.8314</v>
      </c>
      <c r="AO53" s="125">
        <f>AH53*-Valores!$C$72</f>
        <v>0</v>
      </c>
      <c r="AP53" s="125">
        <f>AH53*Valores!$C$73</f>
        <v>-22753.158300000003</v>
      </c>
      <c r="AQ53" s="125">
        <f>Valores!$C$100</f>
        <v>-554.86</v>
      </c>
      <c r="AR53" s="125">
        <f>IF($F$5=0,Valores!$C$101,(Valores!$C$101+$F$5*(Valores!$C$101)))</f>
        <v>-852</v>
      </c>
      <c r="AS53" s="125">
        <f t="shared" si="6"/>
        <v>426017.23030000005</v>
      </c>
      <c r="AT53" s="125">
        <f t="shared" si="0"/>
        <v>-55618.8314</v>
      </c>
      <c r="AU53" s="125">
        <f>AH53*Valores!$C$74</f>
        <v>-13651.894980000001</v>
      </c>
      <c r="AV53" s="125">
        <f>AH53*Valores!$C$75</f>
        <v>-1516.87722</v>
      </c>
      <c r="AW53" s="125">
        <f t="shared" si="4"/>
        <v>435008.47640000004</v>
      </c>
      <c r="AX53" s="126"/>
      <c r="AY53" s="126"/>
      <c r="AZ53" s="123" t="s">
        <v>8</v>
      </c>
    </row>
    <row r="54" spans="1:52" s="110" customFormat="1" ht="11.25" customHeight="1">
      <c r="A54" s="123" t="s">
        <v>201</v>
      </c>
      <c r="B54" s="123">
        <v>1</v>
      </c>
      <c r="C54" s="126">
        <v>47</v>
      </c>
      <c r="D54" s="124" t="s">
        <v>202</v>
      </c>
      <c r="E54" s="192">
        <v>100</v>
      </c>
      <c r="F54" s="125">
        <f>ROUND(E54*Valores!$C$2,2)</f>
        <v>5445</v>
      </c>
      <c r="G54" s="192">
        <v>3360</v>
      </c>
      <c r="H54" s="125">
        <f>ROUND(G54*Valores!$C$2,2)</f>
        <v>182952</v>
      </c>
      <c r="I54" s="192">
        <v>0</v>
      </c>
      <c r="J54" s="125">
        <f>ROUND(I54*Valores!$C$2,2)</f>
        <v>0</v>
      </c>
      <c r="K54" s="192">
        <v>0</v>
      </c>
      <c r="L54" s="125">
        <f>ROUND(K54*Valores!$C$2,2)</f>
        <v>0</v>
      </c>
      <c r="M54" s="125">
        <f>ROUND(IF($H$2=0,IF(AND(A54&lt;&gt;"13-930",A54&lt;&gt;"13-940"),(SUM(F54,H54,J54,L54,X54,T54,R54)*Valores!$C$4),0),0),2)</f>
        <v>60848.2</v>
      </c>
      <c r="N54" s="125">
        <f t="shared" si="1"/>
        <v>0</v>
      </c>
      <c r="O54" s="125">
        <f>Valores!$C$9</f>
        <v>68418.57</v>
      </c>
      <c r="P54" s="125">
        <f>Valores!$D$5</f>
        <v>27834.84</v>
      </c>
      <c r="Q54" s="125">
        <f>Valores!$C$22</f>
        <v>24831.49</v>
      </c>
      <c r="R54" s="125">
        <f>IF($F$4="NO",Valores!$C$47,Valores!$C$47/2)</f>
        <v>29096.75</v>
      </c>
      <c r="S54" s="125">
        <f>Valores!$C$19</f>
        <v>25899.06</v>
      </c>
      <c r="T54" s="125">
        <f t="shared" si="7"/>
        <v>25899.06</v>
      </c>
      <c r="U54" s="125">
        <v>0</v>
      </c>
      <c r="V54" s="125">
        <v>0</v>
      </c>
      <c r="W54" s="192">
        <v>0</v>
      </c>
      <c r="X54" s="125">
        <f>ROUND(W54*Valores!$C$2,2)</f>
        <v>0</v>
      </c>
      <c r="Y54" s="125">
        <v>0</v>
      </c>
      <c r="Z54" s="125">
        <f>Valores!$C$96</f>
        <v>76227.32</v>
      </c>
      <c r="AA54" s="125">
        <f>Valores!$C$25</f>
        <v>1138.39</v>
      </c>
      <c r="AB54" s="214">
        <v>0</v>
      </c>
      <c r="AC54" s="125">
        <f t="shared" si="2"/>
        <v>0</v>
      </c>
      <c r="AD54" s="125">
        <f>Valores!$C$26</f>
        <v>1138.39</v>
      </c>
      <c r="AE54" s="192">
        <v>0</v>
      </c>
      <c r="AF54" s="125">
        <f>ROUND(AE54*Valores!$C$2,2)</f>
        <v>0</v>
      </c>
      <c r="AG54" s="125">
        <f>ROUND(IF($F$4="NO",Valores!$C$63,Valores!$C$63/2),2)</f>
        <v>13014.72</v>
      </c>
      <c r="AH54" s="125">
        <f t="shared" si="5"/>
        <v>516844.73000000004</v>
      </c>
      <c r="AI54" s="125">
        <f>Valores!$C$31</f>
        <v>0</v>
      </c>
      <c r="AJ54" s="125">
        <f>Valores!$C$89</f>
        <v>0</v>
      </c>
      <c r="AK54" s="125">
        <f>Valores!C$38*B54</f>
        <v>0</v>
      </c>
      <c r="AL54" s="125">
        <f>IF($F$3="NO",0,Valores!$C$56)</f>
        <v>170.34</v>
      </c>
      <c r="AM54" s="125">
        <f t="shared" si="3"/>
        <v>170.34</v>
      </c>
      <c r="AN54" s="125">
        <f>AH54*Valores!$C$71</f>
        <v>-56852.920300000005</v>
      </c>
      <c r="AO54" s="125">
        <f>AH54*-Valores!$C$72</f>
        <v>0</v>
      </c>
      <c r="AP54" s="125">
        <f>AH54*Valores!$C$73</f>
        <v>-23258.01285</v>
      </c>
      <c r="AQ54" s="125">
        <f>Valores!$C$100</f>
        <v>-554.86</v>
      </c>
      <c r="AR54" s="125">
        <f>IF($F$5=0,Valores!$C$101,(Valores!$C$101+$F$5*(Valores!$C$101)))</f>
        <v>-852</v>
      </c>
      <c r="AS54" s="125">
        <f t="shared" si="6"/>
        <v>435497.27685</v>
      </c>
      <c r="AT54" s="125">
        <f t="shared" si="0"/>
        <v>-56852.920300000005</v>
      </c>
      <c r="AU54" s="125">
        <f>AH54*Valores!$C$74</f>
        <v>-13954.807710000001</v>
      </c>
      <c r="AV54" s="125">
        <f>AH54*Valores!$C$75</f>
        <v>-1550.53419</v>
      </c>
      <c r="AW54" s="125">
        <f t="shared" si="4"/>
        <v>444656.80780000007</v>
      </c>
      <c r="AX54" s="126"/>
      <c r="AY54" s="126"/>
      <c r="AZ54" s="123" t="s">
        <v>4</v>
      </c>
    </row>
    <row r="55" spans="1:52" s="110" customFormat="1" ht="11.25" customHeight="1">
      <c r="A55" s="123" t="s">
        <v>203</v>
      </c>
      <c r="B55" s="123">
        <v>1</v>
      </c>
      <c r="C55" s="126">
        <v>48</v>
      </c>
      <c r="D55" s="124" t="s">
        <v>204</v>
      </c>
      <c r="E55" s="192">
        <v>98</v>
      </c>
      <c r="F55" s="125">
        <f>ROUND(E55*Valores!$C$2,2)</f>
        <v>5336.1</v>
      </c>
      <c r="G55" s="192">
        <v>2686</v>
      </c>
      <c r="H55" s="125">
        <f>ROUND(G55*Valores!$C$2,2)</f>
        <v>146252.7</v>
      </c>
      <c r="I55" s="192">
        <v>0</v>
      </c>
      <c r="J55" s="125">
        <f>ROUND(I55*Valores!$C$2,2)</f>
        <v>0</v>
      </c>
      <c r="K55" s="192">
        <v>0</v>
      </c>
      <c r="L55" s="125">
        <f>ROUND(K55*Valores!$C$2,2)</f>
        <v>0</v>
      </c>
      <c r="M55" s="125">
        <f>ROUND(IF($H$2=0,IF(AND(A55&lt;&gt;"13-930",A55&lt;&gt;"13-940"),(SUM(F55,H55,J55,L55,X55,T55,R55)*Valores!$C$4),0),0),2)</f>
        <v>49476.04</v>
      </c>
      <c r="N55" s="125">
        <f t="shared" si="1"/>
        <v>0</v>
      </c>
      <c r="O55" s="125">
        <f>Valores!$C$9</f>
        <v>68418.57</v>
      </c>
      <c r="P55" s="125">
        <f>Valores!$D$5</f>
        <v>27834.84</v>
      </c>
      <c r="Q55" s="125">
        <f>Valores!$C$22</f>
        <v>24831.49</v>
      </c>
      <c r="R55" s="125">
        <f>IF($F$4="NO",Valores!$C$45,Valores!$C$45/2)</f>
        <v>20416.3</v>
      </c>
      <c r="S55" s="125">
        <f>Valores!$C$19</f>
        <v>25899.06</v>
      </c>
      <c r="T55" s="125">
        <f t="shared" si="7"/>
        <v>25899.06</v>
      </c>
      <c r="U55" s="125">
        <v>0</v>
      </c>
      <c r="V55" s="125">
        <v>0</v>
      </c>
      <c r="W55" s="192">
        <v>0</v>
      </c>
      <c r="X55" s="125">
        <f>ROUND(W55*Valores!$C$2,2)</f>
        <v>0</v>
      </c>
      <c r="Y55" s="125">
        <v>0</v>
      </c>
      <c r="Z55" s="125">
        <f>Valores!$C$95</f>
        <v>45736.39</v>
      </c>
      <c r="AA55" s="125">
        <f>Valores!$C$25</f>
        <v>1138.39</v>
      </c>
      <c r="AB55" s="214">
        <v>0</v>
      </c>
      <c r="AC55" s="125">
        <f t="shared" si="2"/>
        <v>0</v>
      </c>
      <c r="AD55" s="125">
        <f>Valores!$C$26</f>
        <v>1138.39</v>
      </c>
      <c r="AE55" s="192">
        <v>0</v>
      </c>
      <c r="AF55" s="125">
        <f>ROUND(AE55*Valores!$C$2,2)</f>
        <v>0</v>
      </c>
      <c r="AG55" s="125">
        <f>ROUND(IF($F$4="NO",Valores!$C$63,Valores!$C$63/2),2)</f>
        <v>13014.72</v>
      </c>
      <c r="AH55" s="125">
        <f t="shared" si="5"/>
        <v>429492.99000000005</v>
      </c>
      <c r="AI55" s="125">
        <f>Valores!$C$31</f>
        <v>0</v>
      </c>
      <c r="AJ55" s="125">
        <f>Valores!$C$88</f>
        <v>0</v>
      </c>
      <c r="AK55" s="125">
        <f>Valores!C$38*B55</f>
        <v>0</v>
      </c>
      <c r="AL55" s="125">
        <f>IF($F$3="NO",0,Valores!$C$56)</f>
        <v>170.34</v>
      </c>
      <c r="AM55" s="125">
        <f t="shared" si="3"/>
        <v>170.34</v>
      </c>
      <c r="AN55" s="125">
        <f>AH55*Valores!$C$71</f>
        <v>-47244.22890000001</v>
      </c>
      <c r="AO55" s="125">
        <f>AH55*-Valores!$C$72</f>
        <v>0</v>
      </c>
      <c r="AP55" s="125">
        <f>AH55*Valores!$C$73</f>
        <v>-19327.18455</v>
      </c>
      <c r="AQ55" s="125">
        <f>Valores!$C$100</f>
        <v>-554.86</v>
      </c>
      <c r="AR55" s="125">
        <f>IF($F$5=0,Valores!$C$101,(Valores!$C$101+$F$5*(Valores!$C$101)))</f>
        <v>-852</v>
      </c>
      <c r="AS55" s="125">
        <f t="shared" si="6"/>
        <v>361685.05655000004</v>
      </c>
      <c r="AT55" s="125">
        <f t="shared" si="0"/>
        <v>-47244.22890000001</v>
      </c>
      <c r="AU55" s="125">
        <f>AH55*Valores!$C$74</f>
        <v>-11596.310730000001</v>
      </c>
      <c r="AV55" s="125">
        <f>AH55*Valores!$C$75</f>
        <v>-1288.4789700000001</v>
      </c>
      <c r="AW55" s="125">
        <f t="shared" si="4"/>
        <v>369534.31140000006</v>
      </c>
      <c r="AX55" s="126"/>
      <c r="AY55" s="126">
        <v>30</v>
      </c>
      <c r="AZ55" s="123" t="s">
        <v>4</v>
      </c>
    </row>
    <row r="56" spans="1:52" s="110" customFormat="1" ht="11.25" customHeight="1">
      <c r="A56" s="123" t="s">
        <v>205</v>
      </c>
      <c r="B56" s="123">
        <v>1</v>
      </c>
      <c r="C56" s="126">
        <v>49</v>
      </c>
      <c r="D56" s="124" t="s">
        <v>206</v>
      </c>
      <c r="E56" s="192">
        <v>94</v>
      </c>
      <c r="F56" s="125">
        <f>ROUND(E56*Valores!$C$2,2)</f>
        <v>5118.3</v>
      </c>
      <c r="G56" s="192">
        <v>2690</v>
      </c>
      <c r="H56" s="125">
        <f>ROUND(G56*Valores!$C$2,2)</f>
        <v>146470.5</v>
      </c>
      <c r="I56" s="192">
        <v>0</v>
      </c>
      <c r="J56" s="125">
        <f>ROUND(I56*Valores!$C$2,2)</f>
        <v>0</v>
      </c>
      <c r="K56" s="192">
        <v>0</v>
      </c>
      <c r="L56" s="125">
        <f>ROUND(K56*Valores!$C$2,2)</f>
        <v>0</v>
      </c>
      <c r="M56" s="125">
        <f>ROUND(IF($H$2=0,IF(AND(A56&lt;&gt;"13-930",A56&lt;&gt;"13-940"),(SUM(F56,H56,J56,L56,X56,T56,R56)*Valores!$C$4),0),0),2)</f>
        <v>49476.04</v>
      </c>
      <c r="N56" s="125">
        <f t="shared" si="1"/>
        <v>0</v>
      </c>
      <c r="O56" s="125">
        <f>Valores!$C$9</f>
        <v>68418.57</v>
      </c>
      <c r="P56" s="125">
        <f>Valores!$D$5</f>
        <v>27834.84</v>
      </c>
      <c r="Q56" s="125">
        <f>Valores!$C$22</f>
        <v>24831.49</v>
      </c>
      <c r="R56" s="125">
        <f>IF($F$4="NO",Valores!$C$45,Valores!$C$45/2)</f>
        <v>20416.3</v>
      </c>
      <c r="S56" s="125">
        <f>Valores!$C$19</f>
        <v>25899.06</v>
      </c>
      <c r="T56" s="125">
        <f t="shared" si="7"/>
        <v>25899.06</v>
      </c>
      <c r="U56" s="125">
        <v>0</v>
      </c>
      <c r="V56" s="125">
        <v>0</v>
      </c>
      <c r="W56" s="192">
        <v>0</v>
      </c>
      <c r="X56" s="125">
        <f>ROUND(W56*Valores!$C$2,2)</f>
        <v>0</v>
      </c>
      <c r="Y56" s="125">
        <v>0</v>
      </c>
      <c r="Z56" s="125">
        <f>Valores!$C$95</f>
        <v>45736.39</v>
      </c>
      <c r="AA56" s="125">
        <f>Valores!$C$25</f>
        <v>1138.39</v>
      </c>
      <c r="AB56" s="214">
        <v>0</v>
      </c>
      <c r="AC56" s="125">
        <f t="shared" si="2"/>
        <v>0</v>
      </c>
      <c r="AD56" s="125">
        <f>Valores!$C$26</f>
        <v>1138.39</v>
      </c>
      <c r="AE56" s="192">
        <v>94</v>
      </c>
      <c r="AF56" s="125">
        <f>ROUND(AE56*Valores!$C$2,2)</f>
        <v>5118.3</v>
      </c>
      <c r="AG56" s="125">
        <f>ROUND(IF($F$4="NO",Valores!$C$63,Valores!$C$63/2),2)</f>
        <v>13014.72</v>
      </c>
      <c r="AH56" s="125">
        <f t="shared" si="5"/>
        <v>434611.29000000004</v>
      </c>
      <c r="AI56" s="125">
        <f>Valores!$C$31</f>
        <v>0</v>
      </c>
      <c r="AJ56" s="125">
        <f>Valores!$C$88</f>
        <v>0</v>
      </c>
      <c r="AK56" s="125">
        <f>Valores!C$38*B56</f>
        <v>0</v>
      </c>
      <c r="AL56" s="125">
        <f>IF($F$3="NO",0,Valores!$C$56)</f>
        <v>170.34</v>
      </c>
      <c r="AM56" s="125">
        <f t="shared" si="3"/>
        <v>170.34</v>
      </c>
      <c r="AN56" s="125">
        <f>AH56*Valores!$C$71</f>
        <v>-47807.2419</v>
      </c>
      <c r="AO56" s="125">
        <f>AH56*-Valores!$C$72</f>
        <v>0</v>
      </c>
      <c r="AP56" s="125">
        <f>AH56*Valores!$C$73</f>
        <v>-19557.50805</v>
      </c>
      <c r="AQ56" s="125">
        <f>Valores!$C$100</f>
        <v>-554.86</v>
      </c>
      <c r="AR56" s="125">
        <f>IF($F$5=0,Valores!$C$101,(Valores!$C$101+$F$5*(Valores!$C$101)))</f>
        <v>-852</v>
      </c>
      <c r="AS56" s="125">
        <f t="shared" si="6"/>
        <v>366010.02005000005</v>
      </c>
      <c r="AT56" s="125">
        <f t="shared" si="0"/>
        <v>-47807.2419</v>
      </c>
      <c r="AU56" s="125">
        <f>AH56*Valores!$C$74</f>
        <v>-11734.504830000002</v>
      </c>
      <c r="AV56" s="125">
        <f>AH56*Valores!$C$75</f>
        <v>-1303.8338700000002</v>
      </c>
      <c r="AW56" s="125">
        <f t="shared" si="4"/>
        <v>373936.0494000001</v>
      </c>
      <c r="AX56" s="126"/>
      <c r="AY56" s="126">
        <v>25</v>
      </c>
      <c r="AZ56" s="123" t="s">
        <v>4</v>
      </c>
    </row>
    <row r="57" spans="1:52" s="110" customFormat="1" ht="11.25" customHeight="1">
      <c r="A57" s="123" t="s">
        <v>207</v>
      </c>
      <c r="B57" s="123">
        <v>1</v>
      </c>
      <c r="C57" s="126">
        <v>50</v>
      </c>
      <c r="D57" s="124" t="s">
        <v>208</v>
      </c>
      <c r="E57" s="192">
        <v>93</v>
      </c>
      <c r="F57" s="125">
        <f>ROUND(E57*Valores!$C$2,2)</f>
        <v>5063.85</v>
      </c>
      <c r="G57" s="192">
        <v>2547</v>
      </c>
      <c r="H57" s="125">
        <f>ROUND(G57*Valores!$C$2,2)</f>
        <v>138684.15</v>
      </c>
      <c r="I57" s="192">
        <v>0</v>
      </c>
      <c r="J57" s="125">
        <f>ROUND(I57*Valores!$C$2,2)</f>
        <v>0</v>
      </c>
      <c r="K57" s="192">
        <v>0</v>
      </c>
      <c r="L57" s="125">
        <f>ROUND(K57*Valores!$C$2,2)</f>
        <v>0</v>
      </c>
      <c r="M57" s="125">
        <f>ROUND(IF($H$2=0,IF(AND(A57&lt;&gt;"13-930",A57&lt;&gt;"13-940"),(SUM(F57,H57,J57,L57,X57,T57,R57)*Valores!$C$4),0),0),2)</f>
        <v>47515.84</v>
      </c>
      <c r="N57" s="125">
        <f t="shared" si="1"/>
        <v>0</v>
      </c>
      <c r="O57" s="125">
        <f>Valores!$C$9</f>
        <v>68418.57</v>
      </c>
      <c r="P57" s="125">
        <f>Valores!$D$5</f>
        <v>27834.84</v>
      </c>
      <c r="Q57" s="125">
        <f>Valores!$C$22</f>
        <v>24831.49</v>
      </c>
      <c r="R57" s="125">
        <f>IF($F$4="NO",Valores!$C$45,Valores!$C$45/2)</f>
        <v>20416.3</v>
      </c>
      <c r="S57" s="125">
        <f>Valores!$C$19</f>
        <v>25899.06</v>
      </c>
      <c r="T57" s="125">
        <f t="shared" si="7"/>
        <v>25899.06</v>
      </c>
      <c r="U57" s="125">
        <v>0</v>
      </c>
      <c r="V57" s="125">
        <v>0</v>
      </c>
      <c r="W57" s="192">
        <v>0</v>
      </c>
      <c r="X57" s="125">
        <f>ROUND(W57*Valores!$C$2,2)</f>
        <v>0</v>
      </c>
      <c r="Y57" s="125">
        <v>0</v>
      </c>
      <c r="Z57" s="125">
        <f>Valores!$C$95</f>
        <v>45736.39</v>
      </c>
      <c r="AA57" s="125">
        <f>Valores!$C$25</f>
        <v>1138.39</v>
      </c>
      <c r="AB57" s="214">
        <v>0</v>
      </c>
      <c r="AC57" s="125">
        <f t="shared" si="2"/>
        <v>0</v>
      </c>
      <c r="AD57" s="125">
        <f>Valores!$C$26</f>
        <v>1138.39</v>
      </c>
      <c r="AE57" s="192">
        <v>0</v>
      </c>
      <c r="AF57" s="125">
        <f>ROUND(AE57*Valores!$C$2,2)</f>
        <v>0</v>
      </c>
      <c r="AG57" s="125">
        <f>ROUND(IF($F$4="NO",Valores!$C$63,Valores!$C$63/2),2)</f>
        <v>13014.72</v>
      </c>
      <c r="AH57" s="125">
        <f t="shared" si="5"/>
        <v>419691.99</v>
      </c>
      <c r="AI57" s="125">
        <f>Valores!$C$31</f>
        <v>0</v>
      </c>
      <c r="AJ57" s="125">
        <f>Valores!$C$88</f>
        <v>0</v>
      </c>
      <c r="AK57" s="125">
        <f>Valores!C$38*B57</f>
        <v>0</v>
      </c>
      <c r="AL57" s="125">
        <f>IF($F$3="NO",0,Valores!$C$56)</f>
        <v>170.34</v>
      </c>
      <c r="AM57" s="125">
        <f t="shared" si="3"/>
        <v>170.34</v>
      </c>
      <c r="AN57" s="125">
        <f>AH57*Valores!$C$71</f>
        <v>-46166.1189</v>
      </c>
      <c r="AO57" s="125">
        <f>AH57*-Valores!$C$72</f>
        <v>0</v>
      </c>
      <c r="AP57" s="125">
        <f>AH57*Valores!$C$73</f>
        <v>-18886.13955</v>
      </c>
      <c r="AQ57" s="125">
        <f>Valores!$C$100</f>
        <v>-554.86</v>
      </c>
      <c r="AR57" s="125">
        <f>IF($F$5=0,Valores!$C$101,(Valores!$C$101+$F$5*(Valores!$C$101)))</f>
        <v>-852</v>
      </c>
      <c r="AS57" s="125">
        <f t="shared" si="6"/>
        <v>353403.21155</v>
      </c>
      <c r="AT57" s="125">
        <f t="shared" si="0"/>
        <v>-46166.1189</v>
      </c>
      <c r="AU57" s="125">
        <f>AH57*Valores!$C$74</f>
        <v>-11331.683729999999</v>
      </c>
      <c r="AV57" s="125">
        <f>AH57*Valores!$C$75</f>
        <v>-1259.07597</v>
      </c>
      <c r="AW57" s="125">
        <f t="shared" si="4"/>
        <v>361105.4514</v>
      </c>
      <c r="AX57" s="126"/>
      <c r="AY57" s="126">
        <v>30</v>
      </c>
      <c r="AZ57" s="123" t="s">
        <v>4</v>
      </c>
    </row>
    <row r="58" spans="1:52" s="110" customFormat="1" ht="11.25" customHeight="1">
      <c r="A58" s="123" t="s">
        <v>209</v>
      </c>
      <c r="B58" s="123">
        <v>1</v>
      </c>
      <c r="C58" s="126">
        <v>51</v>
      </c>
      <c r="D58" s="124" t="s">
        <v>210</v>
      </c>
      <c r="E58" s="192">
        <v>89</v>
      </c>
      <c r="F58" s="125">
        <f>ROUND(E58*Valores!$C$2,2)</f>
        <v>4846.05</v>
      </c>
      <c r="G58" s="192">
        <v>2551</v>
      </c>
      <c r="H58" s="125">
        <f>ROUND(G58*Valores!$C$2,2)</f>
        <v>138901.95</v>
      </c>
      <c r="I58" s="192">
        <v>0</v>
      </c>
      <c r="J58" s="125">
        <f>ROUND(I58*Valores!$C$2,2)</f>
        <v>0</v>
      </c>
      <c r="K58" s="192">
        <v>0</v>
      </c>
      <c r="L58" s="125">
        <f>ROUND(K58*Valores!$C$2,2)</f>
        <v>0</v>
      </c>
      <c r="M58" s="125">
        <f>ROUND(IF($H$2=0,IF(AND(A58&lt;&gt;"13-930",A58&lt;&gt;"13-940"),(SUM(F58,H58,J58,L58,X58,T58,R58)*Valores!$C$4),0),0),2)</f>
        <v>47515.84</v>
      </c>
      <c r="N58" s="125">
        <f t="shared" si="1"/>
        <v>0</v>
      </c>
      <c r="O58" s="125">
        <f>Valores!$C$9</f>
        <v>68418.57</v>
      </c>
      <c r="P58" s="125">
        <f>Valores!$D$5</f>
        <v>27834.84</v>
      </c>
      <c r="Q58" s="125">
        <f>Valores!$C$22</f>
        <v>24831.49</v>
      </c>
      <c r="R58" s="125">
        <f>IF($F$4="NO",Valores!$C$45,Valores!$C$45/2)</f>
        <v>20416.3</v>
      </c>
      <c r="S58" s="125">
        <f>Valores!$C$19</f>
        <v>25899.06</v>
      </c>
      <c r="T58" s="125">
        <f t="shared" si="7"/>
        <v>25899.06</v>
      </c>
      <c r="U58" s="125">
        <v>0</v>
      </c>
      <c r="V58" s="125">
        <v>0</v>
      </c>
      <c r="W58" s="192">
        <v>0</v>
      </c>
      <c r="X58" s="125">
        <f>ROUND(W58*Valores!$C$2,2)</f>
        <v>0</v>
      </c>
      <c r="Y58" s="125">
        <v>0</v>
      </c>
      <c r="Z58" s="125">
        <f>Valores!$C$95</f>
        <v>45736.39</v>
      </c>
      <c r="AA58" s="125">
        <f>Valores!$C$25</f>
        <v>1138.39</v>
      </c>
      <c r="AB58" s="214">
        <v>0</v>
      </c>
      <c r="AC58" s="125">
        <f t="shared" si="2"/>
        <v>0</v>
      </c>
      <c r="AD58" s="125">
        <f>Valores!$C$26</f>
        <v>1138.39</v>
      </c>
      <c r="AE58" s="192">
        <v>94</v>
      </c>
      <c r="AF58" s="125">
        <f>ROUND(AE58*Valores!$C$2,2)</f>
        <v>5118.3</v>
      </c>
      <c r="AG58" s="125">
        <f>ROUND(IF($F$4="NO",Valores!$C$63,Valores!$C$63/2),2)</f>
        <v>13014.72</v>
      </c>
      <c r="AH58" s="125">
        <f t="shared" si="5"/>
        <v>424810.29</v>
      </c>
      <c r="AI58" s="125">
        <f>Valores!$C$31</f>
        <v>0</v>
      </c>
      <c r="AJ58" s="125">
        <f>Valores!$C$88</f>
        <v>0</v>
      </c>
      <c r="AK58" s="125">
        <f>Valores!C$38*B58</f>
        <v>0</v>
      </c>
      <c r="AL58" s="125">
        <f>IF($F$3="NO",0,Valores!$C$56)</f>
        <v>170.34</v>
      </c>
      <c r="AM58" s="125">
        <f t="shared" si="3"/>
        <v>170.34</v>
      </c>
      <c r="AN58" s="125">
        <f>AH58*Valores!$C$71</f>
        <v>-46729.1319</v>
      </c>
      <c r="AO58" s="125">
        <f>AH58*-Valores!$C$72</f>
        <v>0</v>
      </c>
      <c r="AP58" s="125">
        <f>AH58*Valores!$C$73</f>
        <v>-19116.46305</v>
      </c>
      <c r="AQ58" s="125">
        <f>Valores!$C$100</f>
        <v>-554.86</v>
      </c>
      <c r="AR58" s="125">
        <f>IF($F$5=0,Valores!$C$101,(Valores!$C$101+$F$5*(Valores!$C$101)))</f>
        <v>-852</v>
      </c>
      <c r="AS58" s="125">
        <f t="shared" si="6"/>
        <v>357728.17504999996</v>
      </c>
      <c r="AT58" s="125">
        <f t="shared" si="0"/>
        <v>-46729.1319</v>
      </c>
      <c r="AU58" s="125">
        <f>AH58*Valores!$C$74</f>
        <v>-11469.87783</v>
      </c>
      <c r="AV58" s="125">
        <f>AH58*Valores!$C$75</f>
        <v>-1274.43087</v>
      </c>
      <c r="AW58" s="125">
        <f t="shared" si="4"/>
        <v>365507.18940000003</v>
      </c>
      <c r="AX58" s="126"/>
      <c r="AY58" s="126">
        <v>25</v>
      </c>
      <c r="AZ58" s="123" t="s">
        <v>4</v>
      </c>
    </row>
    <row r="59" spans="1:52" s="110" customFormat="1" ht="11.25" customHeight="1">
      <c r="A59" s="123" t="s">
        <v>211</v>
      </c>
      <c r="B59" s="123">
        <v>1</v>
      </c>
      <c r="C59" s="126">
        <v>52</v>
      </c>
      <c r="D59" s="124" t="s">
        <v>212</v>
      </c>
      <c r="E59" s="192">
        <v>89</v>
      </c>
      <c r="F59" s="125">
        <f>ROUND(E59*Valores!$C$2,2)</f>
        <v>4846.05</v>
      </c>
      <c r="G59" s="192">
        <v>2251</v>
      </c>
      <c r="H59" s="125">
        <f>ROUND(G59*Valores!$C$2,2)</f>
        <v>122566.95</v>
      </c>
      <c r="I59" s="192">
        <v>0</v>
      </c>
      <c r="J59" s="125">
        <f>ROUND(I59*Valores!$C$2,2)</f>
        <v>0</v>
      </c>
      <c r="K59" s="192">
        <v>0</v>
      </c>
      <c r="L59" s="125">
        <f>ROUND(K59*Valores!$C$2,2)</f>
        <v>0</v>
      </c>
      <c r="M59" s="125">
        <f>ROUND(IF($H$2=0,IF(AND(A59&lt;&gt;"13-930",A59&lt;&gt;"13-940"),(SUM(F59,H59,J59,L59,X59,T59,R59)*Valores!$C$4),0),0),2)</f>
        <v>43432.09</v>
      </c>
      <c r="N59" s="125">
        <f t="shared" si="1"/>
        <v>0</v>
      </c>
      <c r="O59" s="125">
        <f>Valores!$C$9</f>
        <v>68418.57</v>
      </c>
      <c r="P59" s="125">
        <f>Valores!$D$5</f>
        <v>27834.84</v>
      </c>
      <c r="Q59" s="125">
        <f>Valores!$C$22</f>
        <v>24831.49</v>
      </c>
      <c r="R59" s="125">
        <f>IF($F$4="NO",Valores!$C$45,Valores!$C$45/2)</f>
        <v>20416.3</v>
      </c>
      <c r="S59" s="125">
        <f>Valores!$C$19</f>
        <v>25899.06</v>
      </c>
      <c r="T59" s="125">
        <f t="shared" si="7"/>
        <v>25899.06</v>
      </c>
      <c r="U59" s="125">
        <v>0</v>
      </c>
      <c r="V59" s="125">
        <v>0</v>
      </c>
      <c r="W59" s="192">
        <v>0</v>
      </c>
      <c r="X59" s="125">
        <f>ROUND(W59*Valores!$C$2,2)</f>
        <v>0</v>
      </c>
      <c r="Y59" s="125">
        <v>0</v>
      </c>
      <c r="Z59" s="125">
        <f>Valores!$C$95</f>
        <v>45736.39</v>
      </c>
      <c r="AA59" s="125">
        <f>Valores!$C$25</f>
        <v>1138.39</v>
      </c>
      <c r="AB59" s="214">
        <v>0</v>
      </c>
      <c r="AC59" s="125">
        <f t="shared" si="2"/>
        <v>0</v>
      </c>
      <c r="AD59" s="125">
        <f>Valores!$C$26</f>
        <v>1138.39</v>
      </c>
      <c r="AE59" s="192">
        <v>0</v>
      </c>
      <c r="AF59" s="125">
        <f>ROUND(AE59*Valores!$C$2,2)</f>
        <v>0</v>
      </c>
      <c r="AG59" s="125">
        <f>ROUND(IF($F$4="NO",Valores!$C$63,Valores!$C$63/2),2)</f>
        <v>13014.72</v>
      </c>
      <c r="AH59" s="125">
        <f t="shared" si="5"/>
        <v>399273.24</v>
      </c>
      <c r="AI59" s="125">
        <f>Valores!$C$31</f>
        <v>0</v>
      </c>
      <c r="AJ59" s="125">
        <f>Valores!$C$88</f>
        <v>0</v>
      </c>
      <c r="AK59" s="125">
        <f>Valores!C$38*B59</f>
        <v>0</v>
      </c>
      <c r="AL59" s="125">
        <f>IF($F$3="NO",0,Valores!$C$56)</f>
        <v>170.34</v>
      </c>
      <c r="AM59" s="125">
        <f t="shared" si="3"/>
        <v>170.34</v>
      </c>
      <c r="AN59" s="125">
        <f>AH59*Valores!$C$71</f>
        <v>-43920.0564</v>
      </c>
      <c r="AO59" s="125">
        <f>AH59*-Valores!$C$72</f>
        <v>0</v>
      </c>
      <c r="AP59" s="125">
        <f>AH59*Valores!$C$73</f>
        <v>-17967.2958</v>
      </c>
      <c r="AQ59" s="125">
        <f>Valores!$C$100</f>
        <v>-554.86</v>
      </c>
      <c r="AR59" s="125">
        <f>IF($F$5=0,Valores!$C$101,(Valores!$C$101+$F$5*(Valores!$C$101)))</f>
        <v>-852</v>
      </c>
      <c r="AS59" s="125">
        <f t="shared" si="6"/>
        <v>336149.3678</v>
      </c>
      <c r="AT59" s="125">
        <f t="shared" si="0"/>
        <v>-43920.0564</v>
      </c>
      <c r="AU59" s="125">
        <f>AH59*Valores!$C$74</f>
        <v>-10780.37748</v>
      </c>
      <c r="AV59" s="125">
        <f>AH59*Valores!$C$75</f>
        <v>-1197.81972</v>
      </c>
      <c r="AW59" s="125">
        <f t="shared" si="4"/>
        <v>343545.3264</v>
      </c>
      <c r="AX59" s="126"/>
      <c r="AY59" s="126">
        <v>30</v>
      </c>
      <c r="AZ59" s="123" t="s">
        <v>4</v>
      </c>
    </row>
    <row r="60" spans="1:52" s="110" customFormat="1" ht="11.25" customHeight="1">
      <c r="A60" s="123" t="s">
        <v>213</v>
      </c>
      <c r="B60" s="123">
        <v>1</v>
      </c>
      <c r="C60" s="126">
        <v>53</v>
      </c>
      <c r="D60" s="124" t="s">
        <v>214</v>
      </c>
      <c r="E60" s="192">
        <v>85</v>
      </c>
      <c r="F60" s="125">
        <f>ROUND(E60*Valores!$C$2,2)</f>
        <v>4628.25</v>
      </c>
      <c r="G60" s="192">
        <v>2255</v>
      </c>
      <c r="H60" s="125">
        <f>ROUND(G60*Valores!$C$2,2)</f>
        <v>122784.75</v>
      </c>
      <c r="I60" s="192">
        <v>0</v>
      </c>
      <c r="J60" s="125">
        <f>ROUND(I60*Valores!$C$2,2)</f>
        <v>0</v>
      </c>
      <c r="K60" s="192">
        <v>0</v>
      </c>
      <c r="L60" s="125">
        <f>ROUND(K60*Valores!$C$2,2)</f>
        <v>0</v>
      </c>
      <c r="M60" s="125">
        <f>ROUND(IF($H$2=0,IF(AND(A60&lt;&gt;"13-930",A60&lt;&gt;"13-940"),(SUM(F60,H60,J60,L60,X60,T60,R60)*Valores!$C$4),0),0),2)</f>
        <v>43432.09</v>
      </c>
      <c r="N60" s="125">
        <f t="shared" si="1"/>
        <v>0</v>
      </c>
      <c r="O60" s="125">
        <f>Valores!$C$9</f>
        <v>68418.57</v>
      </c>
      <c r="P60" s="125">
        <f>Valores!$D$5</f>
        <v>27834.84</v>
      </c>
      <c r="Q60" s="125">
        <f>Valores!$C$22</f>
        <v>24831.49</v>
      </c>
      <c r="R60" s="125">
        <f>IF($F$4="NO",Valores!$C$45,Valores!$C$45/2)</f>
        <v>20416.3</v>
      </c>
      <c r="S60" s="125">
        <f>Valores!$C$19</f>
        <v>25899.06</v>
      </c>
      <c r="T60" s="125">
        <f t="shared" si="7"/>
        <v>25899.06</v>
      </c>
      <c r="U60" s="125">
        <v>0</v>
      </c>
      <c r="V60" s="125">
        <v>0</v>
      </c>
      <c r="W60" s="192">
        <v>0</v>
      </c>
      <c r="X60" s="125">
        <f>ROUND(W60*Valores!$C$2,2)</f>
        <v>0</v>
      </c>
      <c r="Y60" s="125">
        <v>0</v>
      </c>
      <c r="Z60" s="125">
        <f>Valores!$C$95</f>
        <v>45736.39</v>
      </c>
      <c r="AA60" s="125">
        <f>Valores!$C$25</f>
        <v>1138.39</v>
      </c>
      <c r="AB60" s="214">
        <v>0</v>
      </c>
      <c r="AC60" s="125">
        <f t="shared" si="2"/>
        <v>0</v>
      </c>
      <c r="AD60" s="125">
        <f>Valores!$C$26</f>
        <v>1138.39</v>
      </c>
      <c r="AE60" s="192">
        <v>94</v>
      </c>
      <c r="AF60" s="125">
        <f>ROUND(AE60*Valores!$C$2,2)</f>
        <v>5118.3</v>
      </c>
      <c r="AG60" s="125">
        <f>ROUND(IF($F$4="NO",Valores!$C$63,Valores!$C$63/2),2)</f>
        <v>13014.72</v>
      </c>
      <c r="AH60" s="125">
        <f t="shared" si="5"/>
        <v>404391.54</v>
      </c>
      <c r="AI60" s="125">
        <f>Valores!$C$31</f>
        <v>0</v>
      </c>
      <c r="AJ60" s="125">
        <f>Valores!$C$88</f>
        <v>0</v>
      </c>
      <c r="AK60" s="125">
        <f>Valores!C$38*B60</f>
        <v>0</v>
      </c>
      <c r="AL60" s="125">
        <f>IF($F$3="NO",0,Valores!$C$56)</f>
        <v>170.34</v>
      </c>
      <c r="AM60" s="125">
        <f t="shared" si="3"/>
        <v>170.34</v>
      </c>
      <c r="AN60" s="125">
        <f>AH60*Valores!$C$71</f>
        <v>-44483.0694</v>
      </c>
      <c r="AO60" s="125">
        <f>AH60*-Valores!$C$72</f>
        <v>0</v>
      </c>
      <c r="AP60" s="125">
        <f>AH60*Valores!$C$73</f>
        <v>-18197.6193</v>
      </c>
      <c r="AQ60" s="125">
        <f>Valores!$C$100</f>
        <v>-554.86</v>
      </c>
      <c r="AR60" s="125">
        <f>IF($F$5=0,Valores!$C$101,(Valores!$C$101+$F$5*(Valores!$C$101)))</f>
        <v>-852</v>
      </c>
      <c r="AS60" s="125">
        <f t="shared" si="6"/>
        <v>340474.33129999996</v>
      </c>
      <c r="AT60" s="125">
        <f t="shared" si="0"/>
        <v>-44483.0694</v>
      </c>
      <c r="AU60" s="125">
        <f>AH60*Valores!$C$74</f>
        <v>-10918.57158</v>
      </c>
      <c r="AV60" s="125">
        <f>AH60*Valores!$C$75</f>
        <v>-1213.17462</v>
      </c>
      <c r="AW60" s="125">
        <f t="shared" si="4"/>
        <v>347947.06440000003</v>
      </c>
      <c r="AX60" s="126"/>
      <c r="AY60" s="126">
        <v>25</v>
      </c>
      <c r="AZ60" s="123" t="s">
        <v>4</v>
      </c>
    </row>
    <row r="61" spans="1:52" s="110" customFormat="1" ht="11.25" customHeight="1">
      <c r="A61" s="123" t="s">
        <v>215</v>
      </c>
      <c r="B61" s="123">
        <v>1</v>
      </c>
      <c r="C61" s="126">
        <v>54</v>
      </c>
      <c r="D61" s="124" t="s">
        <v>216</v>
      </c>
      <c r="E61" s="192">
        <v>100</v>
      </c>
      <c r="F61" s="125">
        <f>ROUND(E61*Valores!$C$2,2)</f>
        <v>5445</v>
      </c>
      <c r="G61" s="192">
        <v>3180</v>
      </c>
      <c r="H61" s="125">
        <f>ROUND(G61*Valores!$C$2,2)</f>
        <v>173151</v>
      </c>
      <c r="I61" s="192">
        <v>0</v>
      </c>
      <c r="J61" s="125">
        <f>ROUND(I61*Valores!$C$2,2)</f>
        <v>0</v>
      </c>
      <c r="K61" s="192">
        <v>0</v>
      </c>
      <c r="L61" s="125">
        <f>ROUND(K61*Valores!$C$2,2)</f>
        <v>0</v>
      </c>
      <c r="M61" s="125">
        <f>ROUND(IF($H$2=0,IF(AND(A61&lt;&gt;"13-930",A61&lt;&gt;"13-940"),(SUM(F61,H61,J61,L61,X61,T61,R61)*Valores!$C$4),0),0),2)</f>
        <v>57316.98</v>
      </c>
      <c r="N61" s="125">
        <f t="shared" si="1"/>
        <v>0</v>
      </c>
      <c r="O61" s="125">
        <f>Valores!$C$9</f>
        <v>68418.57</v>
      </c>
      <c r="P61" s="125">
        <f>Valores!$D$5</f>
        <v>27834.84</v>
      </c>
      <c r="Q61" s="125">
        <f>Valores!$C$22</f>
        <v>24831.49</v>
      </c>
      <c r="R61" s="125">
        <f>IF($F$4="NO",Valores!$C$48,Valores!$C$48/2)</f>
        <v>24772.84</v>
      </c>
      <c r="S61" s="125">
        <f>Valores!$C$19</f>
        <v>25899.06</v>
      </c>
      <c r="T61" s="125">
        <f t="shared" si="7"/>
        <v>25899.06</v>
      </c>
      <c r="U61" s="125">
        <v>0</v>
      </c>
      <c r="V61" s="125">
        <v>0</v>
      </c>
      <c r="W61" s="192">
        <v>0</v>
      </c>
      <c r="X61" s="125">
        <f>ROUND(W61*Valores!$C$2,2)</f>
        <v>0</v>
      </c>
      <c r="Y61" s="125">
        <v>0</v>
      </c>
      <c r="Z61" s="125">
        <f>Valores!$C$95</f>
        <v>45736.39</v>
      </c>
      <c r="AA61" s="125">
        <f>Valores!$C$25</f>
        <v>1138.39</v>
      </c>
      <c r="AB61" s="214">
        <v>0</v>
      </c>
      <c r="AC61" s="125">
        <f t="shared" si="2"/>
        <v>0</v>
      </c>
      <c r="AD61" s="125">
        <f>Valores!$C$26</f>
        <v>1138.39</v>
      </c>
      <c r="AE61" s="192">
        <v>0</v>
      </c>
      <c r="AF61" s="125">
        <f>ROUND(AE61*Valores!$C$2,2)</f>
        <v>0</v>
      </c>
      <c r="AG61" s="125">
        <f>ROUND(IF($F$4="NO",Valores!$C$63,Valores!$C$63/2),2)</f>
        <v>13014.72</v>
      </c>
      <c r="AH61" s="125">
        <f t="shared" si="5"/>
        <v>468697.6700000001</v>
      </c>
      <c r="AI61" s="125">
        <f>Valores!$C$31</f>
        <v>0</v>
      </c>
      <c r="AJ61" s="125">
        <f>Valores!$C$88</f>
        <v>0</v>
      </c>
      <c r="AK61" s="125">
        <f>Valores!C$38*B61</f>
        <v>0</v>
      </c>
      <c r="AL61" s="125">
        <f>IF($F$3="NO",0,Valores!$C$56)</f>
        <v>170.34</v>
      </c>
      <c r="AM61" s="125">
        <f t="shared" si="3"/>
        <v>170.34</v>
      </c>
      <c r="AN61" s="125">
        <f>AH61*Valores!$C$71</f>
        <v>-51556.74370000001</v>
      </c>
      <c r="AO61" s="125">
        <f>AH61*-Valores!$C$72</f>
        <v>0</v>
      </c>
      <c r="AP61" s="125">
        <f>AH61*Valores!$C$73</f>
        <v>-21091.395150000004</v>
      </c>
      <c r="AQ61" s="125">
        <f>Valores!$C$100</f>
        <v>-554.86</v>
      </c>
      <c r="AR61" s="125">
        <f>IF($F$5=0,Valores!$C$101,(Valores!$C$101+$F$5*(Valores!$C$101)))</f>
        <v>-852</v>
      </c>
      <c r="AS61" s="125">
        <f t="shared" si="6"/>
        <v>394813.0111500001</v>
      </c>
      <c r="AT61" s="125">
        <f t="shared" si="0"/>
        <v>-51556.74370000001</v>
      </c>
      <c r="AU61" s="125">
        <f>AH61*Valores!$C$74</f>
        <v>-12654.837090000003</v>
      </c>
      <c r="AV61" s="125">
        <f>AH61*Valores!$C$75</f>
        <v>-1406.0930100000003</v>
      </c>
      <c r="AW61" s="125">
        <f t="shared" si="4"/>
        <v>403250.33620000014</v>
      </c>
      <c r="AX61" s="126"/>
      <c r="AY61" s="126"/>
      <c r="AZ61" s="123" t="s">
        <v>4</v>
      </c>
    </row>
    <row r="62" spans="1:52" s="110" customFormat="1" ht="11.25" customHeight="1">
      <c r="A62" s="123" t="s">
        <v>217</v>
      </c>
      <c r="B62" s="123">
        <v>1</v>
      </c>
      <c r="C62" s="126">
        <v>55</v>
      </c>
      <c r="D62" s="124" t="s">
        <v>218</v>
      </c>
      <c r="E62" s="192">
        <v>83</v>
      </c>
      <c r="F62" s="125">
        <f>ROUND(E62*Valores!$C$2,2)</f>
        <v>4519.35</v>
      </c>
      <c r="G62" s="192">
        <v>2352</v>
      </c>
      <c r="H62" s="125">
        <f>ROUND(G62*Valores!$C$2,2)</f>
        <v>128066.4</v>
      </c>
      <c r="I62" s="192">
        <v>0</v>
      </c>
      <c r="J62" s="125">
        <f>ROUND(I62*Valores!$C$2,2)</f>
        <v>0</v>
      </c>
      <c r="K62" s="192">
        <v>0</v>
      </c>
      <c r="L62" s="125">
        <f>ROUND(K62*Valores!$C$2,2)</f>
        <v>0</v>
      </c>
      <c r="M62" s="125">
        <f>ROUND(IF($H$2=0,IF(AND(A62&lt;&gt;"13-930",A62&lt;&gt;"13-940"),(SUM(F62,H62,J62,L62,X62,T62,R62)*Valores!$C$4),0),0),2)</f>
        <v>44725.28</v>
      </c>
      <c r="N62" s="125">
        <f t="shared" si="1"/>
        <v>0</v>
      </c>
      <c r="O62" s="125">
        <f>Valores!$C$9</f>
        <v>68418.57</v>
      </c>
      <c r="P62" s="125">
        <f>Valores!$D$5</f>
        <v>27834.84</v>
      </c>
      <c r="Q62" s="125">
        <f>Valores!$C$22</f>
        <v>24831.49</v>
      </c>
      <c r="R62" s="125">
        <f>IF($F$4="NO",Valores!$C$45,Valores!$C$45/2)</f>
        <v>20416.3</v>
      </c>
      <c r="S62" s="125">
        <f>Valores!$C$19</f>
        <v>25899.06</v>
      </c>
      <c r="T62" s="125">
        <f t="shared" si="7"/>
        <v>25899.06</v>
      </c>
      <c r="U62" s="125">
        <v>0</v>
      </c>
      <c r="V62" s="125">
        <v>0</v>
      </c>
      <c r="W62" s="192">
        <v>0</v>
      </c>
      <c r="X62" s="125">
        <f>ROUND(W62*Valores!$C$2,2)</f>
        <v>0</v>
      </c>
      <c r="Y62" s="125">
        <v>0</v>
      </c>
      <c r="Z62" s="125">
        <f>Valores!$C$95</f>
        <v>45736.39</v>
      </c>
      <c r="AA62" s="125">
        <f>Valores!$C$25</f>
        <v>1138.39</v>
      </c>
      <c r="AB62" s="214">
        <v>0</v>
      </c>
      <c r="AC62" s="125">
        <f t="shared" si="2"/>
        <v>0</v>
      </c>
      <c r="AD62" s="125">
        <f>Valores!$C$26</f>
        <v>1138.39</v>
      </c>
      <c r="AE62" s="192">
        <v>0</v>
      </c>
      <c r="AF62" s="125">
        <f>ROUND(AE62*Valores!$C$2,2)</f>
        <v>0</v>
      </c>
      <c r="AG62" s="125">
        <f>ROUND(IF($F$4="NO",Valores!$C$63,Valores!$C$63/2),2)</f>
        <v>13014.72</v>
      </c>
      <c r="AH62" s="125">
        <f t="shared" si="5"/>
        <v>405739.18</v>
      </c>
      <c r="AI62" s="125">
        <f>Valores!$C$31</f>
        <v>0</v>
      </c>
      <c r="AJ62" s="125">
        <f>Valores!$C$88</f>
        <v>0</v>
      </c>
      <c r="AK62" s="125">
        <f>Valores!C$38*B62</f>
        <v>0</v>
      </c>
      <c r="AL62" s="125">
        <f>IF($F$3="NO",0,Valores!$C$56)</f>
        <v>170.34</v>
      </c>
      <c r="AM62" s="125">
        <f t="shared" si="3"/>
        <v>170.34</v>
      </c>
      <c r="AN62" s="125">
        <f>AH62*Valores!$C$71</f>
        <v>-44631.3098</v>
      </c>
      <c r="AO62" s="125">
        <f>AH62*-Valores!$C$72</f>
        <v>0</v>
      </c>
      <c r="AP62" s="125">
        <f>AH62*Valores!$C$73</f>
        <v>-18258.2631</v>
      </c>
      <c r="AQ62" s="125">
        <f>Valores!$C$100</f>
        <v>-554.86</v>
      </c>
      <c r="AR62" s="125">
        <f>IF($F$5=0,Valores!$C$101,(Valores!$C$101+$F$5*(Valores!$C$101)))</f>
        <v>-852</v>
      </c>
      <c r="AS62" s="125">
        <f t="shared" si="6"/>
        <v>341613.0871</v>
      </c>
      <c r="AT62" s="125">
        <f t="shared" si="0"/>
        <v>-44631.3098</v>
      </c>
      <c r="AU62" s="125">
        <f>AH62*Valores!$C$74</f>
        <v>-10954.95786</v>
      </c>
      <c r="AV62" s="125">
        <f>AH62*Valores!$C$75</f>
        <v>-1217.21754</v>
      </c>
      <c r="AW62" s="125">
        <f t="shared" si="4"/>
        <v>349106.0348</v>
      </c>
      <c r="AX62" s="126"/>
      <c r="AY62" s="126">
        <v>30</v>
      </c>
      <c r="AZ62" s="123" t="s">
        <v>4</v>
      </c>
    </row>
    <row r="63" spans="1:52" s="110" customFormat="1" ht="11.25" customHeight="1">
      <c r="A63" s="123" t="s">
        <v>219</v>
      </c>
      <c r="B63" s="123">
        <v>1</v>
      </c>
      <c r="C63" s="126">
        <v>56</v>
      </c>
      <c r="D63" s="124" t="s">
        <v>220</v>
      </c>
      <c r="E63" s="192">
        <v>81</v>
      </c>
      <c r="F63" s="125">
        <f>ROUND(E63*Valores!$C$2,2)</f>
        <v>4410.45</v>
      </c>
      <c r="G63" s="192">
        <v>2354</v>
      </c>
      <c r="H63" s="125">
        <f>ROUND(G63*Valores!$C$2,2)</f>
        <v>128175.3</v>
      </c>
      <c r="I63" s="192">
        <v>0</v>
      </c>
      <c r="J63" s="125">
        <f>ROUND(I63*Valores!$C$2,2)</f>
        <v>0</v>
      </c>
      <c r="K63" s="192">
        <v>0</v>
      </c>
      <c r="L63" s="125">
        <f>ROUND(K63*Valores!$C$2,2)</f>
        <v>0</v>
      </c>
      <c r="M63" s="125">
        <f>ROUND(IF($H$2=0,IF(AND(A63&lt;&gt;"13-930",A63&lt;&gt;"13-940"),(SUM(F63,H63,J63,L63,X63,T63,R63)*Valores!$C$4),0),0),2)</f>
        <v>44725.28</v>
      </c>
      <c r="N63" s="125">
        <f t="shared" si="1"/>
        <v>0</v>
      </c>
      <c r="O63" s="125">
        <f>Valores!$C$9</f>
        <v>68418.57</v>
      </c>
      <c r="P63" s="125">
        <f>Valores!$D$5</f>
        <v>27834.84</v>
      </c>
      <c r="Q63" s="125">
        <f>Valores!$C$22</f>
        <v>24831.49</v>
      </c>
      <c r="R63" s="125">
        <f>IF($F$4="NO",Valores!$C$45,Valores!$C$45/2)</f>
        <v>20416.3</v>
      </c>
      <c r="S63" s="125">
        <f>Valores!$C$19</f>
        <v>25899.06</v>
      </c>
      <c r="T63" s="125">
        <f t="shared" si="7"/>
        <v>25899.06</v>
      </c>
      <c r="U63" s="125">
        <v>0</v>
      </c>
      <c r="V63" s="125">
        <v>0</v>
      </c>
      <c r="W63" s="192">
        <v>0</v>
      </c>
      <c r="X63" s="125">
        <f>ROUND(W63*Valores!$C$2,2)</f>
        <v>0</v>
      </c>
      <c r="Y63" s="125">
        <v>0</v>
      </c>
      <c r="Z63" s="125">
        <f>Valores!$C$95</f>
        <v>45736.39</v>
      </c>
      <c r="AA63" s="125">
        <f>Valores!$C$25</f>
        <v>1138.39</v>
      </c>
      <c r="AB63" s="214">
        <v>0</v>
      </c>
      <c r="AC63" s="125">
        <f t="shared" si="2"/>
        <v>0</v>
      </c>
      <c r="AD63" s="125">
        <f>Valores!$C$26</f>
        <v>1138.39</v>
      </c>
      <c r="AE63" s="192">
        <v>94</v>
      </c>
      <c r="AF63" s="125">
        <f>ROUND(AE63*Valores!$C$2,2)</f>
        <v>5118.3</v>
      </c>
      <c r="AG63" s="125">
        <f>ROUND(IF($F$4="NO",Valores!$C$63,Valores!$C$63/2),2)</f>
        <v>13014.72</v>
      </c>
      <c r="AH63" s="125">
        <f t="shared" si="5"/>
        <v>410857.48</v>
      </c>
      <c r="AI63" s="125">
        <f>Valores!$C$31</f>
        <v>0</v>
      </c>
      <c r="AJ63" s="125">
        <f>Valores!$C$88</f>
        <v>0</v>
      </c>
      <c r="AK63" s="125">
        <f>Valores!C$38*B63</f>
        <v>0</v>
      </c>
      <c r="AL63" s="125">
        <f>IF($F$3="NO",0,Valores!$C$56)</f>
        <v>170.34</v>
      </c>
      <c r="AM63" s="125">
        <f t="shared" si="3"/>
        <v>170.34</v>
      </c>
      <c r="AN63" s="125">
        <f>AH63*Valores!$C$71</f>
        <v>-45194.3228</v>
      </c>
      <c r="AO63" s="125">
        <f>AH63*-Valores!$C$72</f>
        <v>0</v>
      </c>
      <c r="AP63" s="125">
        <f>AH63*Valores!$C$73</f>
        <v>-18488.5866</v>
      </c>
      <c r="AQ63" s="125">
        <f>Valores!$C$100</f>
        <v>-554.86</v>
      </c>
      <c r="AR63" s="125">
        <f>IF($F$5=0,Valores!$C$101,(Valores!$C$101+$F$5*(Valores!$C$101)))</f>
        <v>-852</v>
      </c>
      <c r="AS63" s="125">
        <f t="shared" si="6"/>
        <v>345938.05059999996</v>
      </c>
      <c r="AT63" s="125">
        <f t="shared" si="0"/>
        <v>-45194.3228</v>
      </c>
      <c r="AU63" s="125">
        <f>AH63*Valores!$C$74</f>
        <v>-11093.15196</v>
      </c>
      <c r="AV63" s="125">
        <f>AH63*Valores!$C$75</f>
        <v>-1232.57244</v>
      </c>
      <c r="AW63" s="125">
        <f t="shared" si="4"/>
        <v>353507.77280000004</v>
      </c>
      <c r="AX63" s="126"/>
      <c r="AY63" s="126">
        <v>25</v>
      </c>
      <c r="AZ63" s="123" t="s">
        <v>4</v>
      </c>
    </row>
    <row r="64" spans="1:52" s="110" customFormat="1" ht="11.25" customHeight="1">
      <c r="A64" s="123" t="s">
        <v>221</v>
      </c>
      <c r="B64" s="123">
        <v>1</v>
      </c>
      <c r="C64" s="126">
        <v>57</v>
      </c>
      <c r="D64" s="124" t="s">
        <v>222</v>
      </c>
      <c r="E64" s="192">
        <v>81</v>
      </c>
      <c r="F64" s="125">
        <f>ROUND(E64*Valores!$C$2,2)</f>
        <v>4410.45</v>
      </c>
      <c r="G64" s="192">
        <v>2094</v>
      </c>
      <c r="H64" s="125">
        <f>ROUND(G64*Valores!$C$2,2)</f>
        <v>114018.3</v>
      </c>
      <c r="I64" s="192">
        <v>0</v>
      </c>
      <c r="J64" s="125">
        <f>ROUND(I64*Valores!$C$2,2)</f>
        <v>0</v>
      </c>
      <c r="K64" s="192">
        <v>0</v>
      </c>
      <c r="L64" s="125">
        <f>ROUND(K64*Valores!$C$2,2)</f>
        <v>0</v>
      </c>
      <c r="M64" s="125">
        <f>ROUND(IF($H$2=0,IF(AND(A64&lt;&gt;"13-930",A64&lt;&gt;"13-940"),(SUM(F64,H64,J64,L64,X64,T64,R64)*Valores!$C$4),0),0),2)</f>
        <v>41186.03</v>
      </c>
      <c r="N64" s="125">
        <f t="shared" si="1"/>
        <v>0</v>
      </c>
      <c r="O64" s="125">
        <f>Valores!$C$9</f>
        <v>68418.57</v>
      </c>
      <c r="P64" s="125">
        <f>Valores!$D$5</f>
        <v>27834.84</v>
      </c>
      <c r="Q64" s="125">
        <f>Valores!$C$22</f>
        <v>24831.49</v>
      </c>
      <c r="R64" s="125">
        <f>IF($F$4="NO",Valores!$C$45,Valores!$C$45/2)</f>
        <v>20416.3</v>
      </c>
      <c r="S64" s="125">
        <f>Valores!$C$19</f>
        <v>25899.06</v>
      </c>
      <c r="T64" s="125">
        <f t="shared" si="7"/>
        <v>25899.06</v>
      </c>
      <c r="U64" s="125">
        <v>0</v>
      </c>
      <c r="V64" s="125">
        <v>0</v>
      </c>
      <c r="W64" s="192">
        <v>0</v>
      </c>
      <c r="X64" s="125">
        <f>ROUND(W64*Valores!$C$2,2)</f>
        <v>0</v>
      </c>
      <c r="Y64" s="125">
        <v>0</v>
      </c>
      <c r="Z64" s="125">
        <f>Valores!$C$95</f>
        <v>45736.39</v>
      </c>
      <c r="AA64" s="125">
        <f>Valores!$C$25</f>
        <v>1138.39</v>
      </c>
      <c r="AB64" s="214">
        <v>0</v>
      </c>
      <c r="AC64" s="125">
        <f t="shared" si="2"/>
        <v>0</v>
      </c>
      <c r="AD64" s="125">
        <f>Valores!$C$26</f>
        <v>1138.39</v>
      </c>
      <c r="AE64" s="192">
        <v>0</v>
      </c>
      <c r="AF64" s="125">
        <f>ROUND(AE64*Valores!$C$2,2)</f>
        <v>0</v>
      </c>
      <c r="AG64" s="125">
        <f>ROUND(IF($F$4="NO",Valores!$C$63,Valores!$C$63/2),2)</f>
        <v>13014.72</v>
      </c>
      <c r="AH64" s="125">
        <f t="shared" si="5"/>
        <v>388042.93</v>
      </c>
      <c r="AI64" s="125">
        <f>Valores!$C$31</f>
        <v>0</v>
      </c>
      <c r="AJ64" s="125">
        <f>Valores!$C$88</f>
        <v>0</v>
      </c>
      <c r="AK64" s="125">
        <f>Valores!C$38*B64</f>
        <v>0</v>
      </c>
      <c r="AL64" s="125">
        <f>IF($F$3="NO",0,Valores!$C$56)</f>
        <v>170.34</v>
      </c>
      <c r="AM64" s="125">
        <f t="shared" si="3"/>
        <v>170.34</v>
      </c>
      <c r="AN64" s="125">
        <f>AH64*Valores!$C$71</f>
        <v>-42684.7223</v>
      </c>
      <c r="AO64" s="125">
        <f>AH64*-Valores!$C$72</f>
        <v>0</v>
      </c>
      <c r="AP64" s="125">
        <f>AH64*Valores!$C$73</f>
        <v>-17461.93185</v>
      </c>
      <c r="AQ64" s="125">
        <f>Valores!$C$100</f>
        <v>-554.86</v>
      </c>
      <c r="AR64" s="125">
        <f>IF($F$5=0,Valores!$C$101,(Valores!$C$101+$F$5*(Valores!$C$101)))</f>
        <v>-852</v>
      </c>
      <c r="AS64" s="125">
        <f t="shared" si="6"/>
        <v>326659.75584999996</v>
      </c>
      <c r="AT64" s="125">
        <f t="shared" si="0"/>
        <v>-42684.7223</v>
      </c>
      <c r="AU64" s="125">
        <f>AH64*Valores!$C$74</f>
        <v>-10477.15911</v>
      </c>
      <c r="AV64" s="125">
        <f>AH64*Valores!$C$75</f>
        <v>-1164.12879</v>
      </c>
      <c r="AW64" s="125">
        <f t="shared" si="4"/>
        <v>333887.2598</v>
      </c>
      <c r="AX64" s="126"/>
      <c r="AY64" s="126">
        <v>30</v>
      </c>
      <c r="AZ64" s="123" t="s">
        <v>4</v>
      </c>
    </row>
    <row r="65" spans="1:52" s="110" customFormat="1" ht="11.25" customHeight="1">
      <c r="A65" s="123" t="s">
        <v>223</v>
      </c>
      <c r="B65" s="123">
        <v>1</v>
      </c>
      <c r="C65" s="126">
        <v>58</v>
      </c>
      <c r="D65" s="124" t="s">
        <v>224</v>
      </c>
      <c r="E65" s="192">
        <v>80</v>
      </c>
      <c r="F65" s="125">
        <f>ROUND(E65*Valores!$C$2,2)</f>
        <v>4356</v>
      </c>
      <c r="G65" s="192">
        <v>2095</v>
      </c>
      <c r="H65" s="125">
        <f>ROUND(G65*Valores!$C$2,2)</f>
        <v>114072.75</v>
      </c>
      <c r="I65" s="192">
        <v>0</v>
      </c>
      <c r="J65" s="125">
        <f>ROUND(I65*Valores!$C$2,2)</f>
        <v>0</v>
      </c>
      <c r="K65" s="192">
        <v>0</v>
      </c>
      <c r="L65" s="125">
        <f>ROUND(K65*Valores!$C$2,2)</f>
        <v>0</v>
      </c>
      <c r="M65" s="125">
        <f>ROUND(IF($H$2=0,IF(AND(A65&lt;&gt;"13-930",A65&lt;&gt;"13-940"),(SUM(F65,H65,J65,L65,X65,T65,R65)*Valores!$C$4),0),0),2)</f>
        <v>41186.03</v>
      </c>
      <c r="N65" s="125">
        <f t="shared" si="1"/>
        <v>0</v>
      </c>
      <c r="O65" s="125">
        <f>Valores!$C$9</f>
        <v>68418.57</v>
      </c>
      <c r="P65" s="125">
        <f>Valores!$D$5</f>
        <v>27834.84</v>
      </c>
      <c r="Q65" s="125">
        <f>Valores!$C$22</f>
        <v>24831.49</v>
      </c>
      <c r="R65" s="125">
        <f>IF($F$4="NO",Valores!$C$45,Valores!$C$45/2)</f>
        <v>20416.3</v>
      </c>
      <c r="S65" s="125">
        <f>Valores!$C$19</f>
        <v>25899.06</v>
      </c>
      <c r="T65" s="125">
        <f t="shared" si="7"/>
        <v>25899.06</v>
      </c>
      <c r="U65" s="125">
        <v>0</v>
      </c>
      <c r="V65" s="125">
        <v>0</v>
      </c>
      <c r="W65" s="192">
        <v>0</v>
      </c>
      <c r="X65" s="125">
        <f>ROUND(W65*Valores!$C$2,2)</f>
        <v>0</v>
      </c>
      <c r="Y65" s="125">
        <v>0</v>
      </c>
      <c r="Z65" s="125">
        <f>Valores!$C$95</f>
        <v>45736.39</v>
      </c>
      <c r="AA65" s="125">
        <f>Valores!$C$25</f>
        <v>1138.39</v>
      </c>
      <c r="AB65" s="214">
        <v>0</v>
      </c>
      <c r="AC65" s="125">
        <f t="shared" si="2"/>
        <v>0</v>
      </c>
      <c r="AD65" s="125">
        <f>Valores!$C$26</f>
        <v>1138.39</v>
      </c>
      <c r="AE65" s="192">
        <v>94</v>
      </c>
      <c r="AF65" s="125">
        <f>ROUND(AE65*Valores!$C$2,2)</f>
        <v>5118.3</v>
      </c>
      <c r="AG65" s="125">
        <f>ROUND(IF($F$4="NO",Valores!$C$63,Valores!$C$63/2),2)</f>
        <v>13014.72</v>
      </c>
      <c r="AH65" s="125">
        <f t="shared" si="5"/>
        <v>393161.23</v>
      </c>
      <c r="AI65" s="125">
        <f>Valores!$C$31</f>
        <v>0</v>
      </c>
      <c r="AJ65" s="125">
        <f>Valores!$C$88</f>
        <v>0</v>
      </c>
      <c r="AK65" s="125">
        <f>Valores!C$38*B65</f>
        <v>0</v>
      </c>
      <c r="AL65" s="125">
        <f>IF($F$3="NO",0,Valores!$C$56)</f>
        <v>170.34</v>
      </c>
      <c r="AM65" s="125">
        <f t="shared" si="3"/>
        <v>170.34</v>
      </c>
      <c r="AN65" s="125">
        <f>AH65*Valores!$C$71</f>
        <v>-43247.7353</v>
      </c>
      <c r="AO65" s="125">
        <f>AH65*-Valores!$C$72</f>
        <v>0</v>
      </c>
      <c r="AP65" s="125">
        <f>AH65*Valores!$C$73</f>
        <v>-17692.25535</v>
      </c>
      <c r="AQ65" s="125">
        <f>Valores!$C$100</f>
        <v>-554.86</v>
      </c>
      <c r="AR65" s="125">
        <f>IF($F$5=0,Valores!$C$101,(Valores!$C$101+$F$5*(Valores!$C$101)))</f>
        <v>-852</v>
      </c>
      <c r="AS65" s="125">
        <f t="shared" si="6"/>
        <v>330984.71934999997</v>
      </c>
      <c r="AT65" s="125">
        <f t="shared" si="0"/>
        <v>-43247.7353</v>
      </c>
      <c r="AU65" s="125">
        <f>AH65*Valores!$C$74</f>
        <v>-10615.35321</v>
      </c>
      <c r="AV65" s="125">
        <f>AH65*Valores!$C$75</f>
        <v>-1179.48369</v>
      </c>
      <c r="AW65" s="125">
        <f t="shared" si="4"/>
        <v>338288.9978</v>
      </c>
      <c r="AX65" s="126"/>
      <c r="AY65" s="126">
        <v>25</v>
      </c>
      <c r="AZ65" s="123" t="s">
        <v>4</v>
      </c>
    </row>
    <row r="66" spans="1:52" s="110" customFormat="1" ht="11.25" customHeight="1">
      <c r="A66" s="123" t="s">
        <v>225</v>
      </c>
      <c r="B66" s="123">
        <v>1</v>
      </c>
      <c r="C66" s="126">
        <v>59</v>
      </c>
      <c r="D66" s="124" t="s">
        <v>226</v>
      </c>
      <c r="E66" s="192">
        <v>79</v>
      </c>
      <c r="F66" s="125">
        <f>ROUND(E66*Valores!$C$2,2)</f>
        <v>4301.55</v>
      </c>
      <c r="G66" s="192">
        <v>1944</v>
      </c>
      <c r="H66" s="125">
        <f>ROUND(G66*Valores!$C$2,2)</f>
        <v>105850.8</v>
      </c>
      <c r="I66" s="192">
        <v>0</v>
      </c>
      <c r="J66" s="125">
        <f>ROUND(I66*Valores!$C$2,2)</f>
        <v>0</v>
      </c>
      <c r="K66" s="192">
        <v>0</v>
      </c>
      <c r="L66" s="125">
        <f>ROUND(K66*Valores!$C$2,2)</f>
        <v>0</v>
      </c>
      <c r="M66" s="125">
        <f>ROUND(IF($H$2=0,IF(AND(A66&lt;&gt;"13-930",A66&lt;&gt;"13-940"),(SUM(F66,H66,J66,L66,X66,T66,R66)*Valores!$C$4),0),0),2)</f>
        <v>39116.93</v>
      </c>
      <c r="N66" s="125">
        <f t="shared" si="1"/>
        <v>0</v>
      </c>
      <c r="O66" s="125">
        <f>Valores!$C$9</f>
        <v>68418.57</v>
      </c>
      <c r="P66" s="125">
        <f>Valores!$D$5</f>
        <v>27834.84</v>
      </c>
      <c r="Q66" s="125">
        <f>Valores!$C$22</f>
        <v>24831.49</v>
      </c>
      <c r="R66" s="125">
        <f>IF($F$4="NO",Valores!$C$45,Valores!$C$45/2)</f>
        <v>20416.3</v>
      </c>
      <c r="S66" s="125">
        <f>Valores!$C$19</f>
        <v>25899.06</v>
      </c>
      <c r="T66" s="125">
        <f t="shared" si="7"/>
        <v>25899.06</v>
      </c>
      <c r="U66" s="125">
        <v>0</v>
      </c>
      <c r="V66" s="125">
        <v>0</v>
      </c>
      <c r="W66" s="192">
        <v>0</v>
      </c>
      <c r="X66" s="125">
        <f>ROUND(W66*Valores!$C$2,2)</f>
        <v>0</v>
      </c>
      <c r="Y66" s="125">
        <v>0</v>
      </c>
      <c r="Z66" s="125">
        <f>Valores!$C$95</f>
        <v>45736.39</v>
      </c>
      <c r="AA66" s="125">
        <f>Valores!$C$25</f>
        <v>1138.39</v>
      </c>
      <c r="AB66" s="214">
        <v>0</v>
      </c>
      <c r="AC66" s="125">
        <f t="shared" si="2"/>
        <v>0</v>
      </c>
      <c r="AD66" s="125">
        <f>Valores!$C$26</f>
        <v>1138.39</v>
      </c>
      <c r="AE66" s="192">
        <v>0</v>
      </c>
      <c r="AF66" s="125">
        <f>ROUND(AE66*Valores!$C$2,2)</f>
        <v>0</v>
      </c>
      <c r="AG66" s="125">
        <f>ROUND(IF($F$4="NO",Valores!$C$63,Valores!$C$63/2),2)</f>
        <v>13014.72</v>
      </c>
      <c r="AH66" s="125">
        <f t="shared" si="5"/>
        <v>377697.43</v>
      </c>
      <c r="AI66" s="125">
        <f>Valores!$C$31</f>
        <v>0</v>
      </c>
      <c r="AJ66" s="125">
        <f>Valores!$C$88</f>
        <v>0</v>
      </c>
      <c r="AK66" s="125">
        <f>Valores!C$38*B66</f>
        <v>0</v>
      </c>
      <c r="AL66" s="125">
        <f>IF($F$3="NO",0,Valores!$C$56)</f>
        <v>170.34</v>
      </c>
      <c r="AM66" s="125">
        <f t="shared" si="3"/>
        <v>170.34</v>
      </c>
      <c r="AN66" s="125">
        <f>AH66*Valores!$C$71</f>
        <v>-41546.7173</v>
      </c>
      <c r="AO66" s="125">
        <f>AH66*-Valores!$C$72</f>
        <v>0</v>
      </c>
      <c r="AP66" s="125">
        <f>AH66*Valores!$C$73</f>
        <v>-16996.38435</v>
      </c>
      <c r="AQ66" s="125">
        <f>Valores!$C$100</f>
        <v>-554.86</v>
      </c>
      <c r="AR66" s="125">
        <f>IF($F$5=0,Valores!$C$101,(Valores!$C$101+$F$5*(Valores!$C$101)))</f>
        <v>-852</v>
      </c>
      <c r="AS66" s="125">
        <f t="shared" si="6"/>
        <v>317917.80835</v>
      </c>
      <c r="AT66" s="125">
        <f t="shared" si="0"/>
        <v>-41546.7173</v>
      </c>
      <c r="AU66" s="125">
        <f>AH66*Valores!$C$74</f>
        <v>-10197.830609999999</v>
      </c>
      <c r="AV66" s="125">
        <f>AH66*Valores!$C$75</f>
        <v>-1133.09229</v>
      </c>
      <c r="AW66" s="125">
        <f t="shared" si="4"/>
        <v>324990.1298</v>
      </c>
      <c r="AX66" s="126"/>
      <c r="AY66" s="126">
        <v>30</v>
      </c>
      <c r="AZ66" s="123" t="s">
        <v>4</v>
      </c>
    </row>
    <row r="67" spans="1:52" s="110" customFormat="1" ht="11.25" customHeight="1">
      <c r="A67" s="123" t="s">
        <v>227</v>
      </c>
      <c r="B67" s="123">
        <v>1</v>
      </c>
      <c r="C67" s="126">
        <v>60</v>
      </c>
      <c r="D67" s="124" t="s">
        <v>228</v>
      </c>
      <c r="E67" s="192">
        <v>79</v>
      </c>
      <c r="F67" s="125">
        <f>ROUND(E67*Valores!$C$2,2)</f>
        <v>4301.55</v>
      </c>
      <c r="G67" s="192">
        <v>1944</v>
      </c>
      <c r="H67" s="125">
        <f>ROUND(G67*Valores!$C$2,2)</f>
        <v>105850.8</v>
      </c>
      <c r="I67" s="192">
        <v>0</v>
      </c>
      <c r="J67" s="125">
        <f>ROUND(I67*Valores!$C$2,2)</f>
        <v>0</v>
      </c>
      <c r="K67" s="192">
        <v>0</v>
      </c>
      <c r="L67" s="125">
        <f>ROUND(K67*Valores!$C$2,2)</f>
        <v>0</v>
      </c>
      <c r="M67" s="125">
        <f>ROUND(IF($H$2=0,IF(AND(A67&lt;&gt;"13-930",A67&lt;&gt;"13-940"),(SUM(F67,H67,J67,L67,X67,T67,R67)*Valores!$C$4),0),0),2)</f>
        <v>39116.93</v>
      </c>
      <c r="N67" s="125">
        <f t="shared" si="1"/>
        <v>0</v>
      </c>
      <c r="O67" s="125">
        <f>Valores!$C$9</f>
        <v>68418.57</v>
      </c>
      <c r="P67" s="125">
        <f>Valores!$D$5</f>
        <v>27834.84</v>
      </c>
      <c r="Q67" s="125">
        <f>Valores!$C$22</f>
        <v>24831.49</v>
      </c>
      <c r="R67" s="125">
        <f>IF($F$4="NO",Valores!$C$45,Valores!$C$45/2)</f>
        <v>20416.3</v>
      </c>
      <c r="S67" s="125">
        <f>Valores!$C$19</f>
        <v>25899.06</v>
      </c>
      <c r="T67" s="125">
        <f t="shared" si="7"/>
        <v>25899.06</v>
      </c>
      <c r="U67" s="125">
        <v>0</v>
      </c>
      <c r="V67" s="125">
        <v>0</v>
      </c>
      <c r="W67" s="192">
        <v>0</v>
      </c>
      <c r="X67" s="125">
        <f>ROUND(W67*Valores!$C$2,2)</f>
        <v>0</v>
      </c>
      <c r="Y67" s="125">
        <v>0</v>
      </c>
      <c r="Z67" s="125">
        <f>Valores!$C$95</f>
        <v>45736.39</v>
      </c>
      <c r="AA67" s="125">
        <f>Valores!$C$25</f>
        <v>1138.39</v>
      </c>
      <c r="AB67" s="214">
        <v>0</v>
      </c>
      <c r="AC67" s="125">
        <f t="shared" si="2"/>
        <v>0</v>
      </c>
      <c r="AD67" s="125">
        <f>Valores!$C$26</f>
        <v>1138.39</v>
      </c>
      <c r="AE67" s="192">
        <v>94</v>
      </c>
      <c r="AF67" s="125">
        <f>ROUND(AE67*Valores!$C$2,2)</f>
        <v>5118.3</v>
      </c>
      <c r="AG67" s="125">
        <f>ROUND(IF($F$4="NO",Valores!$C$63,Valores!$C$63/2),2)</f>
        <v>13014.72</v>
      </c>
      <c r="AH67" s="125">
        <f t="shared" si="5"/>
        <v>382815.73</v>
      </c>
      <c r="AI67" s="125">
        <f>Valores!$C$31</f>
        <v>0</v>
      </c>
      <c r="AJ67" s="125">
        <f>Valores!$C$88</f>
        <v>0</v>
      </c>
      <c r="AK67" s="125">
        <f>Valores!C$38*B67</f>
        <v>0</v>
      </c>
      <c r="AL67" s="125">
        <f>IF($F$3="NO",0,Valores!$C$56)</f>
        <v>170.34</v>
      </c>
      <c r="AM67" s="125">
        <f t="shared" si="3"/>
        <v>170.34</v>
      </c>
      <c r="AN67" s="125">
        <f>AH67*Valores!$C$71</f>
        <v>-42109.730299999996</v>
      </c>
      <c r="AO67" s="125">
        <f>AH67*-Valores!$C$72</f>
        <v>0</v>
      </c>
      <c r="AP67" s="125">
        <f>AH67*Valores!$C$73</f>
        <v>-17226.70785</v>
      </c>
      <c r="AQ67" s="125">
        <f>Valores!$C$100</f>
        <v>-554.86</v>
      </c>
      <c r="AR67" s="125">
        <f>IF($F$5=0,Valores!$C$101,(Valores!$C$101+$F$5*(Valores!$C$101)))</f>
        <v>-852</v>
      </c>
      <c r="AS67" s="125">
        <f t="shared" si="6"/>
        <v>322242.77184999996</v>
      </c>
      <c r="AT67" s="125">
        <f t="shared" si="0"/>
        <v>-42109.730299999996</v>
      </c>
      <c r="AU67" s="125">
        <f>AH67*Valores!$C$74</f>
        <v>-10336.02471</v>
      </c>
      <c r="AV67" s="125">
        <f>AH67*Valores!$C$75</f>
        <v>-1148.4471899999999</v>
      </c>
      <c r="AW67" s="125">
        <f t="shared" si="4"/>
        <v>329391.8678</v>
      </c>
      <c r="AX67" s="126"/>
      <c r="AY67" s="126">
        <v>25</v>
      </c>
      <c r="AZ67" s="123" t="s">
        <v>8</v>
      </c>
    </row>
    <row r="68" spans="1:52" s="110" customFormat="1" ht="11.25" customHeight="1">
      <c r="A68" s="123" t="s">
        <v>229</v>
      </c>
      <c r="B68" s="123">
        <v>1</v>
      </c>
      <c r="C68" s="126">
        <v>61</v>
      </c>
      <c r="D68" s="124" t="s">
        <v>230</v>
      </c>
      <c r="E68" s="192">
        <v>100</v>
      </c>
      <c r="F68" s="125">
        <f>ROUND(E68*Valores!$C$2,2)</f>
        <v>5445</v>
      </c>
      <c r="G68" s="192">
        <v>2864</v>
      </c>
      <c r="H68" s="125">
        <f>ROUND(G68*Valores!$C$2,2)</f>
        <v>155944.8</v>
      </c>
      <c r="I68" s="192">
        <v>0</v>
      </c>
      <c r="J68" s="125">
        <f>ROUND(I68*Valores!$C$2,2)</f>
        <v>0</v>
      </c>
      <c r="K68" s="192">
        <v>0</v>
      </c>
      <c r="L68" s="125">
        <f>ROUND(K68*Valores!$C$2,2)</f>
        <v>0</v>
      </c>
      <c r="M68" s="125">
        <f>ROUND(IF($H$2=0,IF(AND(A68&lt;&gt;"13-930",A68&lt;&gt;"13-940"),(SUM(F68,H68,J68,L68,X68,T68,R68)*Valores!$C$4),0),0),2)</f>
        <v>51656.05</v>
      </c>
      <c r="N68" s="125">
        <f t="shared" si="1"/>
        <v>0</v>
      </c>
      <c r="O68" s="125">
        <f>Valores!$C$9</f>
        <v>68418.57</v>
      </c>
      <c r="P68" s="125">
        <f>Valores!$D$5</f>
        <v>27834.84</v>
      </c>
      <c r="Q68" s="125">
        <v>0</v>
      </c>
      <c r="R68" s="125">
        <f>IF($F$4="NO",Valores!$C$44,Valores!$C$44/2)</f>
        <v>19335.33</v>
      </c>
      <c r="S68" s="125">
        <f>Valores!$C$19</f>
        <v>25899.06</v>
      </c>
      <c r="T68" s="125">
        <f t="shared" si="7"/>
        <v>25899.06</v>
      </c>
      <c r="U68" s="125">
        <v>0</v>
      </c>
      <c r="V68" s="125">
        <v>0</v>
      </c>
      <c r="W68" s="192">
        <v>0</v>
      </c>
      <c r="X68" s="125">
        <f>ROUND(W68*Valores!$C$2,2)</f>
        <v>0</v>
      </c>
      <c r="Y68" s="125">
        <v>0</v>
      </c>
      <c r="Z68" s="125">
        <f>Valores!$C$94</f>
        <v>38113.67</v>
      </c>
      <c r="AA68" s="125">
        <f>Valores!$C$25</f>
        <v>1138.39</v>
      </c>
      <c r="AB68" s="214">
        <v>0</v>
      </c>
      <c r="AC68" s="125">
        <f t="shared" si="2"/>
        <v>0</v>
      </c>
      <c r="AD68" s="125">
        <f>Valores!$C$26</f>
        <v>1138.39</v>
      </c>
      <c r="AE68" s="192">
        <v>0</v>
      </c>
      <c r="AF68" s="125">
        <f>ROUND(AE68*Valores!$C$2,2)</f>
        <v>0</v>
      </c>
      <c r="AG68" s="125">
        <f>ROUND(IF($F$4="NO",Valores!$C$63,Valores!$C$63/2),2)</f>
        <v>13014.72</v>
      </c>
      <c r="AH68" s="125">
        <f t="shared" si="5"/>
        <v>407938.82</v>
      </c>
      <c r="AI68" s="125">
        <f>Valores!$C$31</f>
        <v>0</v>
      </c>
      <c r="AJ68" s="125">
        <f>Valores!$C$87</f>
        <v>0</v>
      </c>
      <c r="AK68" s="125">
        <f>Valores!C$38*B68</f>
        <v>0</v>
      </c>
      <c r="AL68" s="125">
        <f>IF($F$3="NO",0,Valores!$C$55)</f>
        <v>327.6</v>
      </c>
      <c r="AM68" s="125">
        <f t="shared" si="3"/>
        <v>327.6</v>
      </c>
      <c r="AN68" s="125">
        <f>AH68*Valores!$C$71</f>
        <v>-44873.2702</v>
      </c>
      <c r="AO68" s="125">
        <f>AH68*-Valores!$C$72</f>
        <v>0</v>
      </c>
      <c r="AP68" s="125">
        <f>AH68*Valores!$C$73</f>
        <v>-18357.2469</v>
      </c>
      <c r="AQ68" s="125">
        <f>Valores!$C$100</f>
        <v>-554.86</v>
      </c>
      <c r="AR68" s="125">
        <f>IF($F$5=0,Valores!$C$101,(Valores!$C$101+$F$5*(Valores!$C$101)))</f>
        <v>-852</v>
      </c>
      <c r="AS68" s="125">
        <f t="shared" si="6"/>
        <v>343629.0429</v>
      </c>
      <c r="AT68" s="125">
        <f t="shared" si="0"/>
        <v>-44873.2702</v>
      </c>
      <c r="AU68" s="125">
        <f>AH68*Valores!$C$74</f>
        <v>-11014.34814</v>
      </c>
      <c r="AV68" s="125">
        <f>AH68*Valores!$C$75</f>
        <v>-1223.81646</v>
      </c>
      <c r="AW68" s="125">
        <f t="shared" si="4"/>
        <v>351154.9852</v>
      </c>
      <c r="AX68" s="126"/>
      <c r="AY68" s="126"/>
      <c r="AZ68" s="123" t="s">
        <v>4</v>
      </c>
    </row>
    <row r="69" spans="1:52" s="110" customFormat="1" ht="11.25" customHeight="1">
      <c r="A69" s="123" t="s">
        <v>231</v>
      </c>
      <c r="B69" s="123">
        <v>1</v>
      </c>
      <c r="C69" s="126">
        <v>62</v>
      </c>
      <c r="D69" s="124" t="s">
        <v>232</v>
      </c>
      <c r="E69" s="192">
        <v>79</v>
      </c>
      <c r="F69" s="125">
        <f>ROUND(E69*Valores!$C$2,2)</f>
        <v>4301.55</v>
      </c>
      <c r="G69" s="192">
        <v>2161</v>
      </c>
      <c r="H69" s="125">
        <f>ROUND(G69*Valores!$C$2,2)</f>
        <v>117666.45</v>
      </c>
      <c r="I69" s="192">
        <v>0</v>
      </c>
      <c r="J69" s="125">
        <f>ROUND(I69*Valores!$C$2,2)</f>
        <v>0</v>
      </c>
      <c r="K69" s="192">
        <v>0</v>
      </c>
      <c r="L69" s="125">
        <f>ROUND(K69*Valores!$C$2,2)</f>
        <v>0</v>
      </c>
      <c r="M69" s="125">
        <f>ROUND(IF($H$2=0,IF(AND(A69&lt;&gt;"13-930",A69&lt;&gt;"13-940"),(SUM(F69,H69,J69,L69,X69,T69,R69)*Valores!$C$4),0),0),2)</f>
        <v>42070.84</v>
      </c>
      <c r="N69" s="125">
        <f t="shared" si="1"/>
        <v>0</v>
      </c>
      <c r="O69" s="125">
        <f>Valores!$C$9</f>
        <v>68418.57</v>
      </c>
      <c r="P69" s="125">
        <f>Valores!$D$5</f>
        <v>27834.84</v>
      </c>
      <c r="Q69" s="125">
        <f>Valores!$C$22</f>
        <v>24831.49</v>
      </c>
      <c r="R69" s="125">
        <f>IF($F$4="NO",Valores!$C$45,Valores!$C$45/2)</f>
        <v>20416.3</v>
      </c>
      <c r="S69" s="125">
        <f>Valores!$C$19</f>
        <v>25899.06</v>
      </c>
      <c r="T69" s="125">
        <f t="shared" si="7"/>
        <v>25899.06</v>
      </c>
      <c r="U69" s="125">
        <v>0</v>
      </c>
      <c r="V69" s="125">
        <v>0</v>
      </c>
      <c r="W69" s="192">
        <v>0</v>
      </c>
      <c r="X69" s="125">
        <f>ROUND(W69*Valores!$C$2,2)</f>
        <v>0</v>
      </c>
      <c r="Y69" s="125">
        <v>0</v>
      </c>
      <c r="Z69" s="125">
        <f>Valores!$C$95</f>
        <v>45736.39</v>
      </c>
      <c r="AA69" s="125">
        <f>Valores!$C$25</f>
        <v>1138.39</v>
      </c>
      <c r="AB69" s="214">
        <v>0</v>
      </c>
      <c r="AC69" s="125">
        <f t="shared" si="2"/>
        <v>0</v>
      </c>
      <c r="AD69" s="125">
        <f>Valores!$C$26</f>
        <v>1138.39</v>
      </c>
      <c r="AE69" s="192">
        <v>0</v>
      </c>
      <c r="AF69" s="125">
        <f>ROUND(AE69*Valores!$C$2,2)</f>
        <v>0</v>
      </c>
      <c r="AG69" s="125">
        <f>ROUND(IF($F$4="NO",Valores!$C$63,Valores!$C$63/2),2)</f>
        <v>13014.72</v>
      </c>
      <c r="AH69" s="125">
        <f t="shared" si="5"/>
        <v>392466.99</v>
      </c>
      <c r="AI69" s="125">
        <f>Valores!$C$31</f>
        <v>0</v>
      </c>
      <c r="AJ69" s="125">
        <f>Valores!$C$88</f>
        <v>0</v>
      </c>
      <c r="AK69" s="125">
        <f>Valores!C$38*B69</f>
        <v>0</v>
      </c>
      <c r="AL69" s="125">
        <f>IF($F$3="NO",0,Valores!$C$56)</f>
        <v>170.34</v>
      </c>
      <c r="AM69" s="125">
        <f t="shared" si="3"/>
        <v>170.34</v>
      </c>
      <c r="AN69" s="125">
        <f>AH69*Valores!$C$71</f>
        <v>-43171.3689</v>
      </c>
      <c r="AO69" s="125">
        <f>AH69*-Valores!$C$72</f>
        <v>0</v>
      </c>
      <c r="AP69" s="125">
        <f>AH69*Valores!$C$73</f>
        <v>-17661.01455</v>
      </c>
      <c r="AQ69" s="125">
        <f>Valores!$C$100</f>
        <v>-554.86</v>
      </c>
      <c r="AR69" s="125">
        <f>IF($F$5=0,Valores!$C$101,(Valores!$C$101+$F$5*(Valores!$C$101)))</f>
        <v>-852</v>
      </c>
      <c r="AS69" s="125">
        <f t="shared" si="6"/>
        <v>330398.08655</v>
      </c>
      <c r="AT69" s="125">
        <f t="shared" si="0"/>
        <v>-43171.3689</v>
      </c>
      <c r="AU69" s="125">
        <f>AH69*Valores!$C$74</f>
        <v>-10596.60873</v>
      </c>
      <c r="AV69" s="125">
        <f>AH69*Valores!$C$75</f>
        <v>-1177.40097</v>
      </c>
      <c r="AW69" s="125">
        <f t="shared" si="4"/>
        <v>337691.9514</v>
      </c>
      <c r="AX69" s="126"/>
      <c r="AY69" s="126">
        <v>30</v>
      </c>
      <c r="AZ69" s="123" t="s">
        <v>4</v>
      </c>
    </row>
    <row r="70" spans="1:52" s="110" customFormat="1" ht="11.25" customHeight="1">
      <c r="A70" s="123" t="s">
        <v>233</v>
      </c>
      <c r="B70" s="123">
        <v>1</v>
      </c>
      <c r="C70" s="126">
        <v>63</v>
      </c>
      <c r="D70" s="124" t="s">
        <v>234</v>
      </c>
      <c r="E70" s="192">
        <v>90</v>
      </c>
      <c r="F70" s="125">
        <f>ROUND(E70*Valores!$C$2,2)</f>
        <v>4900.5</v>
      </c>
      <c r="G70" s="192">
        <v>3010</v>
      </c>
      <c r="H70" s="125">
        <f>ROUND(G70*Valores!$C$2,2)</f>
        <v>163894.5</v>
      </c>
      <c r="I70" s="192">
        <v>0</v>
      </c>
      <c r="J70" s="125">
        <f>ROUND(I70*Valores!$C$2,2)</f>
        <v>0</v>
      </c>
      <c r="K70" s="192">
        <v>0</v>
      </c>
      <c r="L70" s="125">
        <f>ROUND(K70*Valores!$C$2,2)</f>
        <v>0</v>
      </c>
      <c r="M70" s="125">
        <f>ROUND(IF($H$2=0,IF(AND(A70&lt;&gt;"13-930",A70&lt;&gt;"13-940"),(SUM(F70,H70,J70,L70,X70,T70,R70)*Valores!$C$4),0),0),2)</f>
        <v>54866.73</v>
      </c>
      <c r="N70" s="125">
        <f t="shared" si="1"/>
        <v>0</v>
      </c>
      <c r="O70" s="125">
        <f>Valores!$C$9</f>
        <v>68418.57</v>
      </c>
      <c r="P70" s="125">
        <f>Valores!$D$5</f>
        <v>27834.84</v>
      </c>
      <c r="Q70" s="125">
        <f>Valores!$C$22</f>
        <v>24831.49</v>
      </c>
      <c r="R70" s="125">
        <f>IF($F$4="NO",Valores!$C$48,Valores!$C$48/2)</f>
        <v>24772.84</v>
      </c>
      <c r="S70" s="125">
        <f>Valores!$C$19</f>
        <v>25899.06</v>
      </c>
      <c r="T70" s="125">
        <f t="shared" si="7"/>
        <v>25899.06</v>
      </c>
      <c r="U70" s="125">
        <v>0</v>
      </c>
      <c r="V70" s="125">
        <v>0</v>
      </c>
      <c r="W70" s="192">
        <v>0</v>
      </c>
      <c r="X70" s="125">
        <f>ROUND(W70*Valores!$C$2,2)</f>
        <v>0</v>
      </c>
      <c r="Y70" s="125">
        <v>0</v>
      </c>
      <c r="Z70" s="125">
        <f>Valores!$C$95</f>
        <v>45736.39</v>
      </c>
      <c r="AA70" s="125">
        <f>Valores!$C$25</f>
        <v>1138.39</v>
      </c>
      <c r="AB70" s="214">
        <v>0</v>
      </c>
      <c r="AC70" s="125">
        <f t="shared" si="2"/>
        <v>0</v>
      </c>
      <c r="AD70" s="125">
        <f>Valores!$C$26</f>
        <v>1138.39</v>
      </c>
      <c r="AE70" s="192">
        <v>0</v>
      </c>
      <c r="AF70" s="125">
        <f>ROUND(AE70*Valores!$C$2,2)</f>
        <v>0</v>
      </c>
      <c r="AG70" s="125">
        <f>ROUND(IF($F$4="NO",Valores!$C$63,Valores!$C$63/2),2)</f>
        <v>13014.72</v>
      </c>
      <c r="AH70" s="125">
        <f t="shared" si="5"/>
        <v>456446.4200000001</v>
      </c>
      <c r="AI70" s="125">
        <f>Valores!$C$31</f>
        <v>0</v>
      </c>
      <c r="AJ70" s="125">
        <f>Valores!$C$88</f>
        <v>0</v>
      </c>
      <c r="AK70" s="125">
        <f>Valores!C$38*B70</f>
        <v>0</v>
      </c>
      <c r="AL70" s="125">
        <f>IF($F$3="NO",0,Valores!$C$56)</f>
        <v>170.34</v>
      </c>
      <c r="AM70" s="125">
        <f t="shared" si="3"/>
        <v>170.34</v>
      </c>
      <c r="AN70" s="125">
        <f>AH70*Valores!$C$71</f>
        <v>-50209.10620000001</v>
      </c>
      <c r="AO70" s="125">
        <f>AH70*-Valores!$C$72</f>
        <v>0</v>
      </c>
      <c r="AP70" s="125">
        <f>AH70*Valores!$C$73</f>
        <v>-20540.088900000002</v>
      </c>
      <c r="AQ70" s="125">
        <f>Valores!$C$100</f>
        <v>-554.86</v>
      </c>
      <c r="AR70" s="125">
        <f>IF($F$5=0,Valores!$C$101,(Valores!$C$101+$F$5*(Valores!$C$101)))</f>
        <v>-852</v>
      </c>
      <c r="AS70" s="125">
        <f t="shared" si="6"/>
        <v>384460.70490000007</v>
      </c>
      <c r="AT70" s="125">
        <f t="shared" si="0"/>
        <v>-50209.10620000001</v>
      </c>
      <c r="AU70" s="125">
        <f>AH70*Valores!$C$74</f>
        <v>-12324.053340000002</v>
      </c>
      <c r="AV70" s="125">
        <f>AH70*Valores!$C$75</f>
        <v>-1369.3392600000004</v>
      </c>
      <c r="AW70" s="125">
        <f t="shared" si="4"/>
        <v>392714.2612000001</v>
      </c>
      <c r="AX70" s="126"/>
      <c r="AY70" s="126"/>
      <c r="AZ70" s="123" t="s">
        <v>4</v>
      </c>
    </row>
    <row r="71" spans="1:52" s="110" customFormat="1" ht="11.25" customHeight="1">
      <c r="A71" s="123" t="s">
        <v>235</v>
      </c>
      <c r="B71" s="123">
        <v>1</v>
      </c>
      <c r="C71" s="126">
        <v>64</v>
      </c>
      <c r="D71" s="124" t="s">
        <v>236</v>
      </c>
      <c r="E71" s="192">
        <v>78</v>
      </c>
      <c r="F71" s="125">
        <f>ROUND(E71*Valores!$C$2,2)</f>
        <v>4247.1</v>
      </c>
      <c r="G71" s="192">
        <v>2162</v>
      </c>
      <c r="H71" s="125">
        <f>ROUND(G71*Valores!$C$2,2)</f>
        <v>117720.9</v>
      </c>
      <c r="I71" s="192">
        <v>0</v>
      </c>
      <c r="J71" s="125">
        <f>ROUND(I71*Valores!$C$2,2)</f>
        <v>0</v>
      </c>
      <c r="K71" s="192">
        <v>0</v>
      </c>
      <c r="L71" s="125">
        <f>ROUND(K71*Valores!$C$2,2)</f>
        <v>0</v>
      </c>
      <c r="M71" s="125">
        <f>ROUND(IF($H$2=0,IF(AND(A71&lt;&gt;"13-930",A71&lt;&gt;"13-940"),(SUM(F71,H71,J71,L71,X71,T71,R71)*Valores!$C$4),0),0),2)</f>
        <v>42070.84</v>
      </c>
      <c r="N71" s="125">
        <f t="shared" si="1"/>
        <v>0</v>
      </c>
      <c r="O71" s="125">
        <f>Valores!$C$9</f>
        <v>68418.57</v>
      </c>
      <c r="P71" s="125">
        <f>Valores!$D$5</f>
        <v>27834.84</v>
      </c>
      <c r="Q71" s="125">
        <f>Valores!$C$22</f>
        <v>24831.49</v>
      </c>
      <c r="R71" s="125">
        <f>IF($F$4="NO",Valores!$C$45,Valores!$C$45/2)</f>
        <v>20416.3</v>
      </c>
      <c r="S71" s="125">
        <f>Valores!$C$19</f>
        <v>25899.06</v>
      </c>
      <c r="T71" s="125">
        <f t="shared" si="7"/>
        <v>25899.06</v>
      </c>
      <c r="U71" s="125">
        <v>0</v>
      </c>
      <c r="V71" s="125">
        <v>0</v>
      </c>
      <c r="W71" s="192">
        <v>0</v>
      </c>
      <c r="X71" s="125">
        <f>ROUND(W71*Valores!$C$2,2)</f>
        <v>0</v>
      </c>
      <c r="Y71" s="125">
        <v>0</v>
      </c>
      <c r="Z71" s="125">
        <f>Valores!$C$95</f>
        <v>45736.39</v>
      </c>
      <c r="AA71" s="125">
        <f>Valores!$C$25</f>
        <v>1138.39</v>
      </c>
      <c r="AB71" s="214">
        <v>0</v>
      </c>
      <c r="AC71" s="125">
        <f t="shared" si="2"/>
        <v>0</v>
      </c>
      <c r="AD71" s="125">
        <f>Valores!$C$26</f>
        <v>1138.39</v>
      </c>
      <c r="AE71" s="192">
        <v>0</v>
      </c>
      <c r="AF71" s="125">
        <f>ROUND(AE71*Valores!$C$2,2)</f>
        <v>0</v>
      </c>
      <c r="AG71" s="125">
        <f>ROUND(IF($F$4="NO",Valores!$C$63,Valores!$C$63/2),2)</f>
        <v>13014.72</v>
      </c>
      <c r="AH71" s="125">
        <f t="shared" si="5"/>
        <v>392466.99</v>
      </c>
      <c r="AI71" s="125">
        <f>Valores!$C$31</f>
        <v>0</v>
      </c>
      <c r="AJ71" s="125">
        <f>Valores!$C$88</f>
        <v>0</v>
      </c>
      <c r="AK71" s="125">
        <f>Valores!C$38*B71</f>
        <v>0</v>
      </c>
      <c r="AL71" s="125">
        <f>IF($F$3="NO",0,Valores!$C$56)</f>
        <v>170.34</v>
      </c>
      <c r="AM71" s="125">
        <f t="shared" si="3"/>
        <v>170.34</v>
      </c>
      <c r="AN71" s="125">
        <f>AH71*Valores!$C$71</f>
        <v>-43171.3689</v>
      </c>
      <c r="AO71" s="125">
        <f>AH71*-Valores!$C$72</f>
        <v>0</v>
      </c>
      <c r="AP71" s="125">
        <f>AH71*Valores!$C$73</f>
        <v>-17661.01455</v>
      </c>
      <c r="AQ71" s="125">
        <f>Valores!$C$100</f>
        <v>-554.86</v>
      </c>
      <c r="AR71" s="125">
        <f>IF($F$5=0,Valores!$C$101,(Valores!$C$101+$F$5*(Valores!$C$101)))</f>
        <v>-852</v>
      </c>
      <c r="AS71" s="125">
        <f t="shared" si="6"/>
        <v>330398.08655</v>
      </c>
      <c r="AT71" s="125">
        <f aca="true" t="shared" si="10" ref="AT71:AT133">AN71</f>
        <v>-43171.3689</v>
      </c>
      <c r="AU71" s="125">
        <f>AH71*Valores!$C$74</f>
        <v>-10596.60873</v>
      </c>
      <c r="AV71" s="125">
        <f>AH71*Valores!$C$75</f>
        <v>-1177.40097</v>
      </c>
      <c r="AW71" s="125">
        <f t="shared" si="4"/>
        <v>337691.9514</v>
      </c>
      <c r="AX71" s="126"/>
      <c r="AY71" s="126">
        <v>25</v>
      </c>
      <c r="AZ71" s="123" t="s">
        <v>4</v>
      </c>
    </row>
    <row r="72" spans="1:52" s="110" customFormat="1" ht="11.25" customHeight="1">
      <c r="A72" s="123" t="s">
        <v>237</v>
      </c>
      <c r="B72" s="123">
        <v>1</v>
      </c>
      <c r="C72" s="126">
        <v>65</v>
      </c>
      <c r="D72" s="124" t="s">
        <v>238</v>
      </c>
      <c r="E72" s="192">
        <v>90</v>
      </c>
      <c r="F72" s="125">
        <f>ROUND(E72*Valores!$C$2,2)</f>
        <v>4900.5</v>
      </c>
      <c r="G72" s="192">
        <v>2800</v>
      </c>
      <c r="H72" s="125">
        <f>ROUND(G72*Valores!$C$2,2)</f>
        <v>152460</v>
      </c>
      <c r="I72" s="192">
        <v>0</v>
      </c>
      <c r="J72" s="125">
        <f>ROUND(I72*Valores!$C$2,2)</f>
        <v>0</v>
      </c>
      <c r="K72" s="192">
        <v>0</v>
      </c>
      <c r="L72" s="125">
        <f>ROUND(K72*Valores!$C$2,2)</f>
        <v>0</v>
      </c>
      <c r="M72" s="125">
        <f>ROUND(IF($H$2=0,IF(AND(A72&lt;&gt;"13-930",A72&lt;&gt;"13-940"),(SUM(F72,H72,J72,L72,X72,T72,R72)*Valores!$C$4),0),0),2)</f>
        <v>52008.1</v>
      </c>
      <c r="N72" s="125">
        <f aca="true" t="shared" si="11" ref="N72:N135">ROUND(SUM(F72,H72,J72,L72,X72,R72)*$H$2,2)</f>
        <v>0</v>
      </c>
      <c r="O72" s="125">
        <f>Valores!$C$9</f>
        <v>68418.57</v>
      </c>
      <c r="P72" s="125">
        <f>Valores!$D$5</f>
        <v>27834.84</v>
      </c>
      <c r="Q72" s="125">
        <v>0</v>
      </c>
      <c r="R72" s="125">
        <f>IF($F$4="NO",Valores!$C$48,Valores!$C$48/2)</f>
        <v>24772.84</v>
      </c>
      <c r="S72" s="125">
        <f>Valores!$C$19</f>
        <v>25899.06</v>
      </c>
      <c r="T72" s="125">
        <f t="shared" si="7"/>
        <v>25899.06</v>
      </c>
      <c r="U72" s="125">
        <v>0</v>
      </c>
      <c r="V72" s="125">
        <v>0</v>
      </c>
      <c r="W72" s="192">
        <v>0</v>
      </c>
      <c r="X72" s="125">
        <f>ROUND(W72*Valores!$C$2,2)</f>
        <v>0</v>
      </c>
      <c r="Y72" s="125">
        <v>0</v>
      </c>
      <c r="Z72" s="125">
        <f>Valores!$C$95</f>
        <v>45736.39</v>
      </c>
      <c r="AA72" s="125">
        <f>Valores!$C$25</f>
        <v>1138.39</v>
      </c>
      <c r="AB72" s="214">
        <v>0</v>
      </c>
      <c r="AC72" s="125">
        <f aca="true" t="shared" si="12" ref="AC72:AC135">ROUND(SUM(F72,H72,J72,X72,R72)*AB72,2)</f>
        <v>0</v>
      </c>
      <c r="AD72" s="125">
        <f>Valores!$C$26</f>
        <v>1138.39</v>
      </c>
      <c r="AE72" s="192">
        <v>0</v>
      </c>
      <c r="AF72" s="125">
        <f>ROUND(AE72*Valores!$C$2,2)</f>
        <v>0</v>
      </c>
      <c r="AG72" s="125">
        <f>ROUND(IF($F$4="NO",Valores!$C$63,Valores!$C$63/2),2)</f>
        <v>13014.72</v>
      </c>
      <c r="AH72" s="125">
        <f t="shared" si="5"/>
        <v>417321.8000000001</v>
      </c>
      <c r="AI72" s="125">
        <f>Valores!$C$31</f>
        <v>0</v>
      </c>
      <c r="AJ72" s="125">
        <f>Valores!$C$88</f>
        <v>0</v>
      </c>
      <c r="AK72" s="125">
        <f>Valores!C$38*B72</f>
        <v>0</v>
      </c>
      <c r="AL72" s="125">
        <f>IF($F$3="NO",0,Valores!$C$56)</f>
        <v>170.34</v>
      </c>
      <c r="AM72" s="125">
        <f aca="true" t="shared" si="13" ref="AM72:AM135">SUM(AI72:AL72)</f>
        <v>170.34</v>
      </c>
      <c r="AN72" s="125">
        <f>AH72*Valores!$C$71</f>
        <v>-45905.39800000001</v>
      </c>
      <c r="AO72" s="125">
        <f>AH72*-Valores!$C$72</f>
        <v>0</v>
      </c>
      <c r="AP72" s="125">
        <f>AH72*Valores!$C$73</f>
        <v>-18779.481000000003</v>
      </c>
      <c r="AQ72" s="125">
        <f>Valores!$C$100</f>
        <v>-554.86</v>
      </c>
      <c r="AR72" s="125">
        <f>IF($F$5=0,Valores!$C$101,(Valores!$C$101+$F$5*(Valores!$C$101)))</f>
        <v>-852</v>
      </c>
      <c r="AS72" s="125">
        <f t="shared" si="6"/>
        <v>351400.40100000007</v>
      </c>
      <c r="AT72" s="125">
        <f t="shared" si="10"/>
        <v>-45905.39800000001</v>
      </c>
      <c r="AU72" s="125">
        <f>AH72*Valores!$C$74</f>
        <v>-11267.688600000003</v>
      </c>
      <c r="AV72" s="125">
        <f>AH72*Valores!$C$75</f>
        <v>-1251.9654000000003</v>
      </c>
      <c r="AW72" s="125">
        <f aca="true" t="shared" si="14" ref="AW72:AW135">AH72+AM72+SUM(AT72:AV72)</f>
        <v>359067.0880000001</v>
      </c>
      <c r="AX72" s="126"/>
      <c r="AY72" s="126"/>
      <c r="AZ72" s="123" t="s">
        <v>8</v>
      </c>
    </row>
    <row r="73" spans="1:52" s="110" customFormat="1" ht="11.25" customHeight="1">
      <c r="A73" s="123" t="s">
        <v>239</v>
      </c>
      <c r="B73" s="123">
        <v>1</v>
      </c>
      <c r="C73" s="126">
        <v>66</v>
      </c>
      <c r="D73" s="124" t="s">
        <v>240</v>
      </c>
      <c r="E73" s="192">
        <v>79</v>
      </c>
      <c r="F73" s="125">
        <f>ROUND(E73*Valores!$C$2,2)</f>
        <v>4301.55</v>
      </c>
      <c r="G73" s="192">
        <v>2161</v>
      </c>
      <c r="H73" s="125">
        <f>ROUND(G73*Valores!$C$2,2)</f>
        <v>117666.45</v>
      </c>
      <c r="I73" s="192">
        <v>0</v>
      </c>
      <c r="J73" s="125">
        <f>ROUND(I73*Valores!$C$2,2)</f>
        <v>0</v>
      </c>
      <c r="K73" s="192">
        <v>0</v>
      </c>
      <c r="L73" s="125">
        <f>ROUND(K73*Valores!$C$2,2)</f>
        <v>0</v>
      </c>
      <c r="M73" s="125">
        <f>ROUND(IF($H$2=0,IF(AND(A73&lt;&gt;"13-930",A73&lt;&gt;"13-940"),(SUM(F73,H73,J73,L73,X73,T73,R73)*Valores!$C$4),0),0),2)</f>
        <v>42070.84</v>
      </c>
      <c r="N73" s="125">
        <f t="shared" si="11"/>
        <v>0</v>
      </c>
      <c r="O73" s="125">
        <f>Valores!$C$9</f>
        <v>68418.57</v>
      </c>
      <c r="P73" s="125">
        <f>Valores!$D$5</f>
        <v>27834.84</v>
      </c>
      <c r="Q73" s="125">
        <f>Valores!$C$22</f>
        <v>24831.49</v>
      </c>
      <c r="R73" s="125">
        <f>IF($F$4="NO",Valores!$C$45,Valores!$C$45/2)</f>
        <v>20416.3</v>
      </c>
      <c r="S73" s="125">
        <f>Valores!$C$19</f>
        <v>25899.06</v>
      </c>
      <c r="T73" s="125">
        <f t="shared" si="7"/>
        <v>25899.06</v>
      </c>
      <c r="U73" s="125">
        <v>0</v>
      </c>
      <c r="V73" s="125">
        <v>0</v>
      </c>
      <c r="W73" s="192">
        <v>0</v>
      </c>
      <c r="X73" s="125">
        <f>ROUND(W73*Valores!$C$2,2)</f>
        <v>0</v>
      </c>
      <c r="Y73" s="125">
        <v>0</v>
      </c>
      <c r="Z73" s="125">
        <f>Valores!$C$95</f>
        <v>45736.39</v>
      </c>
      <c r="AA73" s="125">
        <f>Valores!$C$25</f>
        <v>1138.39</v>
      </c>
      <c r="AB73" s="214">
        <v>0</v>
      </c>
      <c r="AC73" s="125">
        <f t="shared" si="12"/>
        <v>0</v>
      </c>
      <c r="AD73" s="125">
        <f>Valores!$C$26</f>
        <v>1138.39</v>
      </c>
      <c r="AE73" s="192">
        <v>0</v>
      </c>
      <c r="AF73" s="125">
        <f>ROUND(AE73*Valores!$C$2,2)</f>
        <v>0</v>
      </c>
      <c r="AG73" s="125">
        <f>ROUND(IF($F$4="NO",Valores!$C$63,Valores!$C$63/2),2)</f>
        <v>13014.72</v>
      </c>
      <c r="AH73" s="125">
        <f aca="true" t="shared" si="15" ref="AH73:AH136">SUM(F73,H73,J73,L73,M73,N73,O73,P73,Q73,R73,T73,U73,V73,X73,Y73,Z73,AA73,AC73,AD73,AF73,AG73)</f>
        <v>392466.99</v>
      </c>
      <c r="AI73" s="125">
        <f>Valores!$C$31</f>
        <v>0</v>
      </c>
      <c r="AJ73" s="125">
        <f>Valores!$C$88</f>
        <v>0</v>
      </c>
      <c r="AK73" s="125">
        <f>Valores!C$38*B73</f>
        <v>0</v>
      </c>
      <c r="AL73" s="125">
        <f>IF($F$3="NO",0,Valores!$C$56)</f>
        <v>170.34</v>
      </c>
      <c r="AM73" s="125">
        <f t="shared" si="13"/>
        <v>170.34</v>
      </c>
      <c r="AN73" s="125">
        <f>AH73*Valores!$C$71</f>
        <v>-43171.3689</v>
      </c>
      <c r="AO73" s="125">
        <f>AH73*-Valores!$C$72</f>
        <v>0</v>
      </c>
      <c r="AP73" s="125">
        <f>AH73*Valores!$C$73</f>
        <v>-17661.01455</v>
      </c>
      <c r="AQ73" s="125">
        <f>Valores!$C$100</f>
        <v>-554.86</v>
      </c>
      <c r="AR73" s="125">
        <f>IF($F$5=0,Valores!$C$101,(Valores!$C$101+$F$5*(Valores!$C$101)))</f>
        <v>-852</v>
      </c>
      <c r="AS73" s="125">
        <f aca="true" t="shared" si="16" ref="AS73:AS136">AH73+SUM(AM73:AR73)</f>
        <v>330398.08655</v>
      </c>
      <c r="AT73" s="125">
        <f t="shared" si="10"/>
        <v>-43171.3689</v>
      </c>
      <c r="AU73" s="125">
        <f>AH73*Valores!$C$74</f>
        <v>-10596.60873</v>
      </c>
      <c r="AV73" s="125">
        <f>AH73*Valores!$C$75</f>
        <v>-1177.40097</v>
      </c>
      <c r="AW73" s="125">
        <f t="shared" si="14"/>
        <v>337691.9514</v>
      </c>
      <c r="AX73" s="126"/>
      <c r="AY73" s="126">
        <v>30</v>
      </c>
      <c r="AZ73" s="123" t="s">
        <v>4</v>
      </c>
    </row>
    <row r="74" spans="1:52" s="110" customFormat="1" ht="11.25" customHeight="1">
      <c r="A74" s="123" t="s">
        <v>241</v>
      </c>
      <c r="B74" s="123">
        <v>1</v>
      </c>
      <c r="C74" s="126">
        <v>67</v>
      </c>
      <c r="D74" s="124" t="s">
        <v>242</v>
      </c>
      <c r="E74" s="192">
        <v>90</v>
      </c>
      <c r="F74" s="125">
        <f>ROUND(E74*Valores!$C$2,2)</f>
        <v>4900.5</v>
      </c>
      <c r="G74" s="192">
        <v>2720</v>
      </c>
      <c r="H74" s="125">
        <f>ROUND(G74*Valores!$C$2,2)</f>
        <v>148104</v>
      </c>
      <c r="I74" s="192">
        <v>0</v>
      </c>
      <c r="J74" s="125">
        <f>ROUND(I74*Valores!$C$2,2)</f>
        <v>0</v>
      </c>
      <c r="K74" s="192">
        <v>0</v>
      </c>
      <c r="L74" s="125">
        <f>ROUND(K74*Valores!$C$2,2)</f>
        <v>0</v>
      </c>
      <c r="M74" s="125">
        <f>ROUND(IF($H$2=0,IF(AND(A74&lt;&gt;"13-930",A74&lt;&gt;"13-940"),(SUM(F74,H74,J74,L74,X74,T74,R74)*Valores!$C$4),0),0),2)</f>
        <v>50919.1</v>
      </c>
      <c r="N74" s="125">
        <f t="shared" si="11"/>
        <v>0</v>
      </c>
      <c r="O74" s="125">
        <f>Valores!$C$9</f>
        <v>68418.57</v>
      </c>
      <c r="P74" s="125">
        <f>Valores!$D$5</f>
        <v>27834.84</v>
      </c>
      <c r="Q74" s="125">
        <v>0</v>
      </c>
      <c r="R74" s="125">
        <f>IF($F$4="NO",Valores!$C$48,Valores!$C$476/2)</f>
        <v>24772.84</v>
      </c>
      <c r="S74" s="125">
        <f>Valores!$C$19</f>
        <v>25899.06</v>
      </c>
      <c r="T74" s="125">
        <f t="shared" si="7"/>
        <v>25899.06</v>
      </c>
      <c r="U74" s="125">
        <v>0</v>
      </c>
      <c r="V74" s="125">
        <v>0</v>
      </c>
      <c r="W74" s="192">
        <v>0</v>
      </c>
      <c r="X74" s="125">
        <f>ROUND(W74*Valores!$C$2,2)</f>
        <v>0</v>
      </c>
      <c r="Y74" s="125">
        <v>0</v>
      </c>
      <c r="Z74" s="125">
        <f>Valores!$C$95</f>
        <v>45736.39</v>
      </c>
      <c r="AA74" s="125">
        <f>Valores!$C$25</f>
        <v>1138.39</v>
      </c>
      <c r="AB74" s="214">
        <v>0</v>
      </c>
      <c r="AC74" s="125">
        <f t="shared" si="12"/>
        <v>0</v>
      </c>
      <c r="AD74" s="125">
        <f>Valores!$C$26</f>
        <v>1138.39</v>
      </c>
      <c r="AE74" s="192">
        <v>0</v>
      </c>
      <c r="AF74" s="125">
        <f>ROUND(AE74*Valores!$C$2,2)</f>
        <v>0</v>
      </c>
      <c r="AG74" s="125">
        <f>ROUND(IF($F$4="NO",Valores!$C$63,Valores!$C$63/2),2)</f>
        <v>13014.72</v>
      </c>
      <c r="AH74" s="125">
        <f t="shared" si="15"/>
        <v>411876.8000000001</v>
      </c>
      <c r="AI74" s="125">
        <f>Valores!$C$31</f>
        <v>0</v>
      </c>
      <c r="AJ74" s="125">
        <f>Valores!$C$88</f>
        <v>0</v>
      </c>
      <c r="AK74" s="125">
        <f>Valores!C$38*B74</f>
        <v>0</v>
      </c>
      <c r="AL74" s="125">
        <f>IF($F$3="NO",0,Valores!$C$56)</f>
        <v>170.34</v>
      </c>
      <c r="AM74" s="125">
        <f t="shared" si="13"/>
        <v>170.34</v>
      </c>
      <c r="AN74" s="125">
        <f>AH74*Valores!$C$71</f>
        <v>-45306.44800000001</v>
      </c>
      <c r="AO74" s="125">
        <f>AH74*-Valores!$C$72</f>
        <v>0</v>
      </c>
      <c r="AP74" s="125">
        <f>AH74*Valores!$C$73</f>
        <v>-18534.456000000006</v>
      </c>
      <c r="AQ74" s="125">
        <f>Valores!$C$100</f>
        <v>-554.86</v>
      </c>
      <c r="AR74" s="125">
        <f>IF($F$5=0,Valores!$C$101,(Valores!$C$101+$F$5*(Valores!$C$101)))</f>
        <v>-852</v>
      </c>
      <c r="AS74" s="125">
        <f t="shared" si="16"/>
        <v>346799.3760000001</v>
      </c>
      <c r="AT74" s="125">
        <f t="shared" si="10"/>
        <v>-45306.44800000001</v>
      </c>
      <c r="AU74" s="125">
        <f>AH74*Valores!$C$74</f>
        <v>-11120.673600000002</v>
      </c>
      <c r="AV74" s="125">
        <f>AH74*Valores!$C$75</f>
        <v>-1235.6304000000002</v>
      </c>
      <c r="AW74" s="125">
        <f t="shared" si="14"/>
        <v>354384.3880000001</v>
      </c>
      <c r="AX74" s="126"/>
      <c r="AY74" s="126"/>
      <c r="AZ74" s="123" t="s">
        <v>8</v>
      </c>
    </row>
    <row r="75" spans="1:52" s="110" customFormat="1" ht="11.25" customHeight="1">
      <c r="A75" s="123" t="s">
        <v>243</v>
      </c>
      <c r="B75" s="123">
        <v>1</v>
      </c>
      <c r="C75" s="126">
        <v>68</v>
      </c>
      <c r="D75" s="124" t="s">
        <v>244</v>
      </c>
      <c r="E75" s="192">
        <v>78</v>
      </c>
      <c r="F75" s="125">
        <f>ROUND(E75*Valores!$C$2,2)</f>
        <v>4247.1</v>
      </c>
      <c r="G75" s="192">
        <v>1284</v>
      </c>
      <c r="H75" s="125">
        <f>ROUND(G75*Valores!$C$2,2)</f>
        <v>69913.8</v>
      </c>
      <c r="I75" s="192">
        <v>0</v>
      </c>
      <c r="J75" s="125">
        <f>ROUND(I75*Valores!$C$2,2)</f>
        <v>0</v>
      </c>
      <c r="K75" s="192">
        <v>0</v>
      </c>
      <c r="L75" s="125">
        <f>ROUND(K75*Valores!$C$2,2)</f>
        <v>0</v>
      </c>
      <c r="M75" s="125">
        <f>ROUND(IF($H$2=0,IF(AND(A75&lt;&gt;"13-930",A75&lt;&gt;"13-940"),(SUM(F75,H75,J75,L75,X75,T75,R75)*Valores!$C$4),0),0),2)</f>
        <v>29782.63</v>
      </c>
      <c r="N75" s="125">
        <f t="shared" si="11"/>
        <v>0</v>
      </c>
      <c r="O75" s="125">
        <f>Valores!$C$8</f>
        <v>68242.23</v>
      </c>
      <c r="P75" s="125">
        <f>Valores!$D$5</f>
        <v>27834.84</v>
      </c>
      <c r="Q75" s="125">
        <f>Valores!$C$22</f>
        <v>24831.49</v>
      </c>
      <c r="R75" s="125">
        <f>IF($F$4="NO",Valores!$C$44,Valores!$C$44/2)</f>
        <v>19335.33</v>
      </c>
      <c r="S75" s="125">
        <f>Valores!$C$20</f>
        <v>25634.272</v>
      </c>
      <c r="T75" s="125">
        <f aca="true" t="shared" si="17" ref="T75:T138">ROUND(S75*(1+$H$2),2)</f>
        <v>25634.27</v>
      </c>
      <c r="U75" s="125">
        <v>0</v>
      </c>
      <c r="V75" s="125">
        <v>0</v>
      </c>
      <c r="W75" s="192">
        <v>0</v>
      </c>
      <c r="X75" s="125">
        <f>ROUND(W75*Valores!$C$2,2)</f>
        <v>0</v>
      </c>
      <c r="Y75" s="125">
        <v>0</v>
      </c>
      <c r="Z75" s="125">
        <f>Valores!$C$94</f>
        <v>38113.67</v>
      </c>
      <c r="AA75" s="125">
        <f>Valores!$C$25</f>
        <v>1138.39</v>
      </c>
      <c r="AB75" s="214">
        <v>0</v>
      </c>
      <c r="AC75" s="125">
        <f t="shared" si="12"/>
        <v>0</v>
      </c>
      <c r="AD75" s="125">
        <f>Valores!$C$26</f>
        <v>1138.39</v>
      </c>
      <c r="AE75" s="192">
        <v>0</v>
      </c>
      <c r="AF75" s="125">
        <f>ROUND(AE75*Valores!$C$2,2)</f>
        <v>0</v>
      </c>
      <c r="AG75" s="125">
        <f>ROUND(IF($F$4="NO",Valores!$C$63,Valores!$C$63/2),2)</f>
        <v>13014.72</v>
      </c>
      <c r="AH75" s="125">
        <f t="shared" si="15"/>
        <v>323226.86</v>
      </c>
      <c r="AI75" s="125">
        <f>Valores!$C$31</f>
        <v>0</v>
      </c>
      <c r="AJ75" s="125">
        <f>Valores!$C$87</f>
        <v>0</v>
      </c>
      <c r="AK75" s="125">
        <f>Valores!C$38*B75</f>
        <v>0</v>
      </c>
      <c r="AL75" s="125">
        <f>IF($F$3="NO",0,Valores!$C$56)</f>
        <v>170.34</v>
      </c>
      <c r="AM75" s="125">
        <f t="shared" si="13"/>
        <v>170.34</v>
      </c>
      <c r="AN75" s="125">
        <f>AH75*Valores!$C$71</f>
        <v>-35554.9546</v>
      </c>
      <c r="AO75" s="125">
        <f>AH75*-Valores!$C$72</f>
        <v>0</v>
      </c>
      <c r="AP75" s="125">
        <f>AH75*Valores!$C$73</f>
        <v>-14545.2087</v>
      </c>
      <c r="AQ75" s="125">
        <f>Valores!$C$100</f>
        <v>-554.86</v>
      </c>
      <c r="AR75" s="125">
        <f>IF($F$5=0,Valores!$C$101,(Valores!$C$101+$F$5*(Valores!$C$101)))</f>
        <v>-852</v>
      </c>
      <c r="AS75" s="125">
        <f t="shared" si="16"/>
        <v>271890.17669999995</v>
      </c>
      <c r="AT75" s="125">
        <f t="shared" si="10"/>
        <v>-35554.9546</v>
      </c>
      <c r="AU75" s="125">
        <f>AH75*Valores!$C$74</f>
        <v>-8727.12522</v>
      </c>
      <c r="AV75" s="125">
        <f>AH75*Valores!$C$75</f>
        <v>-969.68058</v>
      </c>
      <c r="AW75" s="125">
        <f t="shared" si="14"/>
        <v>278145.43960000004</v>
      </c>
      <c r="AX75" s="126"/>
      <c r="AY75" s="126">
        <v>30</v>
      </c>
      <c r="AZ75" s="123" t="s">
        <v>4</v>
      </c>
    </row>
    <row r="76" spans="1:52" s="110" customFormat="1" ht="11.25" customHeight="1">
      <c r="A76" s="123" t="s">
        <v>245</v>
      </c>
      <c r="B76" s="123">
        <v>1</v>
      </c>
      <c r="C76" s="126">
        <v>69</v>
      </c>
      <c r="D76" s="124" t="s">
        <v>246</v>
      </c>
      <c r="E76" s="192">
        <v>78</v>
      </c>
      <c r="F76" s="125">
        <f>ROUND(E76*Valores!$C$2,2)</f>
        <v>4247.1</v>
      </c>
      <c r="G76" s="192">
        <v>1284</v>
      </c>
      <c r="H76" s="125">
        <f>ROUND(G76*Valores!$C$2,2)</f>
        <v>69913.8</v>
      </c>
      <c r="I76" s="192">
        <v>0</v>
      </c>
      <c r="J76" s="125">
        <f>ROUND(I76*Valores!$C$2,2)</f>
        <v>0</v>
      </c>
      <c r="K76" s="192">
        <v>0</v>
      </c>
      <c r="L76" s="125">
        <f>ROUND(K76*Valores!$C$2,2)</f>
        <v>0</v>
      </c>
      <c r="M76" s="125">
        <f>ROUND(IF($H$2=0,IF(AND(A76&lt;&gt;"13-930",A76&lt;&gt;"13-940"),(SUM(F76,H76,J76,L76,X76,T76,R76)*Valores!$C$4),0),0),2)</f>
        <v>29782.63</v>
      </c>
      <c r="N76" s="125">
        <f t="shared" si="11"/>
        <v>0</v>
      </c>
      <c r="O76" s="125">
        <f>Valores!$C$8</f>
        <v>68242.23</v>
      </c>
      <c r="P76" s="125">
        <f>Valores!$D$5</f>
        <v>27834.84</v>
      </c>
      <c r="Q76" s="125">
        <f>Valores!$C$22</f>
        <v>24831.49</v>
      </c>
      <c r="R76" s="125">
        <f>IF($F$4="NO",Valores!$C$44,Valores!$C$44/2)</f>
        <v>19335.33</v>
      </c>
      <c r="S76" s="125">
        <f>Valores!$C$20</f>
        <v>25634.272</v>
      </c>
      <c r="T76" s="125">
        <f t="shared" si="17"/>
        <v>25634.27</v>
      </c>
      <c r="U76" s="125">
        <v>0</v>
      </c>
      <c r="V76" s="125">
        <v>0</v>
      </c>
      <c r="W76" s="192">
        <v>0</v>
      </c>
      <c r="X76" s="125">
        <f>ROUND(W76*Valores!$C$2,2)</f>
        <v>0</v>
      </c>
      <c r="Y76" s="125">
        <v>0</v>
      </c>
      <c r="Z76" s="125">
        <f>Valores!$C$94</f>
        <v>38113.67</v>
      </c>
      <c r="AA76" s="125">
        <f>Valores!$C$25</f>
        <v>1138.39</v>
      </c>
      <c r="AB76" s="214">
        <v>0</v>
      </c>
      <c r="AC76" s="125">
        <f t="shared" si="12"/>
        <v>0</v>
      </c>
      <c r="AD76" s="125">
        <f>Valores!$C$26</f>
        <v>1138.39</v>
      </c>
      <c r="AE76" s="192">
        <v>0</v>
      </c>
      <c r="AF76" s="125">
        <f>ROUND(AE76*Valores!$C$2,2)</f>
        <v>0</v>
      </c>
      <c r="AG76" s="125">
        <f>ROUND(IF($F$4="NO",Valores!$C$63,Valores!$C$63/2),2)</f>
        <v>13014.72</v>
      </c>
      <c r="AH76" s="125">
        <f t="shared" si="15"/>
        <v>323226.86</v>
      </c>
      <c r="AI76" s="125">
        <f>Valores!$C$31</f>
        <v>0</v>
      </c>
      <c r="AJ76" s="125">
        <f>Valores!$C$87</f>
        <v>0</v>
      </c>
      <c r="AK76" s="125">
        <f>Valores!C$38*B76</f>
        <v>0</v>
      </c>
      <c r="AL76" s="125">
        <v>0</v>
      </c>
      <c r="AM76" s="125">
        <f t="shared" si="13"/>
        <v>0</v>
      </c>
      <c r="AN76" s="125">
        <f>AH76*Valores!$C$71</f>
        <v>-35554.9546</v>
      </c>
      <c r="AO76" s="125">
        <f>AH76*-Valores!$C$72</f>
        <v>0</v>
      </c>
      <c r="AP76" s="125">
        <f>AH76*Valores!$C$73</f>
        <v>-14545.2087</v>
      </c>
      <c r="AQ76" s="125">
        <f>Valores!$C$100</f>
        <v>-554.86</v>
      </c>
      <c r="AR76" s="125">
        <f>IF($F$5=0,Valores!$C$101,(Valores!$C$101+$F$5*(Valores!$C$101)))</f>
        <v>-852</v>
      </c>
      <c r="AS76" s="125">
        <f t="shared" si="16"/>
        <v>271719.8367</v>
      </c>
      <c r="AT76" s="125">
        <f t="shared" si="10"/>
        <v>-35554.9546</v>
      </c>
      <c r="AU76" s="125">
        <f>AH76*Valores!$C$74</f>
        <v>-8727.12522</v>
      </c>
      <c r="AV76" s="125">
        <f>AH76*Valores!$C$75</f>
        <v>-969.68058</v>
      </c>
      <c r="AW76" s="125">
        <f t="shared" si="14"/>
        <v>277975.09959999996</v>
      </c>
      <c r="AX76" s="126"/>
      <c r="AY76" s="126"/>
      <c r="AZ76" s="123" t="s">
        <v>8</v>
      </c>
    </row>
    <row r="77" spans="1:52" s="110" customFormat="1" ht="11.25" customHeight="1">
      <c r="A77" s="123" t="s">
        <v>247</v>
      </c>
      <c r="B77" s="123">
        <v>1</v>
      </c>
      <c r="C77" s="126">
        <v>70</v>
      </c>
      <c r="D77" s="124" t="s">
        <v>248</v>
      </c>
      <c r="E77" s="192">
        <v>78</v>
      </c>
      <c r="F77" s="125">
        <f>ROUND(E77*Valores!$C$2,2)</f>
        <v>4247.1</v>
      </c>
      <c r="G77" s="192">
        <v>1284</v>
      </c>
      <c r="H77" s="125">
        <f>ROUND(G77*Valores!$C$2,2)</f>
        <v>69913.8</v>
      </c>
      <c r="I77" s="192">
        <v>0</v>
      </c>
      <c r="J77" s="125">
        <f>ROUND(I77*Valores!$C$2,2)</f>
        <v>0</v>
      </c>
      <c r="K77" s="192">
        <v>0</v>
      </c>
      <c r="L77" s="125">
        <f>ROUND(K77*Valores!$C$2,2)</f>
        <v>0</v>
      </c>
      <c r="M77" s="125">
        <f>ROUND(IF($H$2=0,IF(AND(A77&lt;&gt;"13-930",A77&lt;&gt;"13-940"),(SUM(F77,H77,J77,L77,X77,T77,R77)*Valores!$C$4),0),0),2)</f>
        <v>23374.06</v>
      </c>
      <c r="N77" s="125">
        <f t="shared" si="11"/>
        <v>0</v>
      </c>
      <c r="O77" s="125">
        <f>Valores!$C$14</f>
        <v>54217.67</v>
      </c>
      <c r="P77" s="125">
        <f>Valores!$D$5</f>
        <v>27834.84</v>
      </c>
      <c r="Q77" s="125">
        <f>Valores!$C$22</f>
        <v>24831.49</v>
      </c>
      <c r="R77" s="125">
        <f>IF($F$4="NO",Valores!$C$44,Valores!$C$44/2)</f>
        <v>19335.33</v>
      </c>
      <c r="S77" s="125">
        <v>0</v>
      </c>
      <c r="T77" s="125">
        <f t="shared" si="17"/>
        <v>0</v>
      </c>
      <c r="U77" s="125">
        <v>0</v>
      </c>
      <c r="V77" s="125">
        <v>0</v>
      </c>
      <c r="W77" s="192">
        <v>0</v>
      </c>
      <c r="X77" s="125">
        <f>ROUND(W77*Valores!$C$2,2)</f>
        <v>0</v>
      </c>
      <c r="Y77" s="125">
        <v>0</v>
      </c>
      <c r="Z77" s="125">
        <f>Valores!$C$94</f>
        <v>38113.67</v>
      </c>
      <c r="AA77" s="125">
        <f>Valores!$C$25</f>
        <v>1138.39</v>
      </c>
      <c r="AB77" s="214">
        <v>0</v>
      </c>
      <c r="AC77" s="125">
        <f t="shared" si="12"/>
        <v>0</v>
      </c>
      <c r="AD77" s="125">
        <f>Valores!$C$26</f>
        <v>1138.39</v>
      </c>
      <c r="AE77" s="192">
        <v>0</v>
      </c>
      <c r="AF77" s="125">
        <f>ROUND(AE77*Valores!$C$2,2)</f>
        <v>0</v>
      </c>
      <c r="AG77" s="125">
        <f>ROUND(IF($F$4="NO",Valores!$C$63,Valores!$C$63/2),2)</f>
        <v>13014.72</v>
      </c>
      <c r="AH77" s="125">
        <f t="shared" si="15"/>
        <v>277159.45999999996</v>
      </c>
      <c r="AI77" s="125">
        <f>Valores!$C$31</f>
        <v>0</v>
      </c>
      <c r="AJ77" s="125">
        <f>Valores!$C$87</f>
        <v>0</v>
      </c>
      <c r="AK77" s="125">
        <f>Valores!C$38*B77</f>
        <v>0</v>
      </c>
      <c r="AL77" s="125">
        <v>0</v>
      </c>
      <c r="AM77" s="125">
        <f t="shared" si="13"/>
        <v>0</v>
      </c>
      <c r="AN77" s="125">
        <f>AH77*Valores!$C$71</f>
        <v>-30487.540599999997</v>
      </c>
      <c r="AO77" s="125">
        <f>AH77*-Valores!$C$72</f>
        <v>0</v>
      </c>
      <c r="AP77" s="125">
        <f>AH77*Valores!$C$73</f>
        <v>-12472.175699999998</v>
      </c>
      <c r="AQ77" s="125">
        <f>Valores!$C$100</f>
        <v>-554.86</v>
      </c>
      <c r="AR77" s="125">
        <f>IF($F$5=0,Valores!$C$101,(Valores!$C$101+$F$5*(Valores!$C$101)))</f>
        <v>-852</v>
      </c>
      <c r="AS77" s="125">
        <f t="shared" si="16"/>
        <v>232792.88369999998</v>
      </c>
      <c r="AT77" s="125">
        <f t="shared" si="10"/>
        <v>-30487.540599999997</v>
      </c>
      <c r="AU77" s="125">
        <f>AH77*Valores!$C$74</f>
        <v>-7483.305419999999</v>
      </c>
      <c r="AV77" s="125">
        <f>AH77*Valores!$C$75</f>
        <v>-831.4783799999999</v>
      </c>
      <c r="AW77" s="125">
        <f t="shared" si="14"/>
        <v>238357.13559999998</v>
      </c>
      <c r="AX77" s="126"/>
      <c r="AY77" s="126"/>
      <c r="AZ77" s="123" t="s">
        <v>8</v>
      </c>
    </row>
    <row r="78" spans="1:52" s="110" customFormat="1" ht="11.25" customHeight="1">
      <c r="A78" s="123" t="s">
        <v>249</v>
      </c>
      <c r="B78" s="123">
        <v>1</v>
      </c>
      <c r="C78" s="126">
        <v>71</v>
      </c>
      <c r="D78" s="124" t="s">
        <v>250</v>
      </c>
      <c r="E78" s="192">
        <v>82</v>
      </c>
      <c r="F78" s="125">
        <f>ROUND(E78*Valores!$C$2,2)</f>
        <v>4464.9</v>
      </c>
      <c r="G78" s="192">
        <v>2038</v>
      </c>
      <c r="H78" s="125">
        <f>ROUND(G78*Valores!$C$2,2)</f>
        <v>110969.1</v>
      </c>
      <c r="I78" s="192">
        <v>0</v>
      </c>
      <c r="J78" s="125">
        <f>ROUND(I78*Valores!$C$2,2)</f>
        <v>0</v>
      </c>
      <c r="K78" s="192">
        <v>0</v>
      </c>
      <c r="L78" s="125">
        <f>ROUND(K78*Valores!$C$2,2)</f>
        <v>0</v>
      </c>
      <c r="M78" s="125">
        <f>ROUND(IF($H$2=0,IF(AND(A78&lt;&gt;"13-930",A78&lt;&gt;"13-940"),(SUM(F78,H78,J78,L78,X78,T78,R78)*Valores!$C$4),0),0),2)</f>
        <v>40167.1</v>
      </c>
      <c r="N78" s="125">
        <f t="shared" si="11"/>
        <v>0</v>
      </c>
      <c r="O78" s="125">
        <f>Valores!$C$9</f>
        <v>68418.57</v>
      </c>
      <c r="P78" s="125">
        <f>Valores!$D$5</f>
        <v>27834.84</v>
      </c>
      <c r="Q78" s="125">
        <f>Valores!$C$22</f>
        <v>24831.49</v>
      </c>
      <c r="R78" s="125">
        <f>IF($F$4="NO",Valores!$C$44,Valores!$C$44/2)</f>
        <v>19335.33</v>
      </c>
      <c r="S78" s="125">
        <f>Valores!$C$19</f>
        <v>25899.06</v>
      </c>
      <c r="T78" s="125">
        <f t="shared" si="17"/>
        <v>25899.06</v>
      </c>
      <c r="U78" s="125">
        <v>0</v>
      </c>
      <c r="V78" s="125">
        <v>0</v>
      </c>
      <c r="W78" s="192">
        <v>0</v>
      </c>
      <c r="X78" s="125">
        <f>ROUND(W78*Valores!$C$2,2)</f>
        <v>0</v>
      </c>
      <c r="Y78" s="125">
        <v>0</v>
      </c>
      <c r="Z78" s="125">
        <f>Valores!$C$94</f>
        <v>38113.67</v>
      </c>
      <c r="AA78" s="125">
        <f>Valores!$C$25</f>
        <v>1138.39</v>
      </c>
      <c r="AB78" s="214">
        <v>0</v>
      </c>
      <c r="AC78" s="125">
        <f t="shared" si="12"/>
        <v>0</v>
      </c>
      <c r="AD78" s="125">
        <f>Valores!$C$26</f>
        <v>1138.39</v>
      </c>
      <c r="AE78" s="192">
        <v>0</v>
      </c>
      <c r="AF78" s="125">
        <f>ROUND(AE78*Valores!$C$2,2)</f>
        <v>0</v>
      </c>
      <c r="AG78" s="125">
        <f>ROUND(IF($F$4="NO",Valores!$C$63,Valores!$C$63/2),2)</f>
        <v>13014.72</v>
      </c>
      <c r="AH78" s="125">
        <f t="shared" si="15"/>
        <v>375325.56</v>
      </c>
      <c r="AI78" s="125">
        <f>Valores!$C$31</f>
        <v>0</v>
      </c>
      <c r="AJ78" s="125">
        <f>Valores!$C$87</f>
        <v>0</v>
      </c>
      <c r="AK78" s="125">
        <f>Valores!C$38*B78</f>
        <v>0</v>
      </c>
      <c r="AL78" s="125">
        <f>IF($F$3="NO",0,Valores!$C$56)</f>
        <v>170.34</v>
      </c>
      <c r="AM78" s="125">
        <f t="shared" si="13"/>
        <v>170.34</v>
      </c>
      <c r="AN78" s="125">
        <f>AH78*Valores!$C$71</f>
        <v>-41285.8116</v>
      </c>
      <c r="AO78" s="125">
        <f>AH78*-Valores!$C$72</f>
        <v>0</v>
      </c>
      <c r="AP78" s="125">
        <f>AH78*Valores!$C$73</f>
        <v>-16889.6502</v>
      </c>
      <c r="AQ78" s="125">
        <f>Valores!$C$100</f>
        <v>-554.86</v>
      </c>
      <c r="AR78" s="125">
        <f>IF($F$5=0,Valores!$C$101,(Valores!$C$101+$F$5*(Valores!$C$101)))</f>
        <v>-852</v>
      </c>
      <c r="AS78" s="125">
        <f t="shared" si="16"/>
        <v>315913.5782</v>
      </c>
      <c r="AT78" s="125">
        <f t="shared" si="10"/>
        <v>-41285.8116</v>
      </c>
      <c r="AU78" s="125">
        <f>AH78*Valores!$C$74</f>
        <v>-10133.79012</v>
      </c>
      <c r="AV78" s="125">
        <f>AH78*Valores!$C$75</f>
        <v>-1125.97668</v>
      </c>
      <c r="AW78" s="125">
        <f t="shared" si="14"/>
        <v>322950.3216</v>
      </c>
      <c r="AX78" s="126"/>
      <c r="AY78" s="126">
        <v>25</v>
      </c>
      <c r="AZ78" s="123" t="s">
        <v>4</v>
      </c>
    </row>
    <row r="79" spans="1:52" s="110" customFormat="1" ht="11.25" customHeight="1">
      <c r="A79" s="123" t="s">
        <v>251</v>
      </c>
      <c r="B79" s="123">
        <v>1</v>
      </c>
      <c r="C79" s="126">
        <v>72</v>
      </c>
      <c r="D79" s="124" t="s">
        <v>252</v>
      </c>
      <c r="E79" s="192">
        <v>78</v>
      </c>
      <c r="F79" s="125">
        <f>ROUND(E79*Valores!$C$2,2)</f>
        <v>4247.1</v>
      </c>
      <c r="G79" s="192">
        <v>2072</v>
      </c>
      <c r="H79" s="125">
        <f>ROUND(G79*Valores!$C$2,2)</f>
        <v>112820.4</v>
      </c>
      <c r="I79" s="192">
        <v>0</v>
      </c>
      <c r="J79" s="125">
        <f>ROUND(I79*Valores!$C$2,2)</f>
        <v>0</v>
      </c>
      <c r="K79" s="192">
        <v>0</v>
      </c>
      <c r="L79" s="125">
        <f>ROUND(K79*Valores!$C$2,2)</f>
        <v>0</v>
      </c>
      <c r="M79" s="125">
        <f>ROUND(IF($H$2=0,IF(AND(A79&lt;&gt;"13-930",A79&lt;&gt;"13-940"),(SUM(F79,H79,J79,L79,X79,T79,R79)*Valores!$C$4),0),0),2)</f>
        <v>40845.72</v>
      </c>
      <c r="N79" s="125">
        <f t="shared" si="11"/>
        <v>0</v>
      </c>
      <c r="O79" s="125">
        <f>Valores!$C$9</f>
        <v>68418.57</v>
      </c>
      <c r="P79" s="125">
        <f>Valores!$D$5</f>
        <v>27834.84</v>
      </c>
      <c r="Q79" s="125">
        <f>Valores!$C$22</f>
        <v>24831.49</v>
      </c>
      <c r="R79" s="125">
        <f>IF($F$4="NO",Valores!$C$45,Valores!$C$45/2)</f>
        <v>20416.3</v>
      </c>
      <c r="S79" s="125">
        <f>Valores!$C$19</f>
        <v>25899.06</v>
      </c>
      <c r="T79" s="125">
        <f t="shared" si="17"/>
        <v>25899.06</v>
      </c>
      <c r="U79" s="125">
        <v>0</v>
      </c>
      <c r="V79" s="125">
        <v>0</v>
      </c>
      <c r="W79" s="192">
        <v>0</v>
      </c>
      <c r="X79" s="125">
        <f>ROUND(W79*Valores!$C$2,2)</f>
        <v>0</v>
      </c>
      <c r="Y79" s="125">
        <v>0</v>
      </c>
      <c r="Z79" s="125">
        <f>Valores!$C$95</f>
        <v>45736.39</v>
      </c>
      <c r="AA79" s="125">
        <f>Valores!$C$25</f>
        <v>1138.39</v>
      </c>
      <c r="AB79" s="214">
        <v>0</v>
      </c>
      <c r="AC79" s="125">
        <f t="shared" si="12"/>
        <v>0</v>
      </c>
      <c r="AD79" s="125">
        <f>Valores!$C$26</f>
        <v>1138.39</v>
      </c>
      <c r="AE79" s="192">
        <v>0</v>
      </c>
      <c r="AF79" s="125">
        <f>ROUND(AE79*Valores!$C$2,2)</f>
        <v>0</v>
      </c>
      <c r="AG79" s="125">
        <f>ROUND(IF($F$4="NO",Valores!$C$63,Valores!$C$63/2),2)</f>
        <v>13014.72</v>
      </c>
      <c r="AH79" s="125">
        <f t="shared" si="15"/>
        <v>386341.37</v>
      </c>
      <c r="AI79" s="125">
        <f>Valores!$C$31</f>
        <v>0</v>
      </c>
      <c r="AJ79" s="125">
        <f>Valores!$C$88</f>
        <v>0</v>
      </c>
      <c r="AK79" s="125">
        <f>Valores!C$38*B79</f>
        <v>0</v>
      </c>
      <c r="AL79" s="125">
        <f>IF($F$3="NO",0,Valores!$C$56)</f>
        <v>170.34</v>
      </c>
      <c r="AM79" s="125">
        <f t="shared" si="13"/>
        <v>170.34</v>
      </c>
      <c r="AN79" s="125">
        <f>AH79*Valores!$C$71</f>
        <v>-42497.5507</v>
      </c>
      <c r="AO79" s="125">
        <f>AH79*-Valores!$C$72</f>
        <v>0</v>
      </c>
      <c r="AP79" s="125">
        <f>AH79*Valores!$C$73</f>
        <v>-17385.36165</v>
      </c>
      <c r="AQ79" s="125">
        <f>Valores!$C$100</f>
        <v>-554.86</v>
      </c>
      <c r="AR79" s="125">
        <f>IF($F$5=0,Valores!$C$101,(Valores!$C$101+$F$5*(Valores!$C$101)))</f>
        <v>-852</v>
      </c>
      <c r="AS79" s="125">
        <f t="shared" si="16"/>
        <v>325221.93765</v>
      </c>
      <c r="AT79" s="125">
        <f t="shared" si="10"/>
        <v>-42497.5507</v>
      </c>
      <c r="AU79" s="125">
        <f>AH79*Valores!$C$74</f>
        <v>-10431.216989999999</v>
      </c>
      <c r="AV79" s="125">
        <f>AH79*Valores!$C$75</f>
        <v>-1159.02411</v>
      </c>
      <c r="AW79" s="125">
        <f t="shared" si="14"/>
        <v>332423.9182</v>
      </c>
      <c r="AX79" s="126"/>
      <c r="AY79" s="126">
        <v>30</v>
      </c>
      <c r="AZ79" s="123" t="s">
        <v>4</v>
      </c>
    </row>
    <row r="80" spans="1:52" s="110" customFormat="1" ht="11.25" customHeight="1">
      <c r="A80" s="123" t="s">
        <v>253</v>
      </c>
      <c r="B80" s="123">
        <v>1</v>
      </c>
      <c r="C80" s="126">
        <v>73</v>
      </c>
      <c r="D80" s="124" t="s">
        <v>254</v>
      </c>
      <c r="E80" s="192">
        <v>78</v>
      </c>
      <c r="F80" s="125">
        <f>ROUND(E80*Valores!$C$2,2)</f>
        <v>4247.1</v>
      </c>
      <c r="G80" s="192">
        <v>1770</v>
      </c>
      <c r="H80" s="125">
        <f>ROUND(G80*Valores!$C$2,2)</f>
        <v>96376.5</v>
      </c>
      <c r="I80" s="192">
        <v>0</v>
      </c>
      <c r="J80" s="125">
        <f>ROUND(I80*Valores!$C$2,2)</f>
        <v>0</v>
      </c>
      <c r="K80" s="192">
        <v>0</v>
      </c>
      <c r="L80" s="125">
        <f>ROUND(K80*Valores!$C$2,2)</f>
        <v>0</v>
      </c>
      <c r="M80" s="125">
        <f>ROUND(IF($H$2=0,IF(AND(A80&lt;&gt;"13-930",A80&lt;&gt;"13-940"),(SUM(F80,H80,J80,L80,X80,T80,R80)*Valores!$C$4),0),0),2)</f>
        <v>36734.74</v>
      </c>
      <c r="N80" s="125">
        <f t="shared" si="11"/>
        <v>0</v>
      </c>
      <c r="O80" s="125">
        <f>Valores!$C$9</f>
        <v>68418.57</v>
      </c>
      <c r="P80" s="125">
        <f>Valores!$D$5</f>
        <v>27834.84</v>
      </c>
      <c r="Q80" s="125">
        <f>Valores!$C$22</f>
        <v>24831.49</v>
      </c>
      <c r="R80" s="125">
        <f>IF($F$4="NO",Valores!$C$45,Valores!$C$45/2)</f>
        <v>20416.3</v>
      </c>
      <c r="S80" s="125">
        <f>Valores!$C$19</f>
        <v>25899.06</v>
      </c>
      <c r="T80" s="125">
        <f t="shared" si="17"/>
        <v>25899.06</v>
      </c>
      <c r="U80" s="125">
        <v>0</v>
      </c>
      <c r="V80" s="125">
        <v>0</v>
      </c>
      <c r="W80" s="192">
        <v>0</v>
      </c>
      <c r="X80" s="125">
        <f>ROUND(W80*Valores!$C$2,2)</f>
        <v>0</v>
      </c>
      <c r="Y80" s="125">
        <v>0</v>
      </c>
      <c r="Z80" s="125">
        <f>Valores!$C$95</f>
        <v>45736.39</v>
      </c>
      <c r="AA80" s="125">
        <f>Valores!$C$25</f>
        <v>1138.39</v>
      </c>
      <c r="AB80" s="214">
        <v>0</v>
      </c>
      <c r="AC80" s="125">
        <f t="shared" si="12"/>
        <v>0</v>
      </c>
      <c r="AD80" s="125">
        <f>Valores!$C$26</f>
        <v>1138.39</v>
      </c>
      <c r="AE80" s="192">
        <v>0</v>
      </c>
      <c r="AF80" s="125">
        <f>ROUND(AE80*Valores!$C$2,2)</f>
        <v>0</v>
      </c>
      <c r="AG80" s="125">
        <f>ROUND(IF($F$4="NO",Valores!$C$63,Valores!$C$63/2),2)</f>
        <v>13014.72</v>
      </c>
      <c r="AH80" s="125">
        <f t="shared" si="15"/>
        <v>365786.49</v>
      </c>
      <c r="AI80" s="125">
        <f>Valores!$C$31</f>
        <v>0</v>
      </c>
      <c r="AJ80" s="125">
        <f>Valores!$C$88</f>
        <v>0</v>
      </c>
      <c r="AK80" s="125">
        <f>Valores!C$38*B80</f>
        <v>0</v>
      </c>
      <c r="AL80" s="125">
        <f>IF($F$3="NO",0,Valores!$C$56)</f>
        <v>170.34</v>
      </c>
      <c r="AM80" s="125">
        <f t="shared" si="13"/>
        <v>170.34</v>
      </c>
      <c r="AN80" s="125">
        <f>AH80*Valores!$C$71</f>
        <v>-40236.5139</v>
      </c>
      <c r="AO80" s="125">
        <f>AH80*-Valores!$C$72</f>
        <v>0</v>
      </c>
      <c r="AP80" s="125">
        <f>AH80*Valores!$C$73</f>
        <v>-16460.39205</v>
      </c>
      <c r="AQ80" s="125">
        <f>Valores!$C$100</f>
        <v>-554.86</v>
      </c>
      <c r="AR80" s="125">
        <f>IF($F$5=0,Valores!$C$101,(Valores!$C$101+$F$5*(Valores!$C$101)))</f>
        <v>-852</v>
      </c>
      <c r="AS80" s="125">
        <f t="shared" si="16"/>
        <v>307853.06405</v>
      </c>
      <c r="AT80" s="125">
        <f t="shared" si="10"/>
        <v>-40236.5139</v>
      </c>
      <c r="AU80" s="125">
        <f>AH80*Valores!$C$74</f>
        <v>-9876.23523</v>
      </c>
      <c r="AV80" s="125">
        <f>AH80*Valores!$C$75</f>
        <v>-1097.35947</v>
      </c>
      <c r="AW80" s="125">
        <f t="shared" si="14"/>
        <v>314746.72140000004</v>
      </c>
      <c r="AX80" s="126"/>
      <c r="AY80" s="126"/>
      <c r="AZ80" s="123" t="s">
        <v>4</v>
      </c>
    </row>
    <row r="81" spans="1:52" s="110" customFormat="1" ht="11.25" customHeight="1">
      <c r="A81" s="123" t="s">
        <v>255</v>
      </c>
      <c r="B81" s="123">
        <v>1</v>
      </c>
      <c r="C81" s="126">
        <v>74</v>
      </c>
      <c r="D81" s="124" t="s">
        <v>256</v>
      </c>
      <c r="E81" s="192">
        <v>77</v>
      </c>
      <c r="F81" s="125">
        <f>ROUND(E81*Valores!$C$2,2)</f>
        <v>4192.65</v>
      </c>
      <c r="G81" s="192">
        <v>2073</v>
      </c>
      <c r="H81" s="125">
        <f>ROUND(G81*Valores!$C$2,2)</f>
        <v>112874.85</v>
      </c>
      <c r="I81" s="192">
        <v>0</v>
      </c>
      <c r="J81" s="125">
        <f>ROUND(I81*Valores!$C$2,2)</f>
        <v>0</v>
      </c>
      <c r="K81" s="192">
        <v>0</v>
      </c>
      <c r="L81" s="125">
        <f>ROUND(K81*Valores!$C$2,2)</f>
        <v>0</v>
      </c>
      <c r="M81" s="125">
        <f>ROUND(IF($H$2=0,IF(AND(A81&lt;&gt;"13-930",A81&lt;&gt;"13-940"),(SUM(F81,H81,J81,L81,X81,T81,R81)*Valores!$C$4),0),0),2)</f>
        <v>40845.72</v>
      </c>
      <c r="N81" s="125">
        <f t="shared" si="11"/>
        <v>0</v>
      </c>
      <c r="O81" s="125">
        <f>Valores!$C$9</f>
        <v>68418.57</v>
      </c>
      <c r="P81" s="125">
        <f>Valores!$D$5</f>
        <v>27834.84</v>
      </c>
      <c r="Q81" s="125">
        <f>Valores!$C$22</f>
        <v>24831.49</v>
      </c>
      <c r="R81" s="125">
        <f>IF($F$4="NO",Valores!$C$45,Valores!$C$45/2)</f>
        <v>20416.3</v>
      </c>
      <c r="S81" s="125">
        <f>Valores!$C$19</f>
        <v>25899.06</v>
      </c>
      <c r="T81" s="125">
        <f t="shared" si="17"/>
        <v>25899.06</v>
      </c>
      <c r="U81" s="125">
        <v>0</v>
      </c>
      <c r="V81" s="125">
        <v>0</v>
      </c>
      <c r="W81" s="192">
        <v>0</v>
      </c>
      <c r="X81" s="125">
        <f>ROUND(W81*Valores!$C$2,2)</f>
        <v>0</v>
      </c>
      <c r="Y81" s="125">
        <v>0</v>
      </c>
      <c r="Z81" s="125">
        <f>Valores!$C$95</f>
        <v>45736.39</v>
      </c>
      <c r="AA81" s="125">
        <f>Valores!$C$25</f>
        <v>1138.39</v>
      </c>
      <c r="AB81" s="214">
        <v>0</v>
      </c>
      <c r="AC81" s="125">
        <f t="shared" si="12"/>
        <v>0</v>
      </c>
      <c r="AD81" s="125">
        <f>Valores!$C$26</f>
        <v>1138.39</v>
      </c>
      <c r="AE81" s="192">
        <v>0</v>
      </c>
      <c r="AF81" s="125">
        <f>ROUND(AE81*Valores!$C$2,2)</f>
        <v>0</v>
      </c>
      <c r="AG81" s="125">
        <f>ROUND(IF($F$4="NO",Valores!$C$63,Valores!$C$63/2),2)</f>
        <v>13014.72</v>
      </c>
      <c r="AH81" s="125">
        <f t="shared" si="15"/>
        <v>386341.37</v>
      </c>
      <c r="AI81" s="125">
        <f>Valores!$C$31</f>
        <v>0</v>
      </c>
      <c r="AJ81" s="125">
        <f>Valores!$C$88</f>
        <v>0</v>
      </c>
      <c r="AK81" s="125">
        <f>Valores!C$38*B81</f>
        <v>0</v>
      </c>
      <c r="AL81" s="125">
        <f>IF($F$3="NO",0,Valores!$C$56)</f>
        <v>170.34</v>
      </c>
      <c r="AM81" s="125">
        <f t="shared" si="13"/>
        <v>170.34</v>
      </c>
      <c r="AN81" s="125">
        <f>AH81*Valores!$C$71</f>
        <v>-42497.5507</v>
      </c>
      <c r="AO81" s="125">
        <f>AH81*-Valores!$C$72</f>
        <v>0</v>
      </c>
      <c r="AP81" s="125">
        <f>AH81*Valores!$C$73</f>
        <v>-17385.36165</v>
      </c>
      <c r="AQ81" s="125">
        <f>Valores!$C$100</f>
        <v>-554.86</v>
      </c>
      <c r="AR81" s="125">
        <f>IF($F$5=0,Valores!$C$101,(Valores!$C$101+$F$5*(Valores!$C$101)))</f>
        <v>-852</v>
      </c>
      <c r="AS81" s="125">
        <f t="shared" si="16"/>
        <v>325221.93765</v>
      </c>
      <c r="AT81" s="125">
        <f t="shared" si="10"/>
        <v>-42497.5507</v>
      </c>
      <c r="AU81" s="125">
        <f>AH81*Valores!$C$74</f>
        <v>-10431.216989999999</v>
      </c>
      <c r="AV81" s="125">
        <f>AH81*Valores!$C$75</f>
        <v>-1159.02411</v>
      </c>
      <c r="AW81" s="125">
        <f t="shared" si="14"/>
        <v>332423.9182</v>
      </c>
      <c r="AX81" s="126"/>
      <c r="AY81" s="126">
        <v>25</v>
      </c>
      <c r="AZ81" s="123" t="s">
        <v>8</v>
      </c>
    </row>
    <row r="82" spans="1:52" s="110" customFormat="1" ht="11.25" customHeight="1">
      <c r="A82" s="123" t="s">
        <v>257</v>
      </c>
      <c r="B82" s="123">
        <v>1</v>
      </c>
      <c r="C82" s="126">
        <v>75</v>
      </c>
      <c r="D82" s="124" t="s">
        <v>258</v>
      </c>
      <c r="E82" s="192">
        <v>76</v>
      </c>
      <c r="F82" s="125">
        <f>ROUND(E82*Valores!$C$2,2)</f>
        <v>4138.2</v>
      </c>
      <c r="G82" s="192">
        <v>1872</v>
      </c>
      <c r="H82" s="125">
        <f>ROUND(G82*Valores!$C$2,2)</f>
        <v>101930.4</v>
      </c>
      <c r="I82" s="192">
        <v>0</v>
      </c>
      <c r="J82" s="125">
        <f>ROUND(I82*Valores!$C$2,2)</f>
        <v>0</v>
      </c>
      <c r="K82" s="192">
        <v>0</v>
      </c>
      <c r="L82" s="125">
        <f>ROUND(K82*Valores!$C$2,2)</f>
        <v>0</v>
      </c>
      <c r="M82" s="125">
        <f>ROUND(IF($H$2=0,IF(AND(A82&lt;&gt;"13-930",A82&lt;&gt;"13-940"),(SUM(F82,H82,J82,L82,X82,T82,R82)*Valores!$C$4),0),0),2)</f>
        <v>38095.99</v>
      </c>
      <c r="N82" s="125">
        <f t="shared" si="11"/>
        <v>0</v>
      </c>
      <c r="O82" s="125">
        <f>Valores!$C$9</f>
        <v>68418.57</v>
      </c>
      <c r="P82" s="125">
        <f>Valores!$D$5</f>
        <v>27834.84</v>
      </c>
      <c r="Q82" s="125">
        <v>0</v>
      </c>
      <c r="R82" s="125">
        <f>IF($F$4="NO",Valores!$C$45,Valores!$C$45/2)</f>
        <v>20416.3</v>
      </c>
      <c r="S82" s="125">
        <f>Valores!$C$19</f>
        <v>25899.06</v>
      </c>
      <c r="T82" s="125">
        <f t="shared" si="17"/>
        <v>25899.06</v>
      </c>
      <c r="U82" s="125">
        <v>0</v>
      </c>
      <c r="V82" s="125">
        <v>0</v>
      </c>
      <c r="W82" s="192">
        <v>0</v>
      </c>
      <c r="X82" s="125">
        <f>ROUND(W82*Valores!$C$2,2)</f>
        <v>0</v>
      </c>
      <c r="Y82" s="125">
        <v>0</v>
      </c>
      <c r="Z82" s="125">
        <f>Valores!$C$95</f>
        <v>45736.39</v>
      </c>
      <c r="AA82" s="125">
        <f>Valores!$C$25</f>
        <v>1138.39</v>
      </c>
      <c r="AB82" s="214">
        <v>0</v>
      </c>
      <c r="AC82" s="125">
        <f t="shared" si="12"/>
        <v>0</v>
      </c>
      <c r="AD82" s="125">
        <f>Valores!$C$26</f>
        <v>1138.39</v>
      </c>
      <c r="AE82" s="192">
        <v>0</v>
      </c>
      <c r="AF82" s="125">
        <f>ROUND(AE82*Valores!$C$2,2)</f>
        <v>0</v>
      </c>
      <c r="AG82" s="125">
        <f>ROUND(IF($F$4="NO",Valores!$C$63,Valores!$C$63/2),2)</f>
        <v>13014.72</v>
      </c>
      <c r="AH82" s="125">
        <f t="shared" si="15"/>
        <v>347761.25</v>
      </c>
      <c r="AI82" s="125">
        <f>Valores!$C$31</f>
        <v>0</v>
      </c>
      <c r="AJ82" s="125">
        <f>Valores!$C$88</f>
        <v>0</v>
      </c>
      <c r="AK82" s="125">
        <f>Valores!C$38*B82</f>
        <v>0</v>
      </c>
      <c r="AL82" s="125">
        <f>IF($F$3="NO",0,Valores!$C$56)</f>
        <v>170.34</v>
      </c>
      <c r="AM82" s="125">
        <f t="shared" si="13"/>
        <v>170.34</v>
      </c>
      <c r="AN82" s="125">
        <f>AH82*Valores!$C$71</f>
        <v>-38253.7375</v>
      </c>
      <c r="AO82" s="125">
        <f>AH82*-Valores!$C$72</f>
        <v>0</v>
      </c>
      <c r="AP82" s="125">
        <f>AH82*Valores!$C$73</f>
        <v>-15649.256249999999</v>
      </c>
      <c r="AQ82" s="125">
        <f>Valores!$C$100</f>
        <v>-554.86</v>
      </c>
      <c r="AR82" s="125">
        <f>IF($F$5=0,Valores!$C$101,(Valores!$C$101+$F$5*(Valores!$C$101)))</f>
        <v>-852</v>
      </c>
      <c r="AS82" s="125">
        <f t="shared" si="16"/>
        <v>292621.73625</v>
      </c>
      <c r="AT82" s="125">
        <f t="shared" si="10"/>
        <v>-38253.7375</v>
      </c>
      <c r="AU82" s="125">
        <f>AH82*Valores!$C$74</f>
        <v>-9389.55375</v>
      </c>
      <c r="AV82" s="125">
        <f>AH82*Valores!$C$75</f>
        <v>-1043.28375</v>
      </c>
      <c r="AW82" s="125">
        <f t="shared" si="14"/>
        <v>299245.015</v>
      </c>
      <c r="AX82" s="126"/>
      <c r="AY82" s="126">
        <v>30</v>
      </c>
      <c r="AZ82" s="123" t="s">
        <v>8</v>
      </c>
    </row>
    <row r="83" spans="1:52" s="110" customFormat="1" ht="11.25" customHeight="1">
      <c r="A83" s="123" t="s">
        <v>259</v>
      </c>
      <c r="B83" s="123">
        <v>1</v>
      </c>
      <c r="C83" s="126">
        <v>76</v>
      </c>
      <c r="D83" s="124" t="s">
        <v>260</v>
      </c>
      <c r="E83" s="192">
        <v>75</v>
      </c>
      <c r="F83" s="125">
        <f>ROUND(E83*Valores!$C$2,2)</f>
        <v>4083.75</v>
      </c>
      <c r="G83" s="192">
        <v>1873</v>
      </c>
      <c r="H83" s="125">
        <f>ROUND(G83*Valores!$C$2,2)</f>
        <v>101984.85</v>
      </c>
      <c r="I83" s="192">
        <v>0</v>
      </c>
      <c r="J83" s="125">
        <f>ROUND(I83*Valores!$C$2,2)</f>
        <v>0</v>
      </c>
      <c r="K83" s="192">
        <v>0</v>
      </c>
      <c r="L83" s="125">
        <f>ROUND(K83*Valores!$C$2,2)</f>
        <v>0</v>
      </c>
      <c r="M83" s="125">
        <f>ROUND(IF($H$2=0,IF(AND(A83&lt;&gt;"13-930",A83&lt;&gt;"13-940"),(SUM(F83,H83,J83,L83,X83,T83,R83)*Valores!$C$4),0),0),2)</f>
        <v>38095.99</v>
      </c>
      <c r="N83" s="125">
        <f t="shared" si="11"/>
        <v>0</v>
      </c>
      <c r="O83" s="125">
        <f>Valores!$C$9</f>
        <v>68418.57</v>
      </c>
      <c r="P83" s="125">
        <f>Valores!$D$5</f>
        <v>27834.84</v>
      </c>
      <c r="Q83" s="125">
        <f>Valores!$C$22</f>
        <v>24831.49</v>
      </c>
      <c r="R83" s="125">
        <f>IF($F$4="NO",Valores!$C$45,Valores!$C$45/2)</f>
        <v>20416.3</v>
      </c>
      <c r="S83" s="125">
        <f>Valores!$C$19</f>
        <v>25899.06</v>
      </c>
      <c r="T83" s="125">
        <f t="shared" si="17"/>
        <v>25899.06</v>
      </c>
      <c r="U83" s="125">
        <v>0</v>
      </c>
      <c r="V83" s="125">
        <v>0</v>
      </c>
      <c r="W83" s="192">
        <v>0</v>
      </c>
      <c r="X83" s="125">
        <f>ROUND(W83*Valores!$C$2,2)</f>
        <v>0</v>
      </c>
      <c r="Y83" s="125">
        <v>0</v>
      </c>
      <c r="Z83" s="125">
        <f>Valores!$C$95</f>
        <v>45736.39</v>
      </c>
      <c r="AA83" s="125">
        <f>Valores!$C$25</f>
        <v>1138.39</v>
      </c>
      <c r="AB83" s="214">
        <v>0</v>
      </c>
      <c r="AC83" s="125">
        <f t="shared" si="12"/>
        <v>0</v>
      </c>
      <c r="AD83" s="125">
        <f>Valores!$C$26</f>
        <v>1138.39</v>
      </c>
      <c r="AE83" s="192">
        <v>0</v>
      </c>
      <c r="AF83" s="125">
        <f>ROUND(AE83*Valores!$C$2,2)</f>
        <v>0</v>
      </c>
      <c r="AG83" s="125">
        <f>ROUND(IF($F$4="NO",Valores!$C$63,Valores!$C$63/2),2)</f>
        <v>13014.72</v>
      </c>
      <c r="AH83" s="125">
        <f t="shared" si="15"/>
        <v>372592.74</v>
      </c>
      <c r="AI83" s="125">
        <f>Valores!$C$31</f>
        <v>0</v>
      </c>
      <c r="AJ83" s="125">
        <f>Valores!$C$88</f>
        <v>0</v>
      </c>
      <c r="AK83" s="125">
        <f>Valores!C$38*B83</f>
        <v>0</v>
      </c>
      <c r="AL83" s="125">
        <f>IF($F$3="NO",0,Valores!$C$56)</f>
        <v>170.34</v>
      </c>
      <c r="AM83" s="125">
        <f t="shared" si="13"/>
        <v>170.34</v>
      </c>
      <c r="AN83" s="125">
        <f>AH83*Valores!$C$71</f>
        <v>-40985.2014</v>
      </c>
      <c r="AO83" s="125">
        <f>AH83*-Valores!$C$72</f>
        <v>0</v>
      </c>
      <c r="AP83" s="125">
        <f>AH83*Valores!$C$73</f>
        <v>-16766.6733</v>
      </c>
      <c r="AQ83" s="125">
        <f>Valores!$C$100</f>
        <v>-554.86</v>
      </c>
      <c r="AR83" s="125">
        <f>IF($F$5=0,Valores!$C$101,(Valores!$C$101+$F$5*(Valores!$C$101)))</f>
        <v>-852</v>
      </c>
      <c r="AS83" s="125">
        <f t="shared" si="16"/>
        <v>313604.3453</v>
      </c>
      <c r="AT83" s="125">
        <f t="shared" si="10"/>
        <v>-40985.2014</v>
      </c>
      <c r="AU83" s="125">
        <f>AH83*Valores!$C$74</f>
        <v>-10060.00398</v>
      </c>
      <c r="AV83" s="125">
        <f>AH83*Valores!$C$75</f>
        <v>-1117.77822</v>
      </c>
      <c r="AW83" s="125">
        <f t="shared" si="14"/>
        <v>320600.09640000004</v>
      </c>
      <c r="AX83" s="126"/>
      <c r="AY83" s="126">
        <v>25</v>
      </c>
      <c r="AZ83" s="123" t="s">
        <v>4</v>
      </c>
    </row>
    <row r="84" spans="1:52" s="110" customFormat="1" ht="11.25" customHeight="1">
      <c r="A84" s="123" t="s">
        <v>261</v>
      </c>
      <c r="B84" s="123">
        <v>1</v>
      </c>
      <c r="C84" s="126">
        <v>77</v>
      </c>
      <c r="D84" s="124" t="s">
        <v>262</v>
      </c>
      <c r="E84" s="192">
        <v>76</v>
      </c>
      <c r="F84" s="125">
        <f>ROUND(E84*Valores!$C$2,2)</f>
        <v>4138.2</v>
      </c>
      <c r="G84" s="192">
        <v>1752</v>
      </c>
      <c r="H84" s="125">
        <f>ROUND(G84*Valores!$C$2,2)</f>
        <v>95396.4</v>
      </c>
      <c r="I84" s="192">
        <v>0</v>
      </c>
      <c r="J84" s="125">
        <f>ROUND(I84*Valores!$C$2,2)</f>
        <v>0</v>
      </c>
      <c r="K84" s="192">
        <v>0</v>
      </c>
      <c r="L84" s="125">
        <f>ROUND(K84*Valores!$C$2,2)</f>
        <v>0</v>
      </c>
      <c r="M84" s="125">
        <f>ROUND(IF($H$2=0,IF(AND(A84&lt;&gt;"13-930",A84&lt;&gt;"13-940"),(SUM(F84,H84,J84,L84,X84,T84,R84)*Valores!$C$4),0),0),2)</f>
        <v>36192.25</v>
      </c>
      <c r="N84" s="125">
        <f t="shared" si="11"/>
        <v>0</v>
      </c>
      <c r="O84" s="125">
        <f>Valores!$C$8</f>
        <v>68242.23</v>
      </c>
      <c r="P84" s="125">
        <f>Valores!$D$5</f>
        <v>27834.84</v>
      </c>
      <c r="Q84" s="125">
        <f>Valores!$C$22</f>
        <v>24831.49</v>
      </c>
      <c r="R84" s="125">
        <f>IF($F$4="NO",Valores!$C$44,Valores!$C$44/2)</f>
        <v>19335.33</v>
      </c>
      <c r="S84" s="125">
        <f>Valores!$C$19</f>
        <v>25899.06</v>
      </c>
      <c r="T84" s="125">
        <f t="shared" si="17"/>
        <v>25899.06</v>
      </c>
      <c r="U84" s="125">
        <v>0</v>
      </c>
      <c r="V84" s="125">
        <v>0</v>
      </c>
      <c r="W84" s="192">
        <v>0</v>
      </c>
      <c r="X84" s="125">
        <f>ROUND(W84*Valores!$C$2,2)</f>
        <v>0</v>
      </c>
      <c r="Y84" s="125">
        <v>0</v>
      </c>
      <c r="Z84" s="125">
        <f>Valores!$C$94</f>
        <v>38113.67</v>
      </c>
      <c r="AA84" s="125">
        <f>Valores!$C$25</f>
        <v>1138.39</v>
      </c>
      <c r="AB84" s="214">
        <v>0</v>
      </c>
      <c r="AC84" s="125">
        <f t="shared" si="12"/>
        <v>0</v>
      </c>
      <c r="AD84" s="125">
        <f>Valores!$C$26</f>
        <v>1138.39</v>
      </c>
      <c r="AE84" s="192">
        <v>0</v>
      </c>
      <c r="AF84" s="125">
        <f>ROUND(AE84*Valores!$C$2,2)</f>
        <v>0</v>
      </c>
      <c r="AG84" s="125">
        <f>ROUND(IF($F$4="NO",Valores!$C$63,Valores!$C$63/2),2)</f>
        <v>13014.72</v>
      </c>
      <c r="AH84" s="125">
        <f t="shared" si="15"/>
        <v>355274.9699999999</v>
      </c>
      <c r="AI84" s="125">
        <f>Valores!$C$31</f>
        <v>0</v>
      </c>
      <c r="AJ84" s="125">
        <f>Valores!$C$87</f>
        <v>0</v>
      </c>
      <c r="AK84" s="125">
        <f>Valores!C$38*B84</f>
        <v>0</v>
      </c>
      <c r="AL84" s="125">
        <f>IF($F$3="NO",0,Valores!$C$56)</f>
        <v>170.34</v>
      </c>
      <c r="AM84" s="125">
        <f t="shared" si="13"/>
        <v>170.34</v>
      </c>
      <c r="AN84" s="125">
        <f>AH84*Valores!$C$71</f>
        <v>-39080.24669999999</v>
      </c>
      <c r="AO84" s="125">
        <f>AH84*-Valores!$C$72</f>
        <v>0</v>
      </c>
      <c r="AP84" s="125">
        <f>AH84*Valores!$C$73</f>
        <v>-15987.373649999996</v>
      </c>
      <c r="AQ84" s="125">
        <f>Valores!$C$100</f>
        <v>-554.86</v>
      </c>
      <c r="AR84" s="125">
        <f>IF($F$5=0,Valores!$C$101,(Valores!$C$101+$F$5*(Valores!$C$101)))</f>
        <v>-852</v>
      </c>
      <c r="AS84" s="125">
        <f t="shared" si="16"/>
        <v>298970.8296499999</v>
      </c>
      <c r="AT84" s="125">
        <f t="shared" si="10"/>
        <v>-39080.24669999999</v>
      </c>
      <c r="AU84" s="125">
        <f>AH84*Valores!$C$74</f>
        <v>-9592.424189999998</v>
      </c>
      <c r="AV84" s="125">
        <f>AH84*Valores!$C$75</f>
        <v>-1065.8249099999998</v>
      </c>
      <c r="AW84" s="125">
        <f t="shared" si="14"/>
        <v>305706.81419999996</v>
      </c>
      <c r="AX84" s="126"/>
      <c r="AY84" s="126">
        <v>25</v>
      </c>
      <c r="AZ84" s="123" t="s">
        <v>8</v>
      </c>
    </row>
    <row r="85" spans="1:52" s="110" customFormat="1" ht="11.25" customHeight="1">
      <c r="A85" s="123" t="s">
        <v>263</v>
      </c>
      <c r="B85" s="123">
        <v>1</v>
      </c>
      <c r="C85" s="126">
        <v>78</v>
      </c>
      <c r="D85" s="124" t="s">
        <v>264</v>
      </c>
      <c r="E85" s="192">
        <v>78</v>
      </c>
      <c r="F85" s="125">
        <f>ROUND(E85*Valores!$C$2,2)</f>
        <v>4247.1</v>
      </c>
      <c r="G85" s="192">
        <v>1770</v>
      </c>
      <c r="H85" s="125">
        <f>ROUND(G85*Valores!$C$2,2)</f>
        <v>96376.5</v>
      </c>
      <c r="I85" s="192">
        <v>0</v>
      </c>
      <c r="J85" s="125">
        <f>ROUND(I85*Valores!$C$2,2)</f>
        <v>0</v>
      </c>
      <c r="K85" s="192">
        <v>0</v>
      </c>
      <c r="L85" s="125">
        <f>ROUND(K85*Valores!$C$2,2)</f>
        <v>0</v>
      </c>
      <c r="M85" s="125">
        <f>ROUND(IF($H$2=0,IF(AND(A85&lt;&gt;"13-930",A85&lt;&gt;"13-940"),(SUM(F85,H85,J85,L85,X85,T85,R85)*Valores!$C$4),0),0),2)</f>
        <v>36192.14</v>
      </c>
      <c r="N85" s="125">
        <f t="shared" si="11"/>
        <v>0</v>
      </c>
      <c r="O85" s="125">
        <f>Valores!$C$10</f>
        <v>55717.22</v>
      </c>
      <c r="P85" s="125">
        <f>Valores!$D$5</f>
        <v>27834.84</v>
      </c>
      <c r="Q85" s="125">
        <f>Valores!$C$22</f>
        <v>24831.49</v>
      </c>
      <c r="R85" s="125">
        <f>IF($F$4="NO",Valores!$C$43,Valores!$C$43/2)</f>
        <v>18245.91</v>
      </c>
      <c r="S85" s="125">
        <f>Valores!$C$19</f>
        <v>25899.06</v>
      </c>
      <c r="T85" s="125">
        <f t="shared" si="17"/>
        <v>25899.06</v>
      </c>
      <c r="U85" s="125">
        <v>0</v>
      </c>
      <c r="V85" s="125">
        <v>0</v>
      </c>
      <c r="W85" s="192">
        <v>0</v>
      </c>
      <c r="X85" s="125">
        <f>ROUND(W85*Valores!$C$2,2)</f>
        <v>0</v>
      </c>
      <c r="Y85" s="125">
        <v>0</v>
      </c>
      <c r="Z85" s="125">
        <f>Valores!$C$94</f>
        <v>38113.67</v>
      </c>
      <c r="AA85" s="125">
        <f>Valores!$C$25</f>
        <v>1138.39</v>
      </c>
      <c r="AB85" s="214">
        <v>0</v>
      </c>
      <c r="AC85" s="125">
        <f t="shared" si="12"/>
        <v>0</v>
      </c>
      <c r="AD85" s="125">
        <f>Valores!$C$26</f>
        <v>1138.39</v>
      </c>
      <c r="AE85" s="192">
        <v>0</v>
      </c>
      <c r="AF85" s="125">
        <f>ROUND(AE85*Valores!$C$2,2)</f>
        <v>0</v>
      </c>
      <c r="AG85" s="125">
        <f>ROUND(IF($F$4="NO",Valores!$C$63,Valores!$C$63/2),2)</f>
        <v>13014.72</v>
      </c>
      <c r="AH85" s="125">
        <f t="shared" si="15"/>
        <v>342749.42999999993</v>
      </c>
      <c r="AI85" s="125">
        <f>Valores!$C$31</f>
        <v>0</v>
      </c>
      <c r="AJ85" s="125">
        <f>Valores!$C$87</f>
        <v>0</v>
      </c>
      <c r="AK85" s="125">
        <f>Valores!C$38*B85</f>
        <v>0</v>
      </c>
      <c r="AL85" s="125">
        <f>IF($F$3="NO",0,Valores!$C$56)</f>
        <v>170.34</v>
      </c>
      <c r="AM85" s="125">
        <f t="shared" si="13"/>
        <v>170.34</v>
      </c>
      <c r="AN85" s="125">
        <f>AH85*Valores!$C$71</f>
        <v>-37702.43729999999</v>
      </c>
      <c r="AO85" s="125">
        <f>AH85*-Valores!$C$72</f>
        <v>0</v>
      </c>
      <c r="AP85" s="125">
        <f>AH85*Valores!$C$73</f>
        <v>-15423.724349999997</v>
      </c>
      <c r="AQ85" s="125">
        <f>Valores!$C$100</f>
        <v>-554.86</v>
      </c>
      <c r="AR85" s="125">
        <f>IF($F$5=0,Valores!$C$101,(Valores!$C$101+$F$5*(Valores!$C$101)))</f>
        <v>-852</v>
      </c>
      <c r="AS85" s="125">
        <f t="shared" si="16"/>
        <v>288386.74834999995</v>
      </c>
      <c r="AT85" s="125">
        <f t="shared" si="10"/>
        <v>-37702.43729999999</v>
      </c>
      <c r="AU85" s="125">
        <f>AH85*Valores!$C$74</f>
        <v>-9254.234609999998</v>
      </c>
      <c r="AV85" s="125">
        <f>AH85*Valores!$C$75</f>
        <v>-1028.2482899999998</v>
      </c>
      <c r="AW85" s="125">
        <f t="shared" si="14"/>
        <v>294934.84979999997</v>
      </c>
      <c r="AX85" s="126"/>
      <c r="AY85" s="126">
        <v>27</v>
      </c>
      <c r="AZ85" s="123" t="s">
        <v>4</v>
      </c>
    </row>
    <row r="86" spans="1:52" s="110" customFormat="1" ht="11.25" customHeight="1">
      <c r="A86" s="123" t="s">
        <v>265</v>
      </c>
      <c r="B86" s="123">
        <v>1</v>
      </c>
      <c r="C86" s="126">
        <v>79</v>
      </c>
      <c r="D86" s="124" t="s">
        <v>266</v>
      </c>
      <c r="E86" s="192">
        <v>76</v>
      </c>
      <c r="F86" s="125">
        <f>ROUND(E86*Valores!$C$2,2)</f>
        <v>4138.2</v>
      </c>
      <c r="G86" s="192">
        <v>1872</v>
      </c>
      <c r="H86" s="125">
        <f>ROUND(G86*Valores!$C$2,2)</f>
        <v>101930.4</v>
      </c>
      <c r="I86" s="192">
        <v>0</v>
      </c>
      <c r="J86" s="125">
        <f>ROUND(I86*Valores!$C$2,2)</f>
        <v>0</v>
      </c>
      <c r="K86" s="192">
        <v>0</v>
      </c>
      <c r="L86" s="125">
        <f>ROUND(K86*Valores!$C$2,2)</f>
        <v>0</v>
      </c>
      <c r="M86" s="125">
        <f>ROUND(IF($H$2=0,IF(AND(A86&lt;&gt;"13-930",A86&lt;&gt;"13-940"),(SUM(F86,H86,J86,L86,X86,T86,R86)*Valores!$C$4),0),0),2)</f>
        <v>37553.39</v>
      </c>
      <c r="N86" s="125">
        <f t="shared" si="11"/>
        <v>0</v>
      </c>
      <c r="O86" s="125">
        <f>Valores!$C$10</f>
        <v>55717.22</v>
      </c>
      <c r="P86" s="125">
        <f>Valores!$D$5</f>
        <v>27834.84</v>
      </c>
      <c r="Q86" s="125">
        <v>0</v>
      </c>
      <c r="R86" s="125">
        <f>IF($F$4="NO",Valores!$C$43,Valores!$C$43/2)</f>
        <v>18245.91</v>
      </c>
      <c r="S86" s="125">
        <f>Valores!$C$19</f>
        <v>25899.06</v>
      </c>
      <c r="T86" s="125">
        <f t="shared" si="17"/>
        <v>25899.06</v>
      </c>
      <c r="U86" s="125">
        <v>0</v>
      </c>
      <c r="V86" s="125">
        <v>0</v>
      </c>
      <c r="W86" s="192">
        <v>0</v>
      </c>
      <c r="X86" s="125">
        <f>ROUND(W86*Valores!$C$2,2)</f>
        <v>0</v>
      </c>
      <c r="Y86" s="125">
        <v>0</v>
      </c>
      <c r="Z86" s="125">
        <f>Valores!$C$94</f>
        <v>38113.67</v>
      </c>
      <c r="AA86" s="125">
        <f>Valores!$C$25</f>
        <v>1138.39</v>
      </c>
      <c r="AB86" s="214">
        <v>0</v>
      </c>
      <c r="AC86" s="125">
        <f t="shared" si="12"/>
        <v>0</v>
      </c>
      <c r="AD86" s="125">
        <f>Valores!$C$26</f>
        <v>1138.39</v>
      </c>
      <c r="AE86" s="192">
        <v>0</v>
      </c>
      <c r="AF86" s="125">
        <f>ROUND(AE86*Valores!$C$2,2)</f>
        <v>0</v>
      </c>
      <c r="AG86" s="125">
        <f>ROUND(IF($F$4="NO",Valores!$C$63,Valores!$C$63/2),2)</f>
        <v>13014.72</v>
      </c>
      <c r="AH86" s="125">
        <f t="shared" si="15"/>
        <v>324724.19</v>
      </c>
      <c r="AI86" s="125">
        <f>Valores!$C$31</f>
        <v>0</v>
      </c>
      <c r="AJ86" s="125">
        <f>Valores!$C$87</f>
        <v>0</v>
      </c>
      <c r="AK86" s="125">
        <f>Valores!C$38*B86</f>
        <v>0</v>
      </c>
      <c r="AL86" s="125">
        <f>IF($F$3="NO",0,Valores!$C$56)</f>
        <v>170.34</v>
      </c>
      <c r="AM86" s="125">
        <f t="shared" si="13"/>
        <v>170.34</v>
      </c>
      <c r="AN86" s="125">
        <f>AH86*Valores!$C$71</f>
        <v>-35719.6609</v>
      </c>
      <c r="AO86" s="125">
        <f>AH86*-Valores!$C$72</f>
        <v>0</v>
      </c>
      <c r="AP86" s="125">
        <f>AH86*Valores!$C$73</f>
        <v>-14612.58855</v>
      </c>
      <c r="AQ86" s="125">
        <f>Valores!$C$100</f>
        <v>-554.86</v>
      </c>
      <c r="AR86" s="125">
        <f>IF($F$5=0,Valores!$C$101,(Valores!$C$101+$F$5*(Valores!$C$101)))</f>
        <v>-852</v>
      </c>
      <c r="AS86" s="125">
        <f t="shared" si="16"/>
        <v>273155.42055</v>
      </c>
      <c r="AT86" s="125">
        <f t="shared" si="10"/>
        <v>-35719.6609</v>
      </c>
      <c r="AU86" s="125">
        <f>AH86*Valores!$C$74</f>
        <v>-8767.55313</v>
      </c>
      <c r="AV86" s="125">
        <f>AH86*Valores!$C$75</f>
        <v>-974.1725700000001</v>
      </c>
      <c r="AW86" s="125">
        <f t="shared" si="14"/>
        <v>279433.1434</v>
      </c>
      <c r="AX86" s="126"/>
      <c r="AY86" s="126">
        <v>27</v>
      </c>
      <c r="AZ86" s="123" t="s">
        <v>4</v>
      </c>
    </row>
    <row r="87" spans="1:52" s="110" customFormat="1" ht="11.25" customHeight="1">
      <c r="A87" s="123" t="s">
        <v>267</v>
      </c>
      <c r="B87" s="123">
        <v>1</v>
      </c>
      <c r="C87" s="126">
        <v>80</v>
      </c>
      <c r="D87" s="124" t="s">
        <v>268</v>
      </c>
      <c r="E87" s="192">
        <v>169</v>
      </c>
      <c r="F87" s="125">
        <f>ROUND(E87*Valores!$C$2,2)</f>
        <v>9202.05</v>
      </c>
      <c r="G87" s="192">
        <f>1997</f>
        <v>1997</v>
      </c>
      <c r="H87" s="125">
        <f>ROUND(G87*Valores!$C$2,2)</f>
        <v>108736.65</v>
      </c>
      <c r="I87" s="192">
        <v>0</v>
      </c>
      <c r="J87" s="125">
        <f>ROUND(I87*Valores!$C$2,2)</f>
        <v>0</v>
      </c>
      <c r="K87" s="192">
        <v>0</v>
      </c>
      <c r="L87" s="125">
        <f>ROUND(K87*Valores!$C$2,2)</f>
        <v>0</v>
      </c>
      <c r="M87" s="125">
        <f>ROUND(IF($H$2=0,IF(AND(A87&lt;&gt;"13-930",A87&lt;&gt;"13-940"),(SUM(F87,H87,J87,L87,X87,T87,R87)*Valores!$C$4),0),0),2)</f>
        <v>40793.27</v>
      </c>
      <c r="N87" s="125">
        <f t="shared" si="11"/>
        <v>0</v>
      </c>
      <c r="O87" s="125">
        <f>Valores!$C$9</f>
        <v>68418.57</v>
      </c>
      <c r="P87" s="125">
        <f>Valores!$D$5</f>
        <v>27834.84</v>
      </c>
      <c r="Q87" s="125">
        <f>Valores!$C$22</f>
        <v>24831.49</v>
      </c>
      <c r="R87" s="125">
        <f>IF($F$4="NO",Valores!$C$44,Valores!$C$44/2)</f>
        <v>19335.33</v>
      </c>
      <c r="S87" s="125">
        <f>Valores!$C$19</f>
        <v>25899.06</v>
      </c>
      <c r="T87" s="125">
        <f t="shared" si="17"/>
        <v>25899.06</v>
      </c>
      <c r="U87" s="125">
        <v>0</v>
      </c>
      <c r="V87" s="125">
        <v>0</v>
      </c>
      <c r="W87" s="192">
        <v>0</v>
      </c>
      <c r="X87" s="125">
        <f>ROUND(W87*Valores!$C$2,2)</f>
        <v>0</v>
      </c>
      <c r="Y87" s="125">
        <v>0</v>
      </c>
      <c r="Z87" s="125">
        <f>Valores!$C$94</f>
        <v>38113.67</v>
      </c>
      <c r="AA87" s="125">
        <f>Valores!$C$25</f>
        <v>1138.39</v>
      </c>
      <c r="AB87" s="214">
        <v>0</v>
      </c>
      <c r="AC87" s="125">
        <f t="shared" si="12"/>
        <v>0</v>
      </c>
      <c r="AD87" s="125">
        <f>Valores!$C$26</f>
        <v>1138.39</v>
      </c>
      <c r="AE87" s="192">
        <v>0</v>
      </c>
      <c r="AF87" s="125">
        <f>ROUND(AE87*Valores!$C$2,2)</f>
        <v>0</v>
      </c>
      <c r="AG87" s="125">
        <f>ROUND(IF($F$4="NO",Valores!$C$63,Valores!$C$63/2),2)</f>
        <v>13014.72</v>
      </c>
      <c r="AH87" s="125">
        <f t="shared" si="15"/>
        <v>378456.43</v>
      </c>
      <c r="AI87" s="125">
        <f>Valores!$C$31</f>
        <v>0</v>
      </c>
      <c r="AJ87" s="125">
        <f>Valores!$C$87</f>
        <v>0</v>
      </c>
      <c r="AK87" s="125">
        <f>Valores!C$38*B87</f>
        <v>0</v>
      </c>
      <c r="AL87" s="125">
        <f>IF($F$3="NO",0,Valores!$C$56)</f>
        <v>170.34</v>
      </c>
      <c r="AM87" s="125">
        <f t="shared" si="13"/>
        <v>170.34</v>
      </c>
      <c r="AN87" s="125">
        <f>AH87*Valores!$C$71</f>
        <v>-41630.2073</v>
      </c>
      <c r="AO87" s="125">
        <f>AH87*-Valores!$C$72</f>
        <v>0</v>
      </c>
      <c r="AP87" s="125">
        <f>AH87*Valores!$C$73</f>
        <v>-17030.53935</v>
      </c>
      <c r="AQ87" s="125">
        <f>Valores!$C$100</f>
        <v>-554.86</v>
      </c>
      <c r="AR87" s="125">
        <f>IF($F$5=0,Valores!$C$101,(Valores!$C$101+$F$5*(Valores!$C$101)))</f>
        <v>-852</v>
      </c>
      <c r="AS87" s="125">
        <f t="shared" si="16"/>
        <v>318559.16335</v>
      </c>
      <c r="AT87" s="125">
        <f t="shared" si="10"/>
        <v>-41630.2073</v>
      </c>
      <c r="AU87" s="125">
        <f>AH87*Valores!$C$74</f>
        <v>-10218.32361</v>
      </c>
      <c r="AV87" s="125">
        <f>AH87*Valores!$C$75</f>
        <v>-1135.36929</v>
      </c>
      <c r="AW87" s="125">
        <f t="shared" si="14"/>
        <v>325642.8698</v>
      </c>
      <c r="AX87" s="126"/>
      <c r="AY87" s="126">
        <v>25</v>
      </c>
      <c r="AZ87" s="123" t="s">
        <v>8</v>
      </c>
    </row>
    <row r="88" spans="1:52" s="110" customFormat="1" ht="11.25" customHeight="1">
      <c r="A88" s="123" t="s">
        <v>269</v>
      </c>
      <c r="B88" s="123">
        <v>1</v>
      </c>
      <c r="C88" s="126">
        <v>81</v>
      </c>
      <c r="D88" s="124" t="s">
        <v>270</v>
      </c>
      <c r="E88" s="192">
        <v>218</v>
      </c>
      <c r="F88" s="125">
        <f>ROUND(E88*Valores!$C$2,2)</f>
        <v>11870.1</v>
      </c>
      <c r="G88" s="192">
        <f>1997</f>
        <v>1997</v>
      </c>
      <c r="H88" s="125">
        <f>ROUND(G88*Valores!$C$2,2)</f>
        <v>108736.65</v>
      </c>
      <c r="I88" s="192">
        <v>0</v>
      </c>
      <c r="J88" s="125">
        <f>ROUND(I88*Valores!$C$2,2)</f>
        <v>0</v>
      </c>
      <c r="K88" s="192">
        <v>0</v>
      </c>
      <c r="L88" s="125">
        <f>ROUND(K88*Valores!$C$2,2)</f>
        <v>0</v>
      </c>
      <c r="M88" s="125">
        <f>ROUND(IF($H$2=0,IF(AND(A88&lt;&gt;"13-930",A88&lt;&gt;"13-940"),(SUM(F88,H88,J88,L88,X88,T88,R88)*Valores!$C$4),0),0),2)</f>
        <v>41460.29</v>
      </c>
      <c r="N88" s="125">
        <f t="shared" si="11"/>
        <v>0</v>
      </c>
      <c r="O88" s="125">
        <f>Valores!$C$15</f>
        <v>78671.09</v>
      </c>
      <c r="P88" s="125">
        <f>Valores!$D$5</f>
        <v>27834.84</v>
      </c>
      <c r="Q88" s="125">
        <f>Valores!$C$22</f>
        <v>24831.49</v>
      </c>
      <c r="R88" s="125">
        <f>IF($F$4="NO",Valores!$C$44,Valores!$C$44/2)</f>
        <v>19335.33</v>
      </c>
      <c r="S88" s="125">
        <f>Valores!$C$19</f>
        <v>25899.06</v>
      </c>
      <c r="T88" s="125">
        <f t="shared" si="17"/>
        <v>25899.06</v>
      </c>
      <c r="U88" s="125">
        <v>0</v>
      </c>
      <c r="V88" s="125">
        <v>0</v>
      </c>
      <c r="W88" s="192">
        <v>0</v>
      </c>
      <c r="X88" s="125">
        <f>ROUND(W88*Valores!$C$2,2)</f>
        <v>0</v>
      </c>
      <c r="Y88" s="125">
        <v>0</v>
      </c>
      <c r="Z88" s="125">
        <f>Valores!$C$94</f>
        <v>38113.67</v>
      </c>
      <c r="AA88" s="125">
        <f>Valores!$C$25</f>
        <v>1138.39</v>
      </c>
      <c r="AB88" s="214">
        <v>0</v>
      </c>
      <c r="AC88" s="125">
        <f t="shared" si="12"/>
        <v>0</v>
      </c>
      <c r="AD88" s="125">
        <f>Valores!$C$26</f>
        <v>1138.39</v>
      </c>
      <c r="AE88" s="192">
        <v>0</v>
      </c>
      <c r="AF88" s="125">
        <f>ROUND(AE88*Valores!$C$2,2)</f>
        <v>0</v>
      </c>
      <c r="AG88" s="125">
        <f>ROUND(IF($F$4="NO",Valores!$C$63,Valores!$C$63/2),2)</f>
        <v>13014.72</v>
      </c>
      <c r="AH88" s="125">
        <f t="shared" si="15"/>
        <v>392044.02</v>
      </c>
      <c r="AI88" s="125">
        <f>Valores!$C$31</f>
        <v>0</v>
      </c>
      <c r="AJ88" s="125">
        <f>Valores!$C$87</f>
        <v>0</v>
      </c>
      <c r="AK88" s="125">
        <f>Valores!C$38*B88</f>
        <v>0</v>
      </c>
      <c r="AL88" s="125">
        <f>IF($F$3="NO",0,Valores!$C$56)</f>
        <v>170.34</v>
      </c>
      <c r="AM88" s="125">
        <f t="shared" si="13"/>
        <v>170.34</v>
      </c>
      <c r="AN88" s="125">
        <f>AH88*Valores!$C$71</f>
        <v>-43124.8422</v>
      </c>
      <c r="AO88" s="125">
        <f>AH88*-Valores!$C$72</f>
        <v>0</v>
      </c>
      <c r="AP88" s="125">
        <f>AH88*Valores!$C$73</f>
        <v>-17641.9809</v>
      </c>
      <c r="AQ88" s="125">
        <f>Valores!$C$100</f>
        <v>-554.86</v>
      </c>
      <c r="AR88" s="125">
        <f>IF($F$5=0,Valores!$C$101,(Valores!$C$101+$F$5*(Valores!$C$101)))</f>
        <v>-852</v>
      </c>
      <c r="AS88" s="125">
        <f t="shared" si="16"/>
        <v>330040.6769</v>
      </c>
      <c r="AT88" s="125">
        <f t="shared" si="10"/>
        <v>-43124.8422</v>
      </c>
      <c r="AU88" s="125">
        <f>AH88*Valores!$C$74</f>
        <v>-10585.188540000001</v>
      </c>
      <c r="AV88" s="125">
        <f>AH88*Valores!$C$75</f>
        <v>-1176.1320600000001</v>
      </c>
      <c r="AW88" s="125">
        <f t="shared" si="14"/>
        <v>337328.19720000005</v>
      </c>
      <c r="AX88" s="126"/>
      <c r="AY88" s="126">
        <v>25</v>
      </c>
      <c r="AZ88" s="123" t="s">
        <v>4</v>
      </c>
    </row>
    <row r="89" spans="1:52" s="110" customFormat="1" ht="11.25" customHeight="1">
      <c r="A89" s="123" t="s">
        <v>269</v>
      </c>
      <c r="B89" s="123">
        <v>1</v>
      </c>
      <c r="C89" s="126">
        <v>82</v>
      </c>
      <c r="D89" s="124" t="s">
        <v>271</v>
      </c>
      <c r="E89" s="192">
        <v>218</v>
      </c>
      <c r="F89" s="125">
        <f>ROUND(E89*Valores!$C$2,2)</f>
        <v>11870.1</v>
      </c>
      <c r="G89" s="192">
        <f>1997</f>
        <v>1997</v>
      </c>
      <c r="H89" s="125">
        <f>ROUND(G89*Valores!$C$2,2)</f>
        <v>108736.65</v>
      </c>
      <c r="I89" s="192">
        <v>0</v>
      </c>
      <c r="J89" s="125">
        <f>ROUND(I89*Valores!$C$2,2)</f>
        <v>0</v>
      </c>
      <c r="K89" s="192">
        <v>0</v>
      </c>
      <c r="L89" s="125">
        <f>ROUND(K89*Valores!$C$2,2)</f>
        <v>0</v>
      </c>
      <c r="M89" s="125">
        <f>ROUND(IF($H$2=0,IF(AND(A89&lt;&gt;"13-930",A89&lt;&gt;"13-940"),(SUM(F89,H89,J89,L89,X89,T89,R89)*Valores!$C$4),0),0),2)</f>
        <v>41460.29</v>
      </c>
      <c r="N89" s="125">
        <f t="shared" si="11"/>
        <v>0</v>
      </c>
      <c r="O89" s="125">
        <f>Valores!$C$15</f>
        <v>78671.09</v>
      </c>
      <c r="P89" s="125">
        <f>Valores!$D$5</f>
        <v>27834.84</v>
      </c>
      <c r="Q89" s="125">
        <f>Valores!$C$22</f>
        <v>24831.49</v>
      </c>
      <c r="R89" s="125">
        <f>IF($F$4="NO",Valores!$C$44,Valores!$C$44/2)</f>
        <v>19335.33</v>
      </c>
      <c r="S89" s="125">
        <f>Valores!$C$19</f>
        <v>25899.06</v>
      </c>
      <c r="T89" s="125">
        <f t="shared" si="17"/>
        <v>25899.06</v>
      </c>
      <c r="U89" s="125">
        <v>0</v>
      </c>
      <c r="V89" s="125">
        <v>0</v>
      </c>
      <c r="W89" s="192">
        <v>0</v>
      </c>
      <c r="X89" s="125">
        <f>ROUND(W89*Valores!$C$2,2)</f>
        <v>0</v>
      </c>
      <c r="Y89" s="125">
        <v>0</v>
      </c>
      <c r="Z89" s="125">
        <f>Valores!$C$94</f>
        <v>38113.67</v>
      </c>
      <c r="AA89" s="125">
        <f>Valores!$C$25</f>
        <v>1138.39</v>
      </c>
      <c r="AB89" s="214">
        <v>0</v>
      </c>
      <c r="AC89" s="125">
        <f t="shared" si="12"/>
        <v>0</v>
      </c>
      <c r="AD89" s="125">
        <f>Valores!$C$26</f>
        <v>1138.39</v>
      </c>
      <c r="AE89" s="192">
        <v>19</v>
      </c>
      <c r="AF89" s="125">
        <f>ROUND(AE89*Valores!$C$2,2)</f>
        <v>1034.55</v>
      </c>
      <c r="AG89" s="125">
        <f>ROUND(IF($F$4="NO",Valores!$C$63,Valores!$C$63/2),2)</f>
        <v>13014.72</v>
      </c>
      <c r="AH89" s="125">
        <f t="shared" si="15"/>
        <v>393078.57</v>
      </c>
      <c r="AI89" s="125">
        <f>Valores!$C$31</f>
        <v>0</v>
      </c>
      <c r="AJ89" s="125">
        <f>Valores!$C$87</f>
        <v>0</v>
      </c>
      <c r="AK89" s="125">
        <f>Valores!C$38*B89</f>
        <v>0</v>
      </c>
      <c r="AL89" s="125">
        <f>IF($F$3="NO",0,Valores!$C$56)</f>
        <v>170.34</v>
      </c>
      <c r="AM89" s="125">
        <f t="shared" si="13"/>
        <v>170.34</v>
      </c>
      <c r="AN89" s="125">
        <f>AH89*Valores!$C$71</f>
        <v>-43238.642700000004</v>
      </c>
      <c r="AO89" s="125">
        <f>AH89*-Valores!$C$72</f>
        <v>0</v>
      </c>
      <c r="AP89" s="125">
        <f>AH89*Valores!$C$73</f>
        <v>-17688.535649999998</v>
      </c>
      <c r="AQ89" s="125">
        <f>Valores!$C$100</f>
        <v>-554.86</v>
      </c>
      <c r="AR89" s="125">
        <f>IF($F$5=0,Valores!$C$101,(Valores!$C$101+$F$5*(Valores!$C$101)))</f>
        <v>-852</v>
      </c>
      <c r="AS89" s="125">
        <f t="shared" si="16"/>
        <v>330914.87165</v>
      </c>
      <c r="AT89" s="125">
        <f t="shared" si="10"/>
        <v>-43238.642700000004</v>
      </c>
      <c r="AU89" s="125">
        <f>AH89*Valores!$C$74</f>
        <v>-10613.12139</v>
      </c>
      <c r="AV89" s="125">
        <f>AH89*Valores!$C$75</f>
        <v>-1179.2357100000002</v>
      </c>
      <c r="AW89" s="125">
        <f t="shared" si="14"/>
        <v>338217.91020000004</v>
      </c>
      <c r="AX89" s="126"/>
      <c r="AY89" s="126">
        <v>25</v>
      </c>
      <c r="AZ89" s="123" t="s">
        <v>4</v>
      </c>
    </row>
    <row r="90" spans="1:52" s="110" customFormat="1" ht="11.25" customHeight="1">
      <c r="A90" s="123" t="s">
        <v>272</v>
      </c>
      <c r="B90" s="123">
        <v>1</v>
      </c>
      <c r="C90" s="126">
        <v>83</v>
      </c>
      <c r="D90" s="124" t="s">
        <v>273</v>
      </c>
      <c r="E90" s="192">
        <v>187</v>
      </c>
      <c r="F90" s="125">
        <f>ROUND(E90*Valores!$C$2,2)</f>
        <v>10182.15</v>
      </c>
      <c r="G90" s="192">
        <v>1704</v>
      </c>
      <c r="H90" s="125">
        <f>ROUND(G90*Valores!$C$2,2)</f>
        <v>92782.8</v>
      </c>
      <c r="I90" s="192">
        <v>0</v>
      </c>
      <c r="J90" s="125">
        <f>ROUND(I90*Valores!$C$2,2)</f>
        <v>0</v>
      </c>
      <c r="K90" s="192">
        <v>0</v>
      </c>
      <c r="L90" s="125">
        <f>ROUND(K90*Valores!$C$2,2)</f>
        <v>0</v>
      </c>
      <c r="M90" s="125">
        <f>ROUND(IF($H$2=0,IF(AND(A90&lt;&gt;"13-930",A90&lt;&gt;"13-940"),(SUM(F90,H90,J90,L90,X90,T90,R90)*Valores!$C$4),0),0),2)</f>
        <v>37049.84</v>
      </c>
      <c r="N90" s="125">
        <f t="shared" si="11"/>
        <v>0</v>
      </c>
      <c r="O90" s="125">
        <f>Valores!$C$9</f>
        <v>68418.57</v>
      </c>
      <c r="P90" s="125">
        <f>Valores!$D$5</f>
        <v>27834.84</v>
      </c>
      <c r="Q90" s="125">
        <f>Valores!$C$22</f>
        <v>24831.49</v>
      </c>
      <c r="R90" s="125">
        <f>IF($F$4="NO",Valores!$C$44,Valores!$C$44/2)</f>
        <v>19335.33</v>
      </c>
      <c r="S90" s="125">
        <f>Valores!$C$19</f>
        <v>25899.06</v>
      </c>
      <c r="T90" s="125">
        <f t="shared" si="17"/>
        <v>25899.06</v>
      </c>
      <c r="U90" s="125">
        <v>0</v>
      </c>
      <c r="V90" s="125">
        <v>0</v>
      </c>
      <c r="W90" s="192">
        <v>0</v>
      </c>
      <c r="X90" s="125">
        <f>ROUND(W90*Valores!$C$2,2)</f>
        <v>0</v>
      </c>
      <c r="Y90" s="125">
        <v>0</v>
      </c>
      <c r="Z90" s="125">
        <f>Valores!$C$94</f>
        <v>38113.67</v>
      </c>
      <c r="AA90" s="125">
        <f>Valores!$C$25</f>
        <v>1138.39</v>
      </c>
      <c r="AB90" s="214">
        <v>0</v>
      </c>
      <c r="AC90" s="125">
        <f t="shared" si="12"/>
        <v>0</v>
      </c>
      <c r="AD90" s="125">
        <f>Valores!$C$26</f>
        <v>1138.39</v>
      </c>
      <c r="AE90" s="192">
        <v>0</v>
      </c>
      <c r="AF90" s="125">
        <f>ROUND(AE90*Valores!$C$2,2)</f>
        <v>0</v>
      </c>
      <c r="AG90" s="125">
        <f>ROUND(IF($F$4="NO",Valores!$C$63,Valores!$C$63/2),2)</f>
        <v>13014.72</v>
      </c>
      <c r="AH90" s="125">
        <f t="shared" si="15"/>
        <v>359739.24999999994</v>
      </c>
      <c r="AI90" s="125">
        <f>Valores!$C$31</f>
        <v>0</v>
      </c>
      <c r="AJ90" s="125">
        <f>Valores!$C$87</f>
        <v>0</v>
      </c>
      <c r="AK90" s="125">
        <f>Valores!C$38*B90</f>
        <v>0</v>
      </c>
      <c r="AL90" s="125">
        <f>IF($F$3="NO",0,Valores!$C$56)</f>
        <v>170.34</v>
      </c>
      <c r="AM90" s="125">
        <f t="shared" si="13"/>
        <v>170.34</v>
      </c>
      <c r="AN90" s="125">
        <f>AH90*Valores!$C$71</f>
        <v>-39571.3175</v>
      </c>
      <c r="AO90" s="125">
        <f>AH90*-Valores!$C$72</f>
        <v>0</v>
      </c>
      <c r="AP90" s="125">
        <f>AH90*Valores!$C$73</f>
        <v>-16188.266249999997</v>
      </c>
      <c r="AQ90" s="125">
        <f>Valores!$C$100</f>
        <v>-554.86</v>
      </c>
      <c r="AR90" s="125">
        <f>IF($F$5=0,Valores!$C$101,(Valores!$C$101+$F$5*(Valores!$C$101)))</f>
        <v>-852</v>
      </c>
      <c r="AS90" s="125">
        <f t="shared" si="16"/>
        <v>302743.14624999993</v>
      </c>
      <c r="AT90" s="125">
        <f t="shared" si="10"/>
        <v>-39571.3175</v>
      </c>
      <c r="AU90" s="125">
        <f>AH90*Valores!$C$74</f>
        <v>-9712.959749999998</v>
      </c>
      <c r="AV90" s="125">
        <f>AH90*Valores!$C$75</f>
        <v>-1079.2177499999998</v>
      </c>
      <c r="AW90" s="125">
        <f t="shared" si="14"/>
        <v>309546.095</v>
      </c>
      <c r="AX90" s="126"/>
      <c r="AY90" s="126">
        <v>25</v>
      </c>
      <c r="AZ90" s="123" t="s">
        <v>4</v>
      </c>
    </row>
    <row r="91" spans="1:52" s="110" customFormat="1" ht="11.25" customHeight="1">
      <c r="A91" s="123" t="s">
        <v>272</v>
      </c>
      <c r="B91" s="123">
        <v>1</v>
      </c>
      <c r="C91" s="126">
        <v>84</v>
      </c>
      <c r="D91" s="124" t="s">
        <v>274</v>
      </c>
      <c r="E91" s="192">
        <v>187</v>
      </c>
      <c r="F91" s="125">
        <f>ROUND(E91*Valores!$C$2,2)</f>
        <v>10182.15</v>
      </c>
      <c r="G91" s="192">
        <v>1704</v>
      </c>
      <c r="H91" s="125">
        <f>ROUND(G91*Valores!$C$2,2)</f>
        <v>92782.8</v>
      </c>
      <c r="I91" s="192">
        <v>0</v>
      </c>
      <c r="J91" s="125">
        <f>ROUND(I91*Valores!$C$2,2)</f>
        <v>0</v>
      </c>
      <c r="K91" s="192">
        <v>0</v>
      </c>
      <c r="L91" s="125">
        <f>ROUND(K91*Valores!$C$2,2)</f>
        <v>0</v>
      </c>
      <c r="M91" s="125">
        <f>ROUND(IF($H$2=0,IF(AND(A91&lt;&gt;"13-930",A91&lt;&gt;"13-940"),(SUM(F91,H91,J91,L91,X91,T91,R91)*Valores!$C$4),0),0),2)</f>
        <v>37049.84</v>
      </c>
      <c r="N91" s="125">
        <f t="shared" si="11"/>
        <v>0</v>
      </c>
      <c r="O91" s="125">
        <f>Valores!$C$9</f>
        <v>68418.57</v>
      </c>
      <c r="P91" s="125">
        <f>Valores!$D$5</f>
        <v>27834.84</v>
      </c>
      <c r="Q91" s="125">
        <f>Valores!$C$22</f>
        <v>24831.49</v>
      </c>
      <c r="R91" s="125">
        <f>IF($F$4="NO",Valores!$C$44,Valores!$C$44/2)</f>
        <v>19335.33</v>
      </c>
      <c r="S91" s="125">
        <f>Valores!$C$19</f>
        <v>25899.06</v>
      </c>
      <c r="T91" s="125">
        <f t="shared" si="17"/>
        <v>25899.06</v>
      </c>
      <c r="U91" s="125">
        <v>0</v>
      </c>
      <c r="V91" s="125">
        <v>0</v>
      </c>
      <c r="W91" s="192">
        <v>0</v>
      </c>
      <c r="X91" s="125">
        <f>ROUND(W91*Valores!$C$2,2)</f>
        <v>0</v>
      </c>
      <c r="Y91" s="125">
        <v>0</v>
      </c>
      <c r="Z91" s="125">
        <f>Valores!$C$94</f>
        <v>38113.67</v>
      </c>
      <c r="AA91" s="125">
        <f>Valores!$C$25</f>
        <v>1138.39</v>
      </c>
      <c r="AB91" s="214">
        <v>0</v>
      </c>
      <c r="AC91" s="125">
        <f t="shared" si="12"/>
        <v>0</v>
      </c>
      <c r="AD91" s="125">
        <f>Valores!$C$26</f>
        <v>1138.39</v>
      </c>
      <c r="AE91" s="192">
        <v>19</v>
      </c>
      <c r="AF91" s="125">
        <f>ROUND(AE91*Valores!$C$2,2)</f>
        <v>1034.55</v>
      </c>
      <c r="AG91" s="125">
        <f>ROUND(IF($F$4="NO",Valores!$C$63,Valores!$C$63/2),2)</f>
        <v>13014.72</v>
      </c>
      <c r="AH91" s="125">
        <f t="shared" si="15"/>
        <v>360773.79999999993</v>
      </c>
      <c r="AI91" s="125">
        <f>Valores!$C$31</f>
        <v>0</v>
      </c>
      <c r="AJ91" s="125">
        <f>Valores!$C$87</f>
        <v>0</v>
      </c>
      <c r="AK91" s="125">
        <f>Valores!C$38*B91</f>
        <v>0</v>
      </c>
      <c r="AL91" s="125">
        <f>IF($F$3="NO",0,Valores!$C$56)</f>
        <v>170.34</v>
      </c>
      <c r="AM91" s="125">
        <f t="shared" si="13"/>
        <v>170.34</v>
      </c>
      <c r="AN91" s="125">
        <f>AH91*Valores!$C$71</f>
        <v>-39685.117999999995</v>
      </c>
      <c r="AO91" s="125">
        <f>AH91*-Valores!$C$72</f>
        <v>0</v>
      </c>
      <c r="AP91" s="125">
        <f>AH91*Valores!$C$73</f>
        <v>-16234.820999999996</v>
      </c>
      <c r="AQ91" s="125">
        <f>Valores!$C$100</f>
        <v>-554.86</v>
      </c>
      <c r="AR91" s="125">
        <f>IF($F$5=0,Valores!$C$101,(Valores!$C$101+$F$5*(Valores!$C$101)))</f>
        <v>-852</v>
      </c>
      <c r="AS91" s="125">
        <f t="shared" si="16"/>
        <v>303617.34099999996</v>
      </c>
      <c r="AT91" s="125">
        <f t="shared" si="10"/>
        <v>-39685.117999999995</v>
      </c>
      <c r="AU91" s="125">
        <f>AH91*Valores!$C$74</f>
        <v>-9740.892599999997</v>
      </c>
      <c r="AV91" s="125">
        <f>AH91*Valores!$C$75</f>
        <v>-1082.3213999999998</v>
      </c>
      <c r="AW91" s="125">
        <f t="shared" si="14"/>
        <v>310435.80799999996</v>
      </c>
      <c r="AX91" s="126"/>
      <c r="AY91" s="126">
        <v>25</v>
      </c>
      <c r="AZ91" s="123" t="s">
        <v>4</v>
      </c>
    </row>
    <row r="92" spans="1:52" s="110" customFormat="1" ht="11.25" customHeight="1">
      <c r="A92" s="123" t="s">
        <v>275</v>
      </c>
      <c r="B92" s="123">
        <v>1</v>
      </c>
      <c r="C92" s="126">
        <v>85</v>
      </c>
      <c r="D92" s="124" t="s">
        <v>276</v>
      </c>
      <c r="E92" s="192">
        <v>161</v>
      </c>
      <c r="F92" s="125">
        <f>ROUND(E92*Valores!$C$2,2)</f>
        <v>8766.45</v>
      </c>
      <c r="G92" s="192">
        <f>1480</f>
        <v>1480</v>
      </c>
      <c r="H92" s="125">
        <f>ROUND(G92*Valores!$C$2,2)</f>
        <v>80586</v>
      </c>
      <c r="I92" s="192">
        <v>0</v>
      </c>
      <c r="J92" s="125">
        <f>ROUND(I92*Valores!$C$2,2)</f>
        <v>0</v>
      </c>
      <c r="K92" s="192">
        <v>0</v>
      </c>
      <c r="L92" s="125">
        <f>ROUND(K92*Valores!$C$2,2)</f>
        <v>0</v>
      </c>
      <c r="M92" s="125">
        <f>ROUND(IF($H$2=0,IF(AND(A92&lt;&gt;"13-930",A92&lt;&gt;"13-940"),(SUM(F92,H92,J92,L92,X92,T92,R92)*Valores!$C$4),0),0),2)</f>
        <v>33646.71</v>
      </c>
      <c r="N92" s="125">
        <f t="shared" si="11"/>
        <v>0</v>
      </c>
      <c r="O92" s="125">
        <f>Valores!$C$9</f>
        <v>68418.57</v>
      </c>
      <c r="P92" s="125">
        <f>Valores!$D$5</f>
        <v>27834.84</v>
      </c>
      <c r="Q92" s="125">
        <f>Valores!$C$22</f>
        <v>24831.49</v>
      </c>
      <c r="R92" s="125">
        <f>IF($F$4="NO",Valores!$C$44,Valores!$C$44/2)</f>
        <v>19335.33</v>
      </c>
      <c r="S92" s="125">
        <f>Valores!$C$19</f>
        <v>25899.06</v>
      </c>
      <c r="T92" s="125">
        <f t="shared" si="17"/>
        <v>25899.06</v>
      </c>
      <c r="U92" s="125">
        <v>0</v>
      </c>
      <c r="V92" s="125">
        <v>0</v>
      </c>
      <c r="W92" s="192">
        <v>0</v>
      </c>
      <c r="X92" s="125">
        <f>ROUND(W92*Valores!$C$2,2)</f>
        <v>0</v>
      </c>
      <c r="Y92" s="125">
        <v>0</v>
      </c>
      <c r="Z92" s="125">
        <f>Valores!$C$94</f>
        <v>38113.67</v>
      </c>
      <c r="AA92" s="125">
        <f>Valores!$C$25</f>
        <v>1138.39</v>
      </c>
      <c r="AB92" s="214">
        <v>0</v>
      </c>
      <c r="AC92" s="125">
        <f t="shared" si="12"/>
        <v>0</v>
      </c>
      <c r="AD92" s="125">
        <f>Valores!$C$26</f>
        <v>1138.39</v>
      </c>
      <c r="AE92" s="192">
        <v>0</v>
      </c>
      <c r="AF92" s="125">
        <f>ROUND(AE92*Valores!$C$2,2)</f>
        <v>0</v>
      </c>
      <c r="AG92" s="125">
        <f>ROUND(IF($F$4="NO",Valores!$C$63,Valores!$C$63/2),2)</f>
        <v>13014.72</v>
      </c>
      <c r="AH92" s="125">
        <f t="shared" si="15"/>
        <v>342723.62</v>
      </c>
      <c r="AI92" s="125">
        <f>Valores!$C$31</f>
        <v>0</v>
      </c>
      <c r="AJ92" s="125">
        <f>Valores!$C$87</f>
        <v>0</v>
      </c>
      <c r="AK92" s="125">
        <f>Valores!C$38*B92</f>
        <v>0</v>
      </c>
      <c r="AL92" s="125">
        <f>IF($F$3="NO",0,Valores!$C$56)</f>
        <v>170.34</v>
      </c>
      <c r="AM92" s="125">
        <f t="shared" si="13"/>
        <v>170.34</v>
      </c>
      <c r="AN92" s="125">
        <f>AH92*Valores!$C$71</f>
        <v>-37699.5982</v>
      </c>
      <c r="AO92" s="125">
        <f>AH92*-Valores!$C$72</f>
        <v>0</v>
      </c>
      <c r="AP92" s="125">
        <f>AH92*Valores!$C$73</f>
        <v>-15422.562899999999</v>
      </c>
      <c r="AQ92" s="125">
        <f>Valores!$C$100</f>
        <v>-554.86</v>
      </c>
      <c r="AR92" s="125">
        <f>IF($F$5=0,Valores!$C$101,(Valores!$C$101+$F$5*(Valores!$C$101)))</f>
        <v>-852</v>
      </c>
      <c r="AS92" s="125">
        <f t="shared" si="16"/>
        <v>288364.9389</v>
      </c>
      <c r="AT92" s="125">
        <f t="shared" si="10"/>
        <v>-37699.5982</v>
      </c>
      <c r="AU92" s="125">
        <f>AH92*Valores!$C$74</f>
        <v>-9253.53774</v>
      </c>
      <c r="AV92" s="125">
        <f>AH92*Valores!$C$75</f>
        <v>-1028.17086</v>
      </c>
      <c r="AW92" s="125">
        <f t="shared" si="14"/>
        <v>294912.6532</v>
      </c>
      <c r="AX92" s="126"/>
      <c r="AY92" s="126">
        <v>25</v>
      </c>
      <c r="AZ92" s="123" t="s">
        <v>4</v>
      </c>
    </row>
    <row r="93" spans="1:52" s="110" customFormat="1" ht="11.25" customHeight="1">
      <c r="A93" s="123" t="s">
        <v>275</v>
      </c>
      <c r="B93" s="123">
        <v>1</v>
      </c>
      <c r="C93" s="126">
        <v>86</v>
      </c>
      <c r="D93" s="124" t="s">
        <v>277</v>
      </c>
      <c r="E93" s="192">
        <v>161</v>
      </c>
      <c r="F93" s="125">
        <f>ROUND(E93*Valores!$C$2,2)</f>
        <v>8766.45</v>
      </c>
      <c r="G93" s="192">
        <f>1480</f>
        <v>1480</v>
      </c>
      <c r="H93" s="125">
        <f>ROUND(G93*Valores!$C$2,2)</f>
        <v>80586</v>
      </c>
      <c r="I93" s="192">
        <v>0</v>
      </c>
      <c r="J93" s="125">
        <f>ROUND(I93*Valores!$C$2,2)</f>
        <v>0</v>
      </c>
      <c r="K93" s="192">
        <v>0</v>
      </c>
      <c r="L93" s="125">
        <f>ROUND(K93*Valores!$C$2,2)</f>
        <v>0</v>
      </c>
      <c r="M93" s="125">
        <f>ROUND(IF($H$2=0,IF(AND(A93&lt;&gt;"13-930",A93&lt;&gt;"13-940"),(SUM(F93,H93,J93,L93,X93,T93,R93)*Valores!$C$4),0),0),2)</f>
        <v>33646.71</v>
      </c>
      <c r="N93" s="125">
        <f t="shared" si="11"/>
        <v>0</v>
      </c>
      <c r="O93" s="125">
        <f>Valores!$C$9</f>
        <v>68418.57</v>
      </c>
      <c r="P93" s="125">
        <f>Valores!$D$5</f>
        <v>27834.84</v>
      </c>
      <c r="Q93" s="125">
        <f>Valores!$C$22</f>
        <v>24831.49</v>
      </c>
      <c r="R93" s="125">
        <f>IF($F$4="NO",Valores!$C$44,Valores!$C$44/2)</f>
        <v>19335.33</v>
      </c>
      <c r="S93" s="125">
        <f>Valores!$C$19</f>
        <v>25899.06</v>
      </c>
      <c r="T93" s="125">
        <f t="shared" si="17"/>
        <v>25899.06</v>
      </c>
      <c r="U93" s="125">
        <v>0</v>
      </c>
      <c r="V93" s="125">
        <v>0</v>
      </c>
      <c r="W93" s="192">
        <v>0</v>
      </c>
      <c r="X93" s="125">
        <f>ROUND(W93*Valores!$C$2,2)</f>
        <v>0</v>
      </c>
      <c r="Y93" s="125">
        <v>0</v>
      </c>
      <c r="Z93" s="125">
        <f>Valores!$C$94</f>
        <v>38113.67</v>
      </c>
      <c r="AA93" s="125">
        <f>Valores!$C$25</f>
        <v>1138.39</v>
      </c>
      <c r="AB93" s="214">
        <v>0</v>
      </c>
      <c r="AC93" s="125">
        <f t="shared" si="12"/>
        <v>0</v>
      </c>
      <c r="AD93" s="125">
        <f>Valores!$C$26</f>
        <v>1138.39</v>
      </c>
      <c r="AE93" s="192">
        <v>19</v>
      </c>
      <c r="AF93" s="125">
        <f>ROUND(AE93*Valores!$C$2,2)</f>
        <v>1034.55</v>
      </c>
      <c r="AG93" s="125">
        <f>ROUND(IF($F$4="NO",Valores!$C$63,Valores!$C$63/2),2)</f>
        <v>13014.72</v>
      </c>
      <c r="AH93" s="125">
        <f t="shared" si="15"/>
        <v>343758.17</v>
      </c>
      <c r="AI93" s="125">
        <f>Valores!$C$31</f>
        <v>0</v>
      </c>
      <c r="AJ93" s="125">
        <f>Valores!$C$87</f>
        <v>0</v>
      </c>
      <c r="AK93" s="125">
        <f>Valores!C$38*B93</f>
        <v>0</v>
      </c>
      <c r="AL93" s="125">
        <f>IF($F$3="NO",0,Valores!$C$56)</f>
        <v>170.34</v>
      </c>
      <c r="AM93" s="125">
        <f t="shared" si="13"/>
        <v>170.34</v>
      </c>
      <c r="AN93" s="125">
        <f>AH93*Valores!$C$71</f>
        <v>-37813.3987</v>
      </c>
      <c r="AO93" s="125">
        <f>AH93*-Valores!$C$72</f>
        <v>0</v>
      </c>
      <c r="AP93" s="125">
        <f>AH93*Valores!$C$73</f>
        <v>-15469.117649999998</v>
      </c>
      <c r="AQ93" s="125">
        <f>Valores!$C$100</f>
        <v>-554.86</v>
      </c>
      <c r="AR93" s="125">
        <f>IF($F$5=0,Valores!$C$101,(Valores!$C$101+$F$5*(Valores!$C$101)))</f>
        <v>-852</v>
      </c>
      <c r="AS93" s="125">
        <f t="shared" si="16"/>
        <v>289239.13365</v>
      </c>
      <c r="AT93" s="125">
        <f t="shared" si="10"/>
        <v>-37813.3987</v>
      </c>
      <c r="AU93" s="125">
        <f>AH93*Valores!$C$74</f>
        <v>-9281.470589999999</v>
      </c>
      <c r="AV93" s="125">
        <f>AH93*Valores!$C$75</f>
        <v>-1031.27451</v>
      </c>
      <c r="AW93" s="125">
        <f t="shared" si="14"/>
        <v>295802.3662</v>
      </c>
      <c r="AX93" s="126"/>
      <c r="AY93" s="126">
        <v>25</v>
      </c>
      <c r="AZ93" s="123" t="s">
        <v>4</v>
      </c>
    </row>
    <row r="94" spans="1:52" s="110" customFormat="1" ht="11.25" customHeight="1">
      <c r="A94" s="123" t="s">
        <v>278</v>
      </c>
      <c r="B94" s="123">
        <v>1</v>
      </c>
      <c r="C94" s="126">
        <v>87</v>
      </c>
      <c r="D94" s="124" t="s">
        <v>279</v>
      </c>
      <c r="E94" s="192">
        <v>179</v>
      </c>
      <c r="F94" s="125">
        <f>ROUND(E94*Valores!$C$2,2)</f>
        <v>9746.55</v>
      </c>
      <c r="G94" s="192">
        <v>1712</v>
      </c>
      <c r="H94" s="125">
        <f>ROUND(G94*Valores!$C$2,2)</f>
        <v>93218.4</v>
      </c>
      <c r="I94" s="192">
        <v>0</v>
      </c>
      <c r="J94" s="125">
        <f>ROUND(I94*Valores!$C$2,2)</f>
        <v>0</v>
      </c>
      <c r="K94" s="192">
        <v>0</v>
      </c>
      <c r="L94" s="125">
        <f>ROUND(K94*Valores!$C$2,2)</f>
        <v>0</v>
      </c>
      <c r="M94" s="125">
        <f>ROUND(IF($H$2=0,IF(AND(A94&lt;&gt;"13-930",A94&lt;&gt;"13-940"),(SUM(F94,H94,J94,L94,X94,T94,R94)*Valores!$C$4),0),0),2)</f>
        <v>37049.84</v>
      </c>
      <c r="N94" s="125">
        <f t="shared" si="11"/>
        <v>0</v>
      </c>
      <c r="O94" s="125">
        <f>Valores!$C$9</f>
        <v>68418.57</v>
      </c>
      <c r="P94" s="125">
        <f>Valores!$D$5</f>
        <v>27834.84</v>
      </c>
      <c r="Q94" s="125">
        <f>Valores!$C$22</f>
        <v>24831.49</v>
      </c>
      <c r="R94" s="125">
        <f>IF($F$4="NO",Valores!$C$44,Valores!$C$44/2)</f>
        <v>19335.33</v>
      </c>
      <c r="S94" s="125">
        <f>Valores!$C$19</f>
        <v>25899.06</v>
      </c>
      <c r="T94" s="125">
        <f t="shared" si="17"/>
        <v>25899.06</v>
      </c>
      <c r="U94" s="125">
        <v>0</v>
      </c>
      <c r="V94" s="125">
        <v>0</v>
      </c>
      <c r="W94" s="192">
        <v>0</v>
      </c>
      <c r="X94" s="125">
        <f>ROUND(W94*Valores!$C$2,2)</f>
        <v>0</v>
      </c>
      <c r="Y94" s="125">
        <v>0</v>
      </c>
      <c r="Z94" s="125">
        <f>Valores!$C$94</f>
        <v>38113.67</v>
      </c>
      <c r="AA94" s="125">
        <f>Valores!$C$25</f>
        <v>1138.39</v>
      </c>
      <c r="AB94" s="214">
        <v>0</v>
      </c>
      <c r="AC94" s="125">
        <f t="shared" si="12"/>
        <v>0</v>
      </c>
      <c r="AD94" s="125">
        <f>Valores!$C$26</f>
        <v>1138.39</v>
      </c>
      <c r="AE94" s="192">
        <v>0</v>
      </c>
      <c r="AF94" s="125">
        <f>ROUND(AE94*Valores!$C$2,2)</f>
        <v>0</v>
      </c>
      <c r="AG94" s="125">
        <f>ROUND(IF($F$4="NO",Valores!$C$63,Valores!$C$63/2),2)</f>
        <v>13014.72</v>
      </c>
      <c r="AH94" s="125">
        <f t="shared" si="15"/>
        <v>359739.24999999994</v>
      </c>
      <c r="AI94" s="125">
        <f>Valores!$C$31</f>
        <v>0</v>
      </c>
      <c r="AJ94" s="125">
        <f>Valores!$C$87</f>
        <v>0</v>
      </c>
      <c r="AK94" s="125">
        <f>Valores!C$38*B94</f>
        <v>0</v>
      </c>
      <c r="AL94" s="125">
        <f>IF($F$3="NO",0,Valores!$C$56)</f>
        <v>170.34</v>
      </c>
      <c r="AM94" s="125">
        <f t="shared" si="13"/>
        <v>170.34</v>
      </c>
      <c r="AN94" s="125">
        <f>AH94*Valores!$C$71</f>
        <v>-39571.3175</v>
      </c>
      <c r="AO94" s="125">
        <f>AH94*-Valores!$C$72</f>
        <v>0</v>
      </c>
      <c r="AP94" s="125">
        <f>AH94*Valores!$C$73</f>
        <v>-16188.266249999997</v>
      </c>
      <c r="AQ94" s="125">
        <f>Valores!$C$100</f>
        <v>-554.86</v>
      </c>
      <c r="AR94" s="125">
        <f>IF($F$5=0,Valores!$C$101,(Valores!$C$101+$F$5*(Valores!$C$101)))</f>
        <v>-852</v>
      </c>
      <c r="AS94" s="125">
        <f t="shared" si="16"/>
        <v>302743.14624999993</v>
      </c>
      <c r="AT94" s="125">
        <f t="shared" si="10"/>
        <v>-39571.3175</v>
      </c>
      <c r="AU94" s="125">
        <f>AH94*Valores!$C$74</f>
        <v>-9712.959749999998</v>
      </c>
      <c r="AV94" s="125">
        <f>AH94*Valores!$C$75</f>
        <v>-1079.2177499999998</v>
      </c>
      <c r="AW94" s="125">
        <f t="shared" si="14"/>
        <v>309546.095</v>
      </c>
      <c r="AX94" s="126"/>
      <c r="AY94" s="126">
        <v>25</v>
      </c>
      <c r="AZ94" s="123" t="s">
        <v>4</v>
      </c>
    </row>
    <row r="95" spans="1:52" s="110" customFormat="1" ht="11.25" customHeight="1">
      <c r="A95" s="123" t="s">
        <v>280</v>
      </c>
      <c r="B95" s="123">
        <v>1</v>
      </c>
      <c r="C95" s="126">
        <v>88</v>
      </c>
      <c r="D95" s="124" t="s">
        <v>281</v>
      </c>
      <c r="E95" s="192">
        <v>64</v>
      </c>
      <c r="F95" s="125">
        <f>ROUND(E95*Valores!$C$2,2)</f>
        <v>3484.8</v>
      </c>
      <c r="G95" s="192">
        <v>2086</v>
      </c>
      <c r="H95" s="125">
        <f>ROUND(G95*Valores!$C$2,2)</f>
        <v>113582.7</v>
      </c>
      <c r="I95" s="192">
        <v>0</v>
      </c>
      <c r="J95" s="125">
        <f>ROUND(I95*Valores!$C$2,2)</f>
        <v>0</v>
      </c>
      <c r="K95" s="192">
        <v>0</v>
      </c>
      <c r="L95" s="125">
        <f>ROUND(K95*Valores!$C$2,2)</f>
        <v>0</v>
      </c>
      <c r="M95" s="125">
        <f>ROUND(IF($H$2=0,IF(AND(A95&lt;&gt;"13-930",A95&lt;&gt;"13-940"),(SUM(F95,H95,J95,L95,X95,T95,R95)*Valores!$C$4),0),0),2)</f>
        <v>40845.72</v>
      </c>
      <c r="N95" s="125">
        <f t="shared" si="11"/>
        <v>0</v>
      </c>
      <c r="O95" s="125">
        <f>Valores!$C$9</f>
        <v>68418.57</v>
      </c>
      <c r="P95" s="125">
        <f>Valores!$D$5</f>
        <v>27834.84</v>
      </c>
      <c r="Q95" s="125">
        <f>Valores!$C$22</f>
        <v>24831.49</v>
      </c>
      <c r="R95" s="125">
        <f>IF($F$4="NO",Valores!$C$45,Valores!$C$45/2)</f>
        <v>20416.3</v>
      </c>
      <c r="S95" s="125">
        <f>Valores!$C$19</f>
        <v>25899.06</v>
      </c>
      <c r="T95" s="125">
        <f t="shared" si="17"/>
        <v>25899.06</v>
      </c>
      <c r="U95" s="125">
        <v>0</v>
      </c>
      <c r="V95" s="125">
        <v>0</v>
      </c>
      <c r="W95" s="192">
        <v>0</v>
      </c>
      <c r="X95" s="125">
        <f>ROUND(W95*Valores!$C$2,2)</f>
        <v>0</v>
      </c>
      <c r="Y95" s="125">
        <v>0</v>
      </c>
      <c r="Z95" s="125">
        <f>Valores!$C$95</f>
        <v>45736.39</v>
      </c>
      <c r="AA95" s="125">
        <f>Valores!$C$25</f>
        <v>1138.39</v>
      </c>
      <c r="AB95" s="214">
        <v>0</v>
      </c>
      <c r="AC95" s="125">
        <f t="shared" si="12"/>
        <v>0</v>
      </c>
      <c r="AD95" s="125">
        <f>Valores!$C$26</f>
        <v>1138.39</v>
      </c>
      <c r="AE95" s="192">
        <v>0</v>
      </c>
      <c r="AF95" s="125">
        <f>ROUND(AE95*Valores!$C$2,2)</f>
        <v>0</v>
      </c>
      <c r="AG95" s="125">
        <f>ROUND(IF($F$4="NO",Valores!$C$63,Valores!$C$63/2),2)</f>
        <v>13014.72</v>
      </c>
      <c r="AH95" s="125">
        <f t="shared" si="15"/>
        <v>386341.37</v>
      </c>
      <c r="AI95" s="125">
        <f>Valores!$C$31</f>
        <v>0</v>
      </c>
      <c r="AJ95" s="125">
        <f>Valores!$C$88</f>
        <v>0</v>
      </c>
      <c r="AK95" s="125">
        <f>Valores!C$38*B95</f>
        <v>0</v>
      </c>
      <c r="AL95" s="125">
        <f>IF($F$3="NO",0,Valores!$C$56)</f>
        <v>170.34</v>
      </c>
      <c r="AM95" s="125">
        <f t="shared" si="13"/>
        <v>170.34</v>
      </c>
      <c r="AN95" s="125">
        <f>AH95*Valores!$C$71</f>
        <v>-42497.5507</v>
      </c>
      <c r="AO95" s="125">
        <f>AH95*-Valores!$C$72</f>
        <v>0</v>
      </c>
      <c r="AP95" s="125">
        <f>AH95*Valores!$C$73</f>
        <v>-17385.36165</v>
      </c>
      <c r="AQ95" s="125">
        <f>Valores!$C$100</f>
        <v>-554.86</v>
      </c>
      <c r="AR95" s="125">
        <f>IF($F$5=0,Valores!$C$101,(Valores!$C$101+$F$5*(Valores!$C$101)))</f>
        <v>-852</v>
      </c>
      <c r="AS95" s="125">
        <f t="shared" si="16"/>
        <v>325221.93765</v>
      </c>
      <c r="AT95" s="125">
        <f t="shared" si="10"/>
        <v>-42497.5507</v>
      </c>
      <c r="AU95" s="125">
        <f>AH95*Valores!$C$74</f>
        <v>-10431.216989999999</v>
      </c>
      <c r="AV95" s="125">
        <f>AH95*Valores!$C$75</f>
        <v>-1159.02411</v>
      </c>
      <c r="AW95" s="125">
        <f t="shared" si="14"/>
        <v>332423.9182</v>
      </c>
      <c r="AX95" s="126"/>
      <c r="AY95" s="126">
        <v>25</v>
      </c>
      <c r="AZ95" s="123" t="s">
        <v>4</v>
      </c>
    </row>
    <row r="96" spans="1:52" s="110" customFormat="1" ht="11.25" customHeight="1">
      <c r="A96" s="123" t="s">
        <v>282</v>
      </c>
      <c r="B96" s="123">
        <v>1</v>
      </c>
      <c r="C96" s="126">
        <v>89</v>
      </c>
      <c r="D96" s="124" t="s">
        <v>283</v>
      </c>
      <c r="E96" s="192">
        <v>89</v>
      </c>
      <c r="F96" s="125">
        <f>ROUND(E96*Valores!$C$2,2)</f>
        <v>4846.05</v>
      </c>
      <c r="G96" s="192">
        <v>2481</v>
      </c>
      <c r="H96" s="125">
        <f>ROUND(G96*Valores!$C$2,2)</f>
        <v>135090.45</v>
      </c>
      <c r="I96" s="192">
        <v>0</v>
      </c>
      <c r="J96" s="125">
        <f>ROUND(I96*Valores!$C$2,2)</f>
        <v>0</v>
      </c>
      <c r="K96" s="192">
        <v>0</v>
      </c>
      <c r="L96" s="125">
        <f>ROUND(K96*Valores!$C$2,2)</f>
        <v>0</v>
      </c>
      <c r="M96" s="125">
        <f>ROUND(IF($H$2=0,IF(AND(A96&lt;&gt;"13-930",A96&lt;&gt;"13-940"),(SUM(F96,H96,J96,L96,X96,T96,R96)*Valores!$C$4),0),0),2)</f>
        <v>46292.72</v>
      </c>
      <c r="N96" s="125">
        <f t="shared" si="11"/>
        <v>0</v>
      </c>
      <c r="O96" s="125">
        <f>Valores!$C$8</f>
        <v>68242.23</v>
      </c>
      <c r="P96" s="125">
        <f>Valores!$D$5</f>
        <v>27834.84</v>
      </c>
      <c r="Q96" s="125">
        <v>0</v>
      </c>
      <c r="R96" s="125">
        <f>IF($F$4="NO",Valores!$C$44,Valores!$C$44/2)</f>
        <v>19335.33</v>
      </c>
      <c r="S96" s="125">
        <f>Valores!$C$19</f>
        <v>25899.06</v>
      </c>
      <c r="T96" s="125">
        <f t="shared" si="17"/>
        <v>25899.06</v>
      </c>
      <c r="U96" s="125">
        <v>0</v>
      </c>
      <c r="V96" s="125">
        <v>0</v>
      </c>
      <c r="W96" s="192">
        <v>0</v>
      </c>
      <c r="X96" s="125">
        <f>ROUND(W96*Valores!$C$2,2)</f>
        <v>0</v>
      </c>
      <c r="Y96" s="125">
        <v>0</v>
      </c>
      <c r="Z96" s="125">
        <f>Valores!$C$94</f>
        <v>38113.67</v>
      </c>
      <c r="AA96" s="125">
        <f>Valores!$C$25</f>
        <v>1138.39</v>
      </c>
      <c r="AB96" s="214">
        <v>0</v>
      </c>
      <c r="AC96" s="125">
        <f t="shared" si="12"/>
        <v>0</v>
      </c>
      <c r="AD96" s="125">
        <f>Valores!$C$26</f>
        <v>1138.39</v>
      </c>
      <c r="AE96" s="192">
        <v>0</v>
      </c>
      <c r="AF96" s="125">
        <f>ROUND(AE96*Valores!$C$2,2)</f>
        <v>0</v>
      </c>
      <c r="AG96" s="125">
        <f>ROUND(IF($F$4="NO",Valores!$C$63,Valores!$C$63/2),2)</f>
        <v>13014.72</v>
      </c>
      <c r="AH96" s="125">
        <f t="shared" si="15"/>
        <v>380945.85000000003</v>
      </c>
      <c r="AI96" s="125">
        <f>Valores!$C$31</f>
        <v>0</v>
      </c>
      <c r="AJ96" s="125">
        <f>Valores!$C$87</f>
        <v>0</v>
      </c>
      <c r="AK96" s="125">
        <f>Valores!C$38*B96</f>
        <v>0</v>
      </c>
      <c r="AL96" s="125">
        <f>IF($F$3="NO",0,Valores!$C$56)</f>
        <v>170.34</v>
      </c>
      <c r="AM96" s="125">
        <f t="shared" si="13"/>
        <v>170.34</v>
      </c>
      <c r="AN96" s="125">
        <f>AH96*Valores!$C$71</f>
        <v>-41904.04350000001</v>
      </c>
      <c r="AO96" s="125">
        <f>AH96*-Valores!$C$72</f>
        <v>0</v>
      </c>
      <c r="AP96" s="125">
        <f>AH96*Valores!$C$73</f>
        <v>-17142.56325</v>
      </c>
      <c r="AQ96" s="125">
        <f>Valores!$C$100</f>
        <v>-554.86</v>
      </c>
      <c r="AR96" s="125">
        <f>IF($F$5=0,Valores!$C$101,(Valores!$C$101+$F$5*(Valores!$C$101)))</f>
        <v>-852</v>
      </c>
      <c r="AS96" s="125">
        <f t="shared" si="16"/>
        <v>320662.72325000004</v>
      </c>
      <c r="AT96" s="125">
        <f t="shared" si="10"/>
        <v>-41904.04350000001</v>
      </c>
      <c r="AU96" s="125">
        <f>AH96*Valores!$C$74</f>
        <v>-10285.537950000002</v>
      </c>
      <c r="AV96" s="125">
        <f>AH96*Valores!$C$75</f>
        <v>-1142.8375500000002</v>
      </c>
      <c r="AW96" s="125">
        <f t="shared" si="14"/>
        <v>327783.77100000007</v>
      </c>
      <c r="AX96" s="126"/>
      <c r="AY96" s="126">
        <v>25</v>
      </c>
      <c r="AZ96" s="123" t="s">
        <v>8</v>
      </c>
    </row>
    <row r="97" spans="1:52" s="110" customFormat="1" ht="11.25" customHeight="1">
      <c r="A97" s="123" t="s">
        <v>284</v>
      </c>
      <c r="B97" s="123">
        <v>1</v>
      </c>
      <c r="C97" s="126">
        <v>90</v>
      </c>
      <c r="D97" s="124" t="s">
        <v>285</v>
      </c>
      <c r="E97" s="192">
        <v>89</v>
      </c>
      <c r="F97" s="125">
        <f>ROUND(E97*Valores!$C$2,2)</f>
        <v>4846.05</v>
      </c>
      <c r="G97" s="192">
        <v>2381</v>
      </c>
      <c r="H97" s="125">
        <f>ROUND(G97*Valores!$C$2,2)</f>
        <v>129645.45</v>
      </c>
      <c r="I97" s="192">
        <v>0</v>
      </c>
      <c r="J97" s="125">
        <f>ROUND(I97*Valores!$C$2,2)</f>
        <v>0</v>
      </c>
      <c r="K97" s="192">
        <v>0</v>
      </c>
      <c r="L97" s="125">
        <f>ROUND(K97*Valores!$C$2,2)</f>
        <v>0</v>
      </c>
      <c r="M97" s="125">
        <f>ROUND(IF($H$2=0,IF(AND(A97&lt;&gt;"13-930",A97&lt;&gt;"13-940"),(SUM(F97,H97,J97,L97,X97,T97,R97)*Valores!$C$4),0),0),2)</f>
        <v>44931.47</v>
      </c>
      <c r="N97" s="125">
        <f t="shared" si="11"/>
        <v>0</v>
      </c>
      <c r="O97" s="125">
        <f>Valores!$C$16</f>
        <v>47048.8</v>
      </c>
      <c r="P97" s="125">
        <f>Valores!$D$5</f>
        <v>27834.84</v>
      </c>
      <c r="Q97" s="125">
        <f>Valores!$C$22</f>
        <v>24831.49</v>
      </c>
      <c r="R97" s="125">
        <f>IF($F$4="NO",Valores!$C$44,Valores!$C$44/2)</f>
        <v>19335.33</v>
      </c>
      <c r="S97" s="125">
        <f>Valores!$C$19</f>
        <v>25899.06</v>
      </c>
      <c r="T97" s="125">
        <f t="shared" si="17"/>
        <v>25899.06</v>
      </c>
      <c r="U97" s="125">
        <v>0</v>
      </c>
      <c r="V97" s="125">
        <v>0</v>
      </c>
      <c r="W97" s="192">
        <v>0</v>
      </c>
      <c r="X97" s="125">
        <f>ROUND(W97*Valores!$C$2,2)</f>
        <v>0</v>
      </c>
      <c r="Y97" s="125">
        <v>0</v>
      </c>
      <c r="Z97" s="125">
        <f>Valores!$C$94</f>
        <v>38113.67</v>
      </c>
      <c r="AA97" s="125">
        <f>Valores!$C$25</f>
        <v>1138.39</v>
      </c>
      <c r="AB97" s="214">
        <v>0</v>
      </c>
      <c r="AC97" s="125">
        <f t="shared" si="12"/>
        <v>0</v>
      </c>
      <c r="AD97" s="125">
        <f>Valores!$C$26</f>
        <v>1138.39</v>
      </c>
      <c r="AE97" s="192">
        <v>0</v>
      </c>
      <c r="AF97" s="125">
        <f>ROUND(AE97*Valores!$C$2,2)</f>
        <v>0</v>
      </c>
      <c r="AG97" s="125">
        <f>ROUND(IF($F$4="NO",Valores!$C$63,Valores!$C$63/2),2)</f>
        <v>13014.72</v>
      </c>
      <c r="AH97" s="125">
        <f t="shared" si="15"/>
        <v>377777.66000000003</v>
      </c>
      <c r="AI97" s="125">
        <f>Valores!$C$31</f>
        <v>0</v>
      </c>
      <c r="AJ97" s="125">
        <f>Valores!$C$87</f>
        <v>0</v>
      </c>
      <c r="AK97" s="125">
        <f>Valores!C$38*B97</f>
        <v>0</v>
      </c>
      <c r="AL97" s="125">
        <f>IF($F$3="NO",0,Valores!$C$56)</f>
        <v>170.34</v>
      </c>
      <c r="AM97" s="125">
        <f t="shared" si="13"/>
        <v>170.34</v>
      </c>
      <c r="AN97" s="125">
        <f>AH97*Valores!$C$71</f>
        <v>-41555.5426</v>
      </c>
      <c r="AO97" s="125">
        <f>AH97*-Valores!$C$72</f>
        <v>0</v>
      </c>
      <c r="AP97" s="125">
        <f>AH97*Valores!$C$73</f>
        <v>-16999.9947</v>
      </c>
      <c r="AQ97" s="125">
        <f>Valores!$C$100</f>
        <v>-554.86</v>
      </c>
      <c r="AR97" s="125">
        <f>IF($F$5=0,Valores!$C$101,(Valores!$C$101+$F$5*(Valores!$C$101)))</f>
        <v>-852</v>
      </c>
      <c r="AS97" s="125">
        <f t="shared" si="16"/>
        <v>317985.60270000005</v>
      </c>
      <c r="AT97" s="125">
        <f t="shared" si="10"/>
        <v>-41555.5426</v>
      </c>
      <c r="AU97" s="125">
        <f>AH97*Valores!$C$74</f>
        <v>-10199.99682</v>
      </c>
      <c r="AV97" s="125">
        <f>AH97*Valores!$C$75</f>
        <v>-1133.3329800000001</v>
      </c>
      <c r="AW97" s="125">
        <f t="shared" si="14"/>
        <v>325059.12760000007</v>
      </c>
      <c r="AX97" s="126"/>
      <c r="AY97" s="126">
        <v>25</v>
      </c>
      <c r="AZ97" s="123" t="s">
        <v>4</v>
      </c>
    </row>
    <row r="98" spans="1:52" s="110" customFormat="1" ht="11.25" customHeight="1">
      <c r="A98" s="123" t="s">
        <v>286</v>
      </c>
      <c r="B98" s="123">
        <v>1</v>
      </c>
      <c r="C98" s="126">
        <v>91</v>
      </c>
      <c r="D98" s="124" t="s">
        <v>287</v>
      </c>
      <c r="E98" s="192">
        <v>89</v>
      </c>
      <c r="F98" s="125">
        <f>ROUND(E98*Valores!$C$2,2)</f>
        <v>4846.05</v>
      </c>
      <c r="G98" s="192">
        <v>1768</v>
      </c>
      <c r="H98" s="125">
        <f>ROUND(G98*Valores!$C$2,2)</f>
        <v>96267.6</v>
      </c>
      <c r="I98" s="192">
        <v>0</v>
      </c>
      <c r="J98" s="125">
        <f>ROUND(I98*Valores!$C$2,2)</f>
        <v>0</v>
      </c>
      <c r="K98" s="192">
        <v>0</v>
      </c>
      <c r="L98" s="125">
        <f>ROUND(K98*Valores!$C$2,2)</f>
        <v>0</v>
      </c>
      <c r="M98" s="125">
        <f>ROUND(IF($H$2=0,IF(AND(A98&lt;&gt;"13-930",A98&lt;&gt;"13-940"),(SUM(F98,H98,J98,L98,X98,T98,R98)*Valores!$C$4),0),0),2)</f>
        <v>36587.01</v>
      </c>
      <c r="N98" s="125">
        <f t="shared" si="11"/>
        <v>0</v>
      </c>
      <c r="O98" s="125">
        <f>Valores!$C$16</f>
        <v>47048.8</v>
      </c>
      <c r="P98" s="125">
        <f>Valores!$D$5</f>
        <v>27834.84</v>
      </c>
      <c r="Q98" s="125">
        <f>Valores!$C$22</f>
        <v>24831.49</v>
      </c>
      <c r="R98" s="125">
        <f>IF($F$4="NO",Valores!$C$44,Valores!$C$44/2)</f>
        <v>19335.33</v>
      </c>
      <c r="S98" s="125">
        <f>Valores!$C$19</f>
        <v>25899.06</v>
      </c>
      <c r="T98" s="125">
        <f t="shared" si="17"/>
        <v>25899.06</v>
      </c>
      <c r="U98" s="125">
        <v>0</v>
      </c>
      <c r="V98" s="125">
        <v>0</v>
      </c>
      <c r="W98" s="192">
        <v>0</v>
      </c>
      <c r="X98" s="125">
        <f>ROUND(W98*Valores!$C$2,2)</f>
        <v>0</v>
      </c>
      <c r="Y98" s="125">
        <v>0</v>
      </c>
      <c r="Z98" s="125">
        <f>Valores!$C$94</f>
        <v>38113.67</v>
      </c>
      <c r="AA98" s="125">
        <f>Valores!$C$25</f>
        <v>1138.39</v>
      </c>
      <c r="AB98" s="214">
        <v>0</v>
      </c>
      <c r="AC98" s="125">
        <f t="shared" si="12"/>
        <v>0</v>
      </c>
      <c r="AD98" s="125">
        <f>Valores!$C$26</f>
        <v>1138.39</v>
      </c>
      <c r="AE98" s="192">
        <v>0</v>
      </c>
      <c r="AF98" s="125">
        <f>ROUND(AE98*Valores!$C$2,2)</f>
        <v>0</v>
      </c>
      <c r="AG98" s="125">
        <f>ROUND(IF($F$4="NO",Valores!$C$63,Valores!$C$63/2),2)</f>
        <v>13014.72</v>
      </c>
      <c r="AH98" s="125">
        <f t="shared" si="15"/>
        <v>336055.35</v>
      </c>
      <c r="AI98" s="125">
        <f>Valores!$C$31</f>
        <v>0</v>
      </c>
      <c r="AJ98" s="125">
        <f>Valores!$C$87</f>
        <v>0</v>
      </c>
      <c r="AK98" s="125">
        <f>Valores!C$38*B98</f>
        <v>0</v>
      </c>
      <c r="AL98" s="125">
        <f>IF($F$3="NO",0,Valores!$C$56)</f>
        <v>170.34</v>
      </c>
      <c r="AM98" s="125">
        <f t="shared" si="13"/>
        <v>170.34</v>
      </c>
      <c r="AN98" s="125">
        <f>AH98*Valores!$C$71</f>
        <v>-36966.0885</v>
      </c>
      <c r="AO98" s="125">
        <f>AH98*-Valores!$C$72</f>
        <v>0</v>
      </c>
      <c r="AP98" s="125">
        <f>AH98*Valores!$C$73</f>
        <v>-15122.490749999999</v>
      </c>
      <c r="AQ98" s="125">
        <f>Valores!$C$100</f>
        <v>-554.86</v>
      </c>
      <c r="AR98" s="125">
        <f>IF($F$5=0,Valores!$C$101,(Valores!$C$101+$F$5*(Valores!$C$101)))</f>
        <v>-852</v>
      </c>
      <c r="AS98" s="125">
        <f t="shared" si="16"/>
        <v>282730.25075</v>
      </c>
      <c r="AT98" s="125">
        <f t="shared" si="10"/>
        <v>-36966.0885</v>
      </c>
      <c r="AU98" s="125">
        <f>AH98*Valores!$C$74</f>
        <v>-9073.49445</v>
      </c>
      <c r="AV98" s="125">
        <f>AH98*Valores!$C$75</f>
        <v>-1008.1660499999999</v>
      </c>
      <c r="AW98" s="125">
        <f t="shared" si="14"/>
        <v>289177.941</v>
      </c>
      <c r="AX98" s="126"/>
      <c r="AY98" s="126">
        <v>25</v>
      </c>
      <c r="AZ98" s="123" t="s">
        <v>4</v>
      </c>
    </row>
    <row r="99" spans="1:52" s="110" customFormat="1" ht="11.25" customHeight="1">
      <c r="A99" s="123" t="s">
        <v>288</v>
      </c>
      <c r="B99" s="123">
        <v>1</v>
      </c>
      <c r="C99" s="126">
        <v>92</v>
      </c>
      <c r="D99" s="124" t="s">
        <v>289</v>
      </c>
      <c r="E99" s="192">
        <v>89</v>
      </c>
      <c r="F99" s="125">
        <f>ROUND(E99*Valores!$C$2,2)</f>
        <v>4846.05</v>
      </c>
      <c r="G99" s="192">
        <v>1768</v>
      </c>
      <c r="H99" s="125">
        <f>ROUND(G99*Valores!$C$2,2)</f>
        <v>96267.6</v>
      </c>
      <c r="I99" s="192">
        <v>0</v>
      </c>
      <c r="J99" s="125">
        <f>ROUND(I99*Valores!$C$2,2)</f>
        <v>0</v>
      </c>
      <c r="K99" s="192">
        <v>0</v>
      </c>
      <c r="L99" s="125">
        <f>ROUND(K99*Valores!$C$2,2)</f>
        <v>0</v>
      </c>
      <c r="M99" s="125">
        <f>ROUND(IF($H$2=0,IF(AND(A99&lt;&gt;"13-930",A99&lt;&gt;"13-940"),(SUM(F99,H99,J99,L99,X99,T99,R99)*Valores!$C$4),0),0),2)</f>
        <v>36587.01</v>
      </c>
      <c r="N99" s="125">
        <f t="shared" si="11"/>
        <v>0</v>
      </c>
      <c r="O99" s="125">
        <f>Valores!$C$8</f>
        <v>68242.23</v>
      </c>
      <c r="P99" s="125">
        <f>Valores!$D$5</f>
        <v>27834.84</v>
      </c>
      <c r="Q99" s="125">
        <f>Valores!$C$22</f>
        <v>24831.49</v>
      </c>
      <c r="R99" s="125">
        <f>IF($F$4="NO",Valores!$C$44,Valores!$C$44/2)</f>
        <v>19335.33</v>
      </c>
      <c r="S99" s="125">
        <f>Valores!$C$19</f>
        <v>25899.06</v>
      </c>
      <c r="T99" s="125">
        <f t="shared" si="17"/>
        <v>25899.06</v>
      </c>
      <c r="U99" s="125">
        <v>0</v>
      </c>
      <c r="V99" s="125">
        <v>0</v>
      </c>
      <c r="W99" s="192">
        <v>0</v>
      </c>
      <c r="X99" s="125">
        <f>ROUND(W99*Valores!$C$2,2)</f>
        <v>0</v>
      </c>
      <c r="Y99" s="125">
        <v>0</v>
      </c>
      <c r="Z99" s="125">
        <f>Valores!$C$94</f>
        <v>38113.67</v>
      </c>
      <c r="AA99" s="125">
        <f>Valores!$C$25</f>
        <v>1138.39</v>
      </c>
      <c r="AB99" s="214">
        <v>0</v>
      </c>
      <c r="AC99" s="125">
        <f t="shared" si="12"/>
        <v>0</v>
      </c>
      <c r="AD99" s="125">
        <f>Valores!$C$26</f>
        <v>1138.39</v>
      </c>
      <c r="AE99" s="192">
        <v>0</v>
      </c>
      <c r="AF99" s="125">
        <f>ROUND(AE99*Valores!$C$2,2)</f>
        <v>0</v>
      </c>
      <c r="AG99" s="125">
        <f>ROUND(IF($F$4="NO",Valores!$C$63,Valores!$C$63/2),2)</f>
        <v>13014.72</v>
      </c>
      <c r="AH99" s="125">
        <f t="shared" si="15"/>
        <v>357248.77999999997</v>
      </c>
      <c r="AI99" s="125">
        <f>Valores!$C$31</f>
        <v>0</v>
      </c>
      <c r="AJ99" s="125">
        <f>Valores!$C$87</f>
        <v>0</v>
      </c>
      <c r="AK99" s="125">
        <f>Valores!C$38*B99</f>
        <v>0</v>
      </c>
      <c r="AL99" s="125">
        <f>IF($F$3="NO",0,Valores!$C$56)</f>
        <v>170.34</v>
      </c>
      <c r="AM99" s="125">
        <f t="shared" si="13"/>
        <v>170.34</v>
      </c>
      <c r="AN99" s="125">
        <f>AH99*Valores!$C$71</f>
        <v>-39297.3658</v>
      </c>
      <c r="AO99" s="125">
        <f>AH99*-Valores!$C$72</f>
        <v>0</v>
      </c>
      <c r="AP99" s="125">
        <f>AH99*Valores!$C$73</f>
        <v>-16076.195099999997</v>
      </c>
      <c r="AQ99" s="125">
        <f>Valores!$C$100</f>
        <v>-554.86</v>
      </c>
      <c r="AR99" s="125">
        <f>IF($F$5=0,Valores!$C$101,(Valores!$C$101+$F$5*(Valores!$C$101)))</f>
        <v>-852</v>
      </c>
      <c r="AS99" s="125">
        <f t="shared" si="16"/>
        <v>300638.69909999997</v>
      </c>
      <c r="AT99" s="125">
        <f t="shared" si="10"/>
        <v>-39297.3658</v>
      </c>
      <c r="AU99" s="125">
        <f>AH99*Valores!$C$74</f>
        <v>-9645.717059999999</v>
      </c>
      <c r="AV99" s="125">
        <f>AH99*Valores!$C$75</f>
        <v>-1071.74634</v>
      </c>
      <c r="AW99" s="125">
        <f t="shared" si="14"/>
        <v>307404.2908</v>
      </c>
      <c r="AX99" s="126"/>
      <c r="AY99" s="126"/>
      <c r="AZ99" s="123" t="s">
        <v>4</v>
      </c>
    </row>
    <row r="100" spans="1:52" s="110" customFormat="1" ht="11.25" customHeight="1">
      <c r="A100" s="123" t="s">
        <v>290</v>
      </c>
      <c r="B100" s="123">
        <v>1</v>
      </c>
      <c r="C100" s="126">
        <v>93</v>
      </c>
      <c r="D100" s="124" t="s">
        <v>291</v>
      </c>
      <c r="E100" s="192">
        <v>89</v>
      </c>
      <c r="F100" s="125">
        <f>ROUND(E100*Valores!$C$2,2)</f>
        <v>4846.05</v>
      </c>
      <c r="G100" s="192">
        <v>2211</v>
      </c>
      <c r="H100" s="125">
        <f>ROUND(G100*Valores!$C$2,2)</f>
        <v>120388.95</v>
      </c>
      <c r="I100" s="192">
        <v>0</v>
      </c>
      <c r="J100" s="125">
        <f>ROUND(I100*Valores!$C$2,2)</f>
        <v>0</v>
      </c>
      <c r="K100" s="192">
        <v>0</v>
      </c>
      <c r="L100" s="125">
        <f>ROUND(K100*Valores!$C$2,2)</f>
        <v>0</v>
      </c>
      <c r="M100" s="125">
        <f>ROUND(IF($H$2=0,IF(AND(A100&lt;&gt;"13-930",A100&lt;&gt;"13-940"),(SUM(F100,H100,J100,L100,X100,T100,R100)*Valores!$C$4),0),0),2)</f>
        <v>42617.35</v>
      </c>
      <c r="N100" s="125">
        <f t="shared" si="11"/>
        <v>0</v>
      </c>
      <c r="O100" s="125">
        <f>Valores!$C$8</f>
        <v>68242.23</v>
      </c>
      <c r="P100" s="125">
        <f>Valores!$D$5</f>
        <v>27834.84</v>
      </c>
      <c r="Q100" s="125">
        <f>Valores!$C$22</f>
        <v>24831.49</v>
      </c>
      <c r="R100" s="125">
        <f>IF($F$4="NO",Valores!$C$44,Valores!$C$44/2)</f>
        <v>19335.33</v>
      </c>
      <c r="S100" s="125">
        <f>Valores!$C$19</f>
        <v>25899.06</v>
      </c>
      <c r="T100" s="125">
        <f t="shared" si="17"/>
        <v>25899.06</v>
      </c>
      <c r="U100" s="125">
        <v>0</v>
      </c>
      <c r="V100" s="125">
        <v>0</v>
      </c>
      <c r="W100" s="192">
        <v>0</v>
      </c>
      <c r="X100" s="125">
        <f>ROUND(W100*Valores!$C$2,2)</f>
        <v>0</v>
      </c>
      <c r="Y100" s="125">
        <v>0</v>
      </c>
      <c r="Z100" s="125">
        <f>Valores!$C$94</f>
        <v>38113.67</v>
      </c>
      <c r="AA100" s="125">
        <f>Valores!$C$25</f>
        <v>1138.39</v>
      </c>
      <c r="AB100" s="214">
        <v>0</v>
      </c>
      <c r="AC100" s="125">
        <f t="shared" si="12"/>
        <v>0</v>
      </c>
      <c r="AD100" s="125">
        <f>Valores!$C$26</f>
        <v>1138.39</v>
      </c>
      <c r="AE100" s="192">
        <v>0</v>
      </c>
      <c r="AF100" s="125">
        <f>ROUND(AE100*Valores!$C$2,2)</f>
        <v>0</v>
      </c>
      <c r="AG100" s="125">
        <f>ROUND(IF($F$4="NO",Valores!$C$63,Valores!$C$63/2),2)</f>
        <v>13014.72</v>
      </c>
      <c r="AH100" s="125">
        <f t="shared" si="15"/>
        <v>387400.47000000003</v>
      </c>
      <c r="AI100" s="125">
        <f>Valores!$C$31</f>
        <v>0</v>
      </c>
      <c r="AJ100" s="125">
        <f>Valores!$C$87</f>
        <v>0</v>
      </c>
      <c r="AK100" s="125">
        <f>Valores!C$38*B100</f>
        <v>0</v>
      </c>
      <c r="AL100" s="125">
        <f>IF($F$3="NO",0,Valores!$C$56)</f>
        <v>170.34</v>
      </c>
      <c r="AM100" s="125">
        <f t="shared" si="13"/>
        <v>170.34</v>
      </c>
      <c r="AN100" s="125">
        <f>AH100*Valores!$C$71</f>
        <v>-42614.0517</v>
      </c>
      <c r="AO100" s="125">
        <f>AH100*-Valores!$C$72</f>
        <v>0</v>
      </c>
      <c r="AP100" s="125">
        <f>AH100*Valores!$C$73</f>
        <v>-17433.02115</v>
      </c>
      <c r="AQ100" s="125">
        <f>Valores!$C$100</f>
        <v>-554.86</v>
      </c>
      <c r="AR100" s="125">
        <f>IF($F$5=0,Valores!$C$101,(Valores!$C$101+$F$5*(Valores!$C$101)))</f>
        <v>-852</v>
      </c>
      <c r="AS100" s="125">
        <f t="shared" si="16"/>
        <v>326116.87715</v>
      </c>
      <c r="AT100" s="125">
        <f t="shared" si="10"/>
        <v>-42614.0517</v>
      </c>
      <c r="AU100" s="125">
        <f>AH100*Valores!$C$74</f>
        <v>-10459.81269</v>
      </c>
      <c r="AV100" s="125">
        <f>AH100*Valores!$C$75</f>
        <v>-1162.2014100000001</v>
      </c>
      <c r="AW100" s="125">
        <f t="shared" si="14"/>
        <v>333334.7442000001</v>
      </c>
      <c r="AX100" s="126"/>
      <c r="AY100" s="126"/>
      <c r="AZ100" s="123" t="s">
        <v>4</v>
      </c>
    </row>
    <row r="101" spans="1:52" s="110" customFormat="1" ht="11.25" customHeight="1">
      <c r="A101" s="123" t="s">
        <v>292</v>
      </c>
      <c r="B101" s="123">
        <v>1</v>
      </c>
      <c r="C101" s="126">
        <v>94</v>
      </c>
      <c r="D101" s="124" t="s">
        <v>293</v>
      </c>
      <c r="E101" s="192">
        <v>89</v>
      </c>
      <c r="F101" s="125">
        <f>ROUND(E101*Valores!$C$2,2)</f>
        <v>4846.05</v>
      </c>
      <c r="G101" s="192">
        <v>1956</v>
      </c>
      <c r="H101" s="125">
        <f>ROUND(G101*Valores!$C$2,2)</f>
        <v>106504.2</v>
      </c>
      <c r="I101" s="192">
        <v>0</v>
      </c>
      <c r="J101" s="125">
        <f>ROUND(I101*Valores!$C$2,2)</f>
        <v>0</v>
      </c>
      <c r="K101" s="192">
        <v>0</v>
      </c>
      <c r="L101" s="125">
        <f>ROUND(K101*Valores!$C$2,2)</f>
        <v>0</v>
      </c>
      <c r="M101" s="125">
        <f>ROUND(IF($H$2=0,IF(AND(A101&lt;&gt;"13-930",A101&lt;&gt;"13-940"),(SUM(F101,H101,J101,L101,X101,T101,R101)*Valores!$C$4),0),0),2)</f>
        <v>39146.16</v>
      </c>
      <c r="N101" s="125">
        <f t="shared" si="11"/>
        <v>0</v>
      </c>
      <c r="O101" s="125">
        <f>Valores!$C$16</f>
        <v>47048.8</v>
      </c>
      <c r="P101" s="125">
        <f>Valores!$D$5</f>
        <v>27834.84</v>
      </c>
      <c r="Q101" s="125">
        <v>0</v>
      </c>
      <c r="R101" s="125">
        <f>IF($F$4="NO",Valores!$C$44,Valores!$C$44/2)</f>
        <v>19335.33</v>
      </c>
      <c r="S101" s="125">
        <f>Valores!$C$19</f>
        <v>25899.06</v>
      </c>
      <c r="T101" s="125">
        <f t="shared" si="17"/>
        <v>25899.06</v>
      </c>
      <c r="U101" s="125">
        <v>0</v>
      </c>
      <c r="V101" s="125">
        <v>0</v>
      </c>
      <c r="W101" s="192">
        <v>0</v>
      </c>
      <c r="X101" s="125">
        <f>ROUND(W101*Valores!$C$2,2)</f>
        <v>0</v>
      </c>
      <c r="Y101" s="125">
        <v>0</v>
      </c>
      <c r="Z101" s="125">
        <f>Valores!$C$94</f>
        <v>38113.67</v>
      </c>
      <c r="AA101" s="125">
        <f>Valores!$C$25</f>
        <v>1138.39</v>
      </c>
      <c r="AB101" s="214">
        <v>0</v>
      </c>
      <c r="AC101" s="125">
        <f t="shared" si="12"/>
        <v>0</v>
      </c>
      <c r="AD101" s="125">
        <f>Valores!$C$26</f>
        <v>1138.39</v>
      </c>
      <c r="AE101" s="192">
        <v>0</v>
      </c>
      <c r="AF101" s="125">
        <f>ROUND(AE101*Valores!$C$2,2)</f>
        <v>0</v>
      </c>
      <c r="AG101" s="125">
        <f>ROUND(IF($F$4="NO",Valores!$C$63,Valores!$C$63/2),2)</f>
        <v>13014.72</v>
      </c>
      <c r="AH101" s="125">
        <f t="shared" si="15"/>
        <v>324019.61</v>
      </c>
      <c r="AI101" s="125">
        <f>Valores!$C$31</f>
        <v>0</v>
      </c>
      <c r="AJ101" s="125">
        <f>Valores!$C$87</f>
        <v>0</v>
      </c>
      <c r="AK101" s="125">
        <f>Valores!C$38*B101</f>
        <v>0</v>
      </c>
      <c r="AL101" s="125">
        <f>IF($F$3="NO",0,Valores!$C$56)</f>
        <v>170.34</v>
      </c>
      <c r="AM101" s="125">
        <f t="shared" si="13"/>
        <v>170.34</v>
      </c>
      <c r="AN101" s="125">
        <f>AH101*Valores!$C$71</f>
        <v>-35642.1571</v>
      </c>
      <c r="AO101" s="125">
        <f>AH101*-Valores!$C$72</f>
        <v>0</v>
      </c>
      <c r="AP101" s="125">
        <f>AH101*Valores!$C$73</f>
        <v>-14580.88245</v>
      </c>
      <c r="AQ101" s="125">
        <f>Valores!$C$100</f>
        <v>-554.86</v>
      </c>
      <c r="AR101" s="125">
        <f>IF($F$5=0,Valores!$C$101,(Valores!$C$101+$F$5*(Valores!$C$101)))</f>
        <v>-852</v>
      </c>
      <c r="AS101" s="125">
        <f t="shared" si="16"/>
        <v>272560.05045</v>
      </c>
      <c r="AT101" s="125">
        <f t="shared" si="10"/>
        <v>-35642.1571</v>
      </c>
      <c r="AU101" s="125">
        <f>AH101*Valores!$C$74</f>
        <v>-8748.52947</v>
      </c>
      <c r="AV101" s="125">
        <f>AH101*Valores!$C$75</f>
        <v>-972.05883</v>
      </c>
      <c r="AW101" s="125">
        <f t="shared" si="14"/>
        <v>278827.2046</v>
      </c>
      <c r="AX101" s="126"/>
      <c r="AY101" s="126"/>
      <c r="AZ101" s="123" t="s">
        <v>8</v>
      </c>
    </row>
    <row r="102" spans="1:52" s="110" customFormat="1" ht="11.25" customHeight="1">
      <c r="A102" s="123" t="s">
        <v>294</v>
      </c>
      <c r="B102" s="123">
        <v>1</v>
      </c>
      <c r="C102" s="126">
        <v>95</v>
      </c>
      <c r="D102" s="124" t="s">
        <v>295</v>
      </c>
      <c r="E102" s="192">
        <v>89</v>
      </c>
      <c r="F102" s="125">
        <f>ROUND(E102*Valores!$C$2,2)</f>
        <v>4846.05</v>
      </c>
      <c r="G102" s="192">
        <v>1267</v>
      </c>
      <c r="H102" s="125">
        <f>ROUND(G102*Valores!$C$2,2)</f>
        <v>68988.15</v>
      </c>
      <c r="I102" s="192">
        <v>0</v>
      </c>
      <c r="J102" s="125">
        <f>ROUND(I102*Valores!$C$2,2)</f>
        <v>0</v>
      </c>
      <c r="K102" s="192">
        <v>0</v>
      </c>
      <c r="L102" s="125">
        <f>ROUND(K102*Valores!$C$2,2)</f>
        <v>0</v>
      </c>
      <c r="M102" s="125">
        <f>ROUND(IF($H$2=0,IF(AND(A102&lt;&gt;"13-930",A102&lt;&gt;"13-940"),(SUM(F102,H102,J102,L102,X102,T102,R102)*Valores!$C$4),0),0),2)</f>
        <v>29767.15</v>
      </c>
      <c r="N102" s="125">
        <f t="shared" si="11"/>
        <v>0</v>
      </c>
      <c r="O102" s="125">
        <f>Valores!$C$16</f>
        <v>47048.8</v>
      </c>
      <c r="P102" s="125">
        <f>Valores!$D$5</f>
        <v>27834.84</v>
      </c>
      <c r="Q102" s="125">
        <v>0</v>
      </c>
      <c r="R102" s="125">
        <f>IF($F$4="NO",Valores!$C$44,Valores!$C$44/2)</f>
        <v>19335.33</v>
      </c>
      <c r="S102" s="125">
        <f>Valores!$C$19</f>
        <v>25899.06</v>
      </c>
      <c r="T102" s="125">
        <f t="shared" si="17"/>
        <v>25899.06</v>
      </c>
      <c r="U102" s="125">
        <v>0</v>
      </c>
      <c r="V102" s="125">
        <v>0</v>
      </c>
      <c r="W102" s="192">
        <v>0</v>
      </c>
      <c r="X102" s="125">
        <f>ROUND(W102*Valores!$C$2,2)</f>
        <v>0</v>
      </c>
      <c r="Y102" s="125">
        <v>0</v>
      </c>
      <c r="Z102" s="125">
        <f>Valores!$C$94</f>
        <v>38113.67</v>
      </c>
      <c r="AA102" s="125">
        <f>Valores!$C$25</f>
        <v>1138.39</v>
      </c>
      <c r="AB102" s="214">
        <v>0</v>
      </c>
      <c r="AC102" s="125">
        <f t="shared" si="12"/>
        <v>0</v>
      </c>
      <c r="AD102" s="125">
        <f>Valores!$C$26</f>
        <v>1138.39</v>
      </c>
      <c r="AE102" s="192">
        <v>0</v>
      </c>
      <c r="AF102" s="125">
        <f>ROUND(AE102*Valores!$C$2,2)</f>
        <v>0</v>
      </c>
      <c r="AG102" s="125">
        <f>ROUND(IF($F$4="NO",Valores!$C$63,Valores!$C$63/2),2)</f>
        <v>13014.72</v>
      </c>
      <c r="AH102" s="125">
        <f t="shared" si="15"/>
        <v>277124.55</v>
      </c>
      <c r="AI102" s="125">
        <f>Valores!$C$31</f>
        <v>0</v>
      </c>
      <c r="AJ102" s="125">
        <f>Valores!$C$87</f>
        <v>0</v>
      </c>
      <c r="AK102" s="125">
        <f>Valores!C$38*B102</f>
        <v>0</v>
      </c>
      <c r="AL102" s="125">
        <f>IF($F$3="NO",0,Valores!$C$56)</f>
        <v>170.34</v>
      </c>
      <c r="AM102" s="125">
        <f t="shared" si="13"/>
        <v>170.34</v>
      </c>
      <c r="AN102" s="125">
        <f>AH102*Valores!$C$71</f>
        <v>-30483.7005</v>
      </c>
      <c r="AO102" s="125">
        <f>AH102*-Valores!$C$72</f>
        <v>0</v>
      </c>
      <c r="AP102" s="125">
        <f>AH102*Valores!$C$73</f>
        <v>-12470.604749999999</v>
      </c>
      <c r="AQ102" s="125">
        <f>Valores!$C$100</f>
        <v>-554.86</v>
      </c>
      <c r="AR102" s="125">
        <f>IF($F$5=0,Valores!$C$101,(Valores!$C$101+$F$5*(Valores!$C$101)))</f>
        <v>-852</v>
      </c>
      <c r="AS102" s="125">
        <f t="shared" si="16"/>
        <v>232933.72475</v>
      </c>
      <c r="AT102" s="125">
        <f t="shared" si="10"/>
        <v>-30483.7005</v>
      </c>
      <c r="AU102" s="125">
        <f>AH102*Valores!$C$74</f>
        <v>-7482.3628499999995</v>
      </c>
      <c r="AV102" s="125">
        <f>AH102*Valores!$C$75</f>
        <v>-831.37365</v>
      </c>
      <c r="AW102" s="125">
        <f t="shared" si="14"/>
        <v>238497.453</v>
      </c>
      <c r="AX102" s="126"/>
      <c r="AY102" s="126"/>
      <c r="AZ102" s="123" t="s">
        <v>8</v>
      </c>
    </row>
    <row r="103" spans="1:52" s="110" customFormat="1" ht="11.25" customHeight="1">
      <c r="A103" s="123" t="s">
        <v>296</v>
      </c>
      <c r="B103" s="123">
        <v>1</v>
      </c>
      <c r="C103" s="126">
        <v>96</v>
      </c>
      <c r="D103" s="124" t="s">
        <v>297</v>
      </c>
      <c r="E103" s="192">
        <v>67</v>
      </c>
      <c r="F103" s="125">
        <f>ROUND(E103*Valores!$C$2,2)</f>
        <v>3648.15</v>
      </c>
      <c r="G103" s="192">
        <v>2108</v>
      </c>
      <c r="H103" s="125">
        <f>ROUND(G103*Valores!$C$2,2)</f>
        <v>114780.6</v>
      </c>
      <c r="I103" s="192">
        <v>0</v>
      </c>
      <c r="J103" s="125">
        <f>ROUND(I103*Valores!$C$2,2)</f>
        <v>0</v>
      </c>
      <c r="K103" s="192">
        <v>0</v>
      </c>
      <c r="L103" s="125">
        <f>ROUND(K103*Valores!$C$2,2)</f>
        <v>0</v>
      </c>
      <c r="M103" s="125">
        <f>ROUND(IF($H$2=0,IF(AND(A103&lt;&gt;"13-930",A103&lt;&gt;"13-940"),(SUM(F103,H103,J103,L103,X103,T103,R103)*Valores!$C$4),0),0),2)</f>
        <v>40304.94</v>
      </c>
      <c r="N103" s="125">
        <f t="shared" si="11"/>
        <v>0</v>
      </c>
      <c r="O103" s="125">
        <f>Valores!$C$14</f>
        <v>54217.67</v>
      </c>
      <c r="P103" s="125">
        <f>Valores!$D$5</f>
        <v>27834.84</v>
      </c>
      <c r="Q103" s="125">
        <v>0</v>
      </c>
      <c r="R103" s="125">
        <f>IF($F$4="NO",Valores!$C$42,Valores!$C$42/2)</f>
        <v>17156.73</v>
      </c>
      <c r="S103" s="125">
        <f>Valores!$C$20</f>
        <v>25634.272</v>
      </c>
      <c r="T103" s="125">
        <f t="shared" si="17"/>
        <v>25634.27</v>
      </c>
      <c r="U103" s="125">
        <v>0</v>
      </c>
      <c r="V103" s="125">
        <v>0</v>
      </c>
      <c r="W103" s="192">
        <v>0</v>
      </c>
      <c r="X103" s="125">
        <f>ROUND(W103*Valores!$C$2,2)</f>
        <v>0</v>
      </c>
      <c r="Y103" s="125">
        <v>0</v>
      </c>
      <c r="Z103" s="125">
        <f>Valores!$C$94</f>
        <v>38113.67</v>
      </c>
      <c r="AA103" s="125">
        <f>Valores!$C$25</f>
        <v>1138.39</v>
      </c>
      <c r="AB103" s="214">
        <v>0</v>
      </c>
      <c r="AC103" s="125">
        <f t="shared" si="12"/>
        <v>0</v>
      </c>
      <c r="AD103" s="125">
        <f>Valores!$C$26</f>
        <v>1138.39</v>
      </c>
      <c r="AE103" s="192">
        <v>0</v>
      </c>
      <c r="AF103" s="125">
        <f>ROUND(AE103*Valores!$C$2,2)</f>
        <v>0</v>
      </c>
      <c r="AG103" s="125">
        <f>ROUND(IF($F$4="NO",Valores!$C$63,Valores!$C$63/2),2)</f>
        <v>13014.72</v>
      </c>
      <c r="AH103" s="125">
        <f t="shared" si="15"/>
        <v>336982.37</v>
      </c>
      <c r="AI103" s="125">
        <f>Valores!$C$31</f>
        <v>0</v>
      </c>
      <c r="AJ103" s="125">
        <f>Valores!$C$87</f>
        <v>0</v>
      </c>
      <c r="AK103" s="125">
        <f>Valores!C$38*B103</f>
        <v>0</v>
      </c>
      <c r="AL103" s="125">
        <f>IF($F$3="NO",0,Valores!$C$56)</f>
        <v>170.34</v>
      </c>
      <c r="AM103" s="125">
        <f t="shared" si="13"/>
        <v>170.34</v>
      </c>
      <c r="AN103" s="125">
        <f>AH103*Valores!$C$71</f>
        <v>-37068.0607</v>
      </c>
      <c r="AO103" s="125">
        <f>AH103*-Valores!$C$72</f>
        <v>0</v>
      </c>
      <c r="AP103" s="125">
        <f>AH103*Valores!$C$73</f>
        <v>-15164.20665</v>
      </c>
      <c r="AQ103" s="125">
        <f>Valores!$C$100</f>
        <v>-554.86</v>
      </c>
      <c r="AR103" s="125">
        <f>IF($F$5=0,Valores!$C$101,(Valores!$C$101+$F$5*(Valores!$C$101)))</f>
        <v>-852</v>
      </c>
      <c r="AS103" s="125">
        <f t="shared" si="16"/>
        <v>283513.58265</v>
      </c>
      <c r="AT103" s="125">
        <f t="shared" si="10"/>
        <v>-37068.0607</v>
      </c>
      <c r="AU103" s="125">
        <f>AH103*Valores!$C$74</f>
        <v>-9098.52399</v>
      </c>
      <c r="AV103" s="125">
        <f>AH103*Valores!$C$75</f>
        <v>-1010.94711</v>
      </c>
      <c r="AW103" s="125">
        <f t="shared" si="14"/>
        <v>289975.1782</v>
      </c>
      <c r="AX103" s="126"/>
      <c r="AY103" s="126">
        <v>30</v>
      </c>
      <c r="AZ103" s="123" t="s">
        <v>4</v>
      </c>
    </row>
    <row r="104" spans="1:52" s="110" customFormat="1" ht="11.25" customHeight="1">
      <c r="A104" s="123" t="s">
        <v>298</v>
      </c>
      <c r="B104" s="123">
        <v>1</v>
      </c>
      <c r="C104" s="126">
        <v>97</v>
      </c>
      <c r="D104" s="124" t="s">
        <v>299</v>
      </c>
      <c r="E104" s="192">
        <v>45</v>
      </c>
      <c r="F104" s="125">
        <f>ROUND(E104*Valores!$C$2,2)</f>
        <v>2450.25</v>
      </c>
      <c r="G104" s="192">
        <v>1502</v>
      </c>
      <c r="H104" s="125">
        <f>ROUND(G104*Valores!$C$2,2)</f>
        <v>81783.9</v>
      </c>
      <c r="I104" s="192">
        <v>0</v>
      </c>
      <c r="J104" s="125">
        <f>ROUND(I104*Valores!$C$2,2)</f>
        <v>0</v>
      </c>
      <c r="K104" s="192">
        <v>0</v>
      </c>
      <c r="L104" s="125">
        <f>ROUND(K104*Valores!$C$2,2)</f>
        <v>0</v>
      </c>
      <c r="M104" s="125">
        <f>ROUND(IF($H$2=0,IF(AND(A104&lt;&gt;"13-930",A104&lt;&gt;"13-940"),(SUM(F104,H104,J104,L104,X104,T104,R104)*Valores!$C$4),0),0),2)</f>
        <v>31756.29</v>
      </c>
      <c r="N104" s="125">
        <f t="shared" si="11"/>
        <v>0</v>
      </c>
      <c r="O104" s="125">
        <f>Valores!$C$14</f>
        <v>54217.67</v>
      </c>
      <c r="P104" s="125">
        <f>Valores!$D$5</f>
        <v>27834.84</v>
      </c>
      <c r="Q104" s="125">
        <v>0</v>
      </c>
      <c r="R104" s="125">
        <f>IF($F$4="NO",Valores!$C$42,Valores!$C$42/2)</f>
        <v>17156.73</v>
      </c>
      <c r="S104" s="125">
        <f>Valores!$C$20</f>
        <v>25634.272</v>
      </c>
      <c r="T104" s="125">
        <f t="shared" si="17"/>
        <v>25634.27</v>
      </c>
      <c r="U104" s="125">
        <v>0</v>
      </c>
      <c r="V104" s="125">
        <v>0</v>
      </c>
      <c r="W104" s="192">
        <v>0</v>
      </c>
      <c r="X104" s="125">
        <f>ROUND(W104*Valores!$C$2,2)</f>
        <v>0</v>
      </c>
      <c r="Y104" s="125">
        <v>0</v>
      </c>
      <c r="Z104" s="125">
        <f>Valores!$C$94</f>
        <v>38113.67</v>
      </c>
      <c r="AA104" s="125">
        <f>Valores!$C$25</f>
        <v>1138.39</v>
      </c>
      <c r="AB104" s="214">
        <v>0</v>
      </c>
      <c r="AC104" s="125">
        <f t="shared" si="12"/>
        <v>0</v>
      </c>
      <c r="AD104" s="125">
        <f>Valores!$C$26</f>
        <v>1138.39</v>
      </c>
      <c r="AE104" s="192">
        <v>0</v>
      </c>
      <c r="AF104" s="125">
        <f>ROUND(AE104*Valores!$C$2,2)</f>
        <v>0</v>
      </c>
      <c r="AG104" s="125">
        <f>ROUND(IF($F$4="NO",Valores!$C$63,Valores!$C$63/2),2)</f>
        <v>13014.72</v>
      </c>
      <c r="AH104" s="125">
        <f t="shared" si="15"/>
        <v>294239.12</v>
      </c>
      <c r="AI104" s="125">
        <f>Valores!$C$31</f>
        <v>0</v>
      </c>
      <c r="AJ104" s="125">
        <f>Valores!$C$87</f>
        <v>0</v>
      </c>
      <c r="AK104" s="125">
        <f>Valores!C$38*B104</f>
        <v>0</v>
      </c>
      <c r="AL104" s="125">
        <f>IF($F$3="NO",0,Valores!$C$56)</f>
        <v>170.34</v>
      </c>
      <c r="AM104" s="125">
        <f t="shared" si="13"/>
        <v>170.34</v>
      </c>
      <c r="AN104" s="125">
        <f>AH104*Valores!$C$71</f>
        <v>-32366.3032</v>
      </c>
      <c r="AO104" s="125">
        <f>AH104*-Valores!$C$72</f>
        <v>0</v>
      </c>
      <c r="AP104" s="125">
        <f>AH104*Valores!$C$73</f>
        <v>-13240.7604</v>
      </c>
      <c r="AQ104" s="125">
        <f>Valores!$C$100</f>
        <v>-554.86</v>
      </c>
      <c r="AR104" s="125">
        <f>IF($F$5=0,Valores!$C$101,(Valores!$C$101+$F$5*(Valores!$C$101)))</f>
        <v>-852</v>
      </c>
      <c r="AS104" s="125">
        <f t="shared" si="16"/>
        <v>247395.53639999998</v>
      </c>
      <c r="AT104" s="125">
        <f t="shared" si="10"/>
        <v>-32366.3032</v>
      </c>
      <c r="AU104" s="125">
        <f>AH104*Valores!$C$74</f>
        <v>-7944.4562399999995</v>
      </c>
      <c r="AV104" s="125">
        <f>AH104*Valores!$C$75</f>
        <v>-882.71736</v>
      </c>
      <c r="AW104" s="125">
        <f t="shared" si="14"/>
        <v>253215.98320000002</v>
      </c>
      <c r="AX104" s="126"/>
      <c r="AY104" s="126"/>
      <c r="AZ104" s="123" t="s">
        <v>4</v>
      </c>
    </row>
    <row r="105" spans="1:52" s="110" customFormat="1" ht="11.25" customHeight="1">
      <c r="A105" s="123" t="s">
        <v>300</v>
      </c>
      <c r="B105" s="123">
        <v>1</v>
      </c>
      <c r="C105" s="126">
        <v>98</v>
      </c>
      <c r="D105" s="124" t="s">
        <v>301</v>
      </c>
      <c r="E105" s="192">
        <v>61</v>
      </c>
      <c r="F105" s="125">
        <f>ROUND(E105*Valores!$C$2,2)</f>
        <v>3321.45</v>
      </c>
      <c r="G105" s="192">
        <v>2114</v>
      </c>
      <c r="H105" s="125">
        <f>ROUND(G105*Valores!$C$2,2)</f>
        <v>115107.3</v>
      </c>
      <c r="I105" s="192">
        <v>0</v>
      </c>
      <c r="J105" s="125">
        <f>ROUND(I105*Valores!$C$2,2)</f>
        <v>0</v>
      </c>
      <c r="K105" s="192">
        <v>0</v>
      </c>
      <c r="L105" s="125">
        <f>ROUND(K105*Valores!$C$2,2)</f>
        <v>0</v>
      </c>
      <c r="M105" s="125">
        <f>ROUND(IF($H$2=0,IF(AND(A105&lt;&gt;"13-930",A105&lt;&gt;"13-940"),(SUM(F105,H105,J105,L105,X105,T105,R105)*Valores!$C$4),0),0),2)</f>
        <v>40304.94</v>
      </c>
      <c r="N105" s="125">
        <f t="shared" si="11"/>
        <v>0</v>
      </c>
      <c r="O105" s="125">
        <f>Valores!$C$14</f>
        <v>54217.67</v>
      </c>
      <c r="P105" s="125">
        <f>Valores!$D$5</f>
        <v>27834.84</v>
      </c>
      <c r="Q105" s="125">
        <v>0</v>
      </c>
      <c r="R105" s="125">
        <f>IF($F$4="NO",Valores!$C$42,Valores!$C$42/2)</f>
        <v>17156.73</v>
      </c>
      <c r="S105" s="125">
        <f>Valores!$C$20</f>
        <v>25634.272</v>
      </c>
      <c r="T105" s="125">
        <f t="shared" si="17"/>
        <v>25634.27</v>
      </c>
      <c r="U105" s="125">
        <v>0</v>
      </c>
      <c r="V105" s="125">
        <v>0</v>
      </c>
      <c r="W105" s="192">
        <v>0</v>
      </c>
      <c r="X105" s="125">
        <f>ROUND(W105*Valores!$C$2,2)</f>
        <v>0</v>
      </c>
      <c r="Y105" s="125">
        <v>0</v>
      </c>
      <c r="Z105" s="125">
        <f>Valores!$C$94</f>
        <v>38113.67</v>
      </c>
      <c r="AA105" s="125">
        <f>Valores!$C$25</f>
        <v>1138.39</v>
      </c>
      <c r="AB105" s="214">
        <v>0</v>
      </c>
      <c r="AC105" s="125">
        <f t="shared" si="12"/>
        <v>0</v>
      </c>
      <c r="AD105" s="125">
        <f>Valores!$C$26</f>
        <v>1138.39</v>
      </c>
      <c r="AE105" s="192">
        <v>0</v>
      </c>
      <c r="AF105" s="125">
        <f>ROUND(AE105*Valores!$C$2,2)</f>
        <v>0</v>
      </c>
      <c r="AG105" s="125">
        <f>ROUND(IF($F$4="NO",Valores!$C$63,Valores!$C$63/2),2)</f>
        <v>13014.72</v>
      </c>
      <c r="AH105" s="125">
        <f t="shared" si="15"/>
        <v>336982.37</v>
      </c>
      <c r="AI105" s="125">
        <f>Valores!$C$31</f>
        <v>0</v>
      </c>
      <c r="AJ105" s="125">
        <f>Valores!$C$87</f>
        <v>0</v>
      </c>
      <c r="AK105" s="125">
        <f>Valores!C$38*B105</f>
        <v>0</v>
      </c>
      <c r="AL105" s="125">
        <f>IF($F$3="NO",0,Valores!$C$56)</f>
        <v>170.34</v>
      </c>
      <c r="AM105" s="125">
        <f t="shared" si="13"/>
        <v>170.34</v>
      </c>
      <c r="AN105" s="125">
        <f>AH105*Valores!$C$71</f>
        <v>-37068.0607</v>
      </c>
      <c r="AO105" s="125">
        <f>AH105*-Valores!$C$72</f>
        <v>0</v>
      </c>
      <c r="AP105" s="125">
        <f>AH105*Valores!$C$73</f>
        <v>-15164.20665</v>
      </c>
      <c r="AQ105" s="125">
        <f>Valores!$C$100</f>
        <v>-554.86</v>
      </c>
      <c r="AR105" s="125">
        <f>IF($F$5=0,Valores!$C$101,(Valores!$C$101+$F$5*(Valores!$C$101)))</f>
        <v>-852</v>
      </c>
      <c r="AS105" s="125">
        <f t="shared" si="16"/>
        <v>283513.58265</v>
      </c>
      <c r="AT105" s="125">
        <f t="shared" si="10"/>
        <v>-37068.0607</v>
      </c>
      <c r="AU105" s="125">
        <f>AH105*Valores!$C$74</f>
        <v>-9098.52399</v>
      </c>
      <c r="AV105" s="125">
        <f>AH105*Valores!$C$75</f>
        <v>-1010.94711</v>
      </c>
      <c r="AW105" s="125">
        <f t="shared" si="14"/>
        <v>289975.1782</v>
      </c>
      <c r="AX105" s="126"/>
      <c r="AY105" s="126">
        <v>30</v>
      </c>
      <c r="AZ105" s="123" t="s">
        <v>4</v>
      </c>
    </row>
    <row r="106" spans="1:52" s="110" customFormat="1" ht="11.25" customHeight="1">
      <c r="A106" s="123" t="s">
        <v>302</v>
      </c>
      <c r="B106" s="123">
        <v>1</v>
      </c>
      <c r="C106" s="126">
        <v>99</v>
      </c>
      <c r="D106" s="124" t="s">
        <v>303</v>
      </c>
      <c r="E106" s="192">
        <v>59</v>
      </c>
      <c r="F106" s="125">
        <f>ROUND(E106*Valores!$C$2,2)</f>
        <v>3212.55</v>
      </c>
      <c r="G106" s="192">
        <v>2013</v>
      </c>
      <c r="H106" s="125">
        <f>ROUND(G106*Valores!$C$2,2)</f>
        <v>109607.85</v>
      </c>
      <c r="I106" s="192">
        <v>0</v>
      </c>
      <c r="J106" s="125">
        <f>ROUND(I106*Valores!$C$2,2)</f>
        <v>0</v>
      </c>
      <c r="K106" s="192">
        <v>0</v>
      </c>
      <c r="L106" s="125">
        <f>ROUND(K106*Valores!$C$2,2)</f>
        <v>0</v>
      </c>
      <c r="M106" s="125">
        <f>ROUND(IF($H$2=0,IF(AND(A106&lt;&gt;"13-930",A106&lt;&gt;"13-940"),(SUM(F106,H106,J106,L106,X106,T106,R106)*Valores!$C$4),0),0),2)</f>
        <v>38902.85</v>
      </c>
      <c r="N106" s="125">
        <f t="shared" si="11"/>
        <v>0</v>
      </c>
      <c r="O106" s="125">
        <f>Valores!$C$14</f>
        <v>54217.67</v>
      </c>
      <c r="P106" s="125">
        <f>Valores!$D$5</f>
        <v>27834.84</v>
      </c>
      <c r="Q106" s="125">
        <v>0</v>
      </c>
      <c r="R106" s="125">
        <f>IF($F$4="NO",Valores!$C$42,Valores!$C$42/2)</f>
        <v>17156.73</v>
      </c>
      <c r="S106" s="125">
        <f>Valores!$C$20</f>
        <v>25634.272</v>
      </c>
      <c r="T106" s="125">
        <f t="shared" si="17"/>
        <v>25634.27</v>
      </c>
      <c r="U106" s="125">
        <v>0</v>
      </c>
      <c r="V106" s="125">
        <v>0</v>
      </c>
      <c r="W106" s="192">
        <v>0</v>
      </c>
      <c r="X106" s="125">
        <f>ROUND(W106*Valores!$C$2,2)</f>
        <v>0</v>
      </c>
      <c r="Y106" s="125">
        <v>0</v>
      </c>
      <c r="Z106" s="125">
        <f>Valores!$C$94</f>
        <v>38113.67</v>
      </c>
      <c r="AA106" s="125">
        <f>Valores!$C$25</f>
        <v>1138.39</v>
      </c>
      <c r="AB106" s="214">
        <v>0</v>
      </c>
      <c r="AC106" s="125">
        <f t="shared" si="12"/>
        <v>0</v>
      </c>
      <c r="AD106" s="125">
        <f>Valores!$C$26</f>
        <v>1138.39</v>
      </c>
      <c r="AE106" s="192">
        <v>0</v>
      </c>
      <c r="AF106" s="125">
        <f>ROUND(AE106*Valores!$C$2,2)</f>
        <v>0</v>
      </c>
      <c r="AG106" s="125">
        <f>ROUND(IF($F$4="NO",Valores!$C$63,Valores!$C$63/2),2)</f>
        <v>13014.72</v>
      </c>
      <c r="AH106" s="125">
        <f t="shared" si="15"/>
        <v>329971.93</v>
      </c>
      <c r="AI106" s="125">
        <f>Valores!$C$31</f>
        <v>0</v>
      </c>
      <c r="AJ106" s="125">
        <f>Valores!$C$87</f>
        <v>0</v>
      </c>
      <c r="AK106" s="125">
        <f>Valores!C$38*B106</f>
        <v>0</v>
      </c>
      <c r="AL106" s="125">
        <f>IF($F$3="NO",0,Valores!$C$56)</f>
        <v>170.34</v>
      </c>
      <c r="AM106" s="125">
        <f t="shared" si="13"/>
        <v>170.34</v>
      </c>
      <c r="AN106" s="125">
        <f>AH106*Valores!$C$71</f>
        <v>-36296.912299999996</v>
      </c>
      <c r="AO106" s="125">
        <f>AH106*-Valores!$C$72</f>
        <v>0</v>
      </c>
      <c r="AP106" s="125">
        <f>AH106*Valores!$C$73</f>
        <v>-14848.73685</v>
      </c>
      <c r="AQ106" s="125">
        <f>Valores!$C$100</f>
        <v>-554.86</v>
      </c>
      <c r="AR106" s="125">
        <f>IF($F$5=0,Valores!$C$101,(Valores!$C$101+$F$5*(Valores!$C$101)))</f>
        <v>-852</v>
      </c>
      <c r="AS106" s="125">
        <f t="shared" si="16"/>
        <v>277589.76084999996</v>
      </c>
      <c r="AT106" s="125">
        <f t="shared" si="10"/>
        <v>-36296.912299999996</v>
      </c>
      <c r="AU106" s="125">
        <f>AH106*Valores!$C$74</f>
        <v>-8909.24211</v>
      </c>
      <c r="AV106" s="125">
        <f>AH106*Valores!$C$75</f>
        <v>-989.91579</v>
      </c>
      <c r="AW106" s="125">
        <f t="shared" si="14"/>
        <v>283946.1998</v>
      </c>
      <c r="AX106" s="126"/>
      <c r="AY106" s="126">
        <v>30</v>
      </c>
      <c r="AZ106" s="123" t="s">
        <v>4</v>
      </c>
    </row>
    <row r="107" spans="1:52" s="110" customFormat="1" ht="11.25" customHeight="1">
      <c r="A107" s="123" t="s">
        <v>304</v>
      </c>
      <c r="B107" s="123">
        <v>1</v>
      </c>
      <c r="C107" s="126">
        <v>100</v>
      </c>
      <c r="D107" s="124" t="s">
        <v>305</v>
      </c>
      <c r="E107" s="192">
        <v>56</v>
      </c>
      <c r="F107" s="125">
        <f>ROUND(E107*Valores!$C$2,2)</f>
        <v>3049.2</v>
      </c>
      <c r="G107" s="192">
        <v>1720</v>
      </c>
      <c r="H107" s="125">
        <f>ROUND(G107*Valores!$C$2,2)</f>
        <v>93654</v>
      </c>
      <c r="I107" s="192">
        <v>0</v>
      </c>
      <c r="J107" s="125">
        <f>ROUND(I107*Valores!$C$2,2)</f>
        <v>0</v>
      </c>
      <c r="K107" s="192">
        <v>0</v>
      </c>
      <c r="L107" s="125">
        <f>ROUND(K107*Valores!$C$2,2)</f>
        <v>0</v>
      </c>
      <c r="M107" s="125">
        <f>ROUND(IF($H$2=0,IF(AND(A107&lt;&gt;"13-930",A107&lt;&gt;"13-940"),(SUM(F107,H107,J107,L107,X107,T107,R107)*Valores!$C$4),0),0),2)</f>
        <v>34873.55</v>
      </c>
      <c r="N107" s="125">
        <f t="shared" si="11"/>
        <v>0</v>
      </c>
      <c r="O107" s="125">
        <f>Valores!$C$14</f>
        <v>54217.67</v>
      </c>
      <c r="P107" s="125">
        <f>Valores!$D$5</f>
        <v>27834.84</v>
      </c>
      <c r="Q107" s="125">
        <v>0</v>
      </c>
      <c r="R107" s="125">
        <f>IF($F$4="NO",Valores!$C$42,Valores!$C$42/2)</f>
        <v>17156.73</v>
      </c>
      <c r="S107" s="125">
        <f>Valores!$C$20</f>
        <v>25634.272</v>
      </c>
      <c r="T107" s="125">
        <f t="shared" si="17"/>
        <v>25634.27</v>
      </c>
      <c r="U107" s="125">
        <v>0</v>
      </c>
      <c r="V107" s="125">
        <v>0</v>
      </c>
      <c r="W107" s="192">
        <v>0</v>
      </c>
      <c r="X107" s="125">
        <f>ROUND(W107*Valores!$C$2,2)</f>
        <v>0</v>
      </c>
      <c r="Y107" s="125">
        <v>0</v>
      </c>
      <c r="Z107" s="125">
        <f>Valores!$C$94</f>
        <v>38113.67</v>
      </c>
      <c r="AA107" s="125">
        <f>Valores!$C$25</f>
        <v>1138.39</v>
      </c>
      <c r="AB107" s="214">
        <v>0</v>
      </c>
      <c r="AC107" s="125">
        <f t="shared" si="12"/>
        <v>0</v>
      </c>
      <c r="AD107" s="125">
        <f>Valores!$C$26</f>
        <v>1138.39</v>
      </c>
      <c r="AE107" s="192">
        <v>0</v>
      </c>
      <c r="AF107" s="125">
        <f>ROUND(AE107*Valores!$C$2,2)</f>
        <v>0</v>
      </c>
      <c r="AG107" s="125">
        <f>ROUND(IF($F$4="NO",Valores!$C$63,Valores!$C$63/2),2)</f>
        <v>13014.72</v>
      </c>
      <c r="AH107" s="125">
        <f t="shared" si="15"/>
        <v>309825.43</v>
      </c>
      <c r="AI107" s="125">
        <f>Valores!$C$31</f>
        <v>0</v>
      </c>
      <c r="AJ107" s="125">
        <f>Valores!$C$87</f>
        <v>0</v>
      </c>
      <c r="AK107" s="125">
        <f>Valores!C$38*B107</f>
        <v>0</v>
      </c>
      <c r="AL107" s="125">
        <f>IF($F$3="NO",0,Valores!$C$56)</f>
        <v>170.34</v>
      </c>
      <c r="AM107" s="125">
        <f t="shared" si="13"/>
        <v>170.34</v>
      </c>
      <c r="AN107" s="125">
        <f>AH107*Valores!$C$71</f>
        <v>-34080.7973</v>
      </c>
      <c r="AO107" s="125">
        <f>AH107*-Valores!$C$72</f>
        <v>0</v>
      </c>
      <c r="AP107" s="125">
        <f>AH107*Valores!$C$73</f>
        <v>-13942.144349999999</v>
      </c>
      <c r="AQ107" s="125">
        <f>Valores!$C$100</f>
        <v>-554.86</v>
      </c>
      <c r="AR107" s="125">
        <f>IF($F$5=0,Valores!$C$101,(Valores!$C$101+$F$5*(Valores!$C$101)))</f>
        <v>-852</v>
      </c>
      <c r="AS107" s="125">
        <f t="shared" si="16"/>
        <v>260565.96834999998</v>
      </c>
      <c r="AT107" s="125">
        <f t="shared" si="10"/>
        <v>-34080.7973</v>
      </c>
      <c r="AU107" s="125">
        <f>AH107*Valores!$C$74</f>
        <v>-8365.28661</v>
      </c>
      <c r="AV107" s="125">
        <f>AH107*Valores!$C$75</f>
        <v>-929.47629</v>
      </c>
      <c r="AW107" s="125">
        <f t="shared" si="14"/>
        <v>266620.2098</v>
      </c>
      <c r="AX107" s="126"/>
      <c r="AY107" s="126">
        <v>30</v>
      </c>
      <c r="AZ107" s="123" t="s">
        <v>4</v>
      </c>
    </row>
    <row r="108" spans="1:52" s="110" customFormat="1" ht="11.25" customHeight="1">
      <c r="A108" s="123" t="s">
        <v>306</v>
      </c>
      <c r="B108" s="123">
        <v>1</v>
      </c>
      <c r="C108" s="126">
        <v>101</v>
      </c>
      <c r="D108" s="124" t="s">
        <v>307</v>
      </c>
      <c r="E108" s="192">
        <v>45</v>
      </c>
      <c r="F108" s="125">
        <f>ROUND(E108*Valores!$C$2,2)</f>
        <v>2450.25</v>
      </c>
      <c r="G108" s="192">
        <v>1502</v>
      </c>
      <c r="H108" s="125">
        <f>ROUND(G108*Valores!$C$2,2)</f>
        <v>81783.9</v>
      </c>
      <c r="I108" s="192">
        <v>0</v>
      </c>
      <c r="J108" s="125">
        <f>ROUND(I108*Valores!$C$2,2)</f>
        <v>0</v>
      </c>
      <c r="K108" s="192">
        <v>0</v>
      </c>
      <c r="L108" s="125">
        <f>ROUND(K108*Valores!$C$2,2)</f>
        <v>0</v>
      </c>
      <c r="M108" s="125">
        <f>ROUND(IF($H$2=0,IF(AND(A108&lt;&gt;"13-930",A108&lt;&gt;"13-940"),(SUM(F108,H108,J108,L108,X108,T108,R108)*Valores!$C$4),0),0),2)</f>
        <v>31756.29</v>
      </c>
      <c r="N108" s="125">
        <f t="shared" si="11"/>
        <v>0</v>
      </c>
      <c r="O108" s="125">
        <f>Valores!$C$14</f>
        <v>54217.67</v>
      </c>
      <c r="P108" s="125">
        <f>Valores!$D$5</f>
        <v>27834.84</v>
      </c>
      <c r="Q108" s="125">
        <v>0</v>
      </c>
      <c r="R108" s="125">
        <f>IF($F$4="NO",Valores!$C$42,Valores!$C$42/2)</f>
        <v>17156.73</v>
      </c>
      <c r="S108" s="125">
        <f>Valores!$C$20</f>
        <v>25634.272</v>
      </c>
      <c r="T108" s="125">
        <f t="shared" si="17"/>
        <v>25634.27</v>
      </c>
      <c r="U108" s="125">
        <v>0</v>
      </c>
      <c r="V108" s="125">
        <v>0</v>
      </c>
      <c r="W108" s="192">
        <v>0</v>
      </c>
      <c r="X108" s="125">
        <f>ROUND(W108*Valores!$C$2,2)</f>
        <v>0</v>
      </c>
      <c r="Y108" s="125">
        <v>0</v>
      </c>
      <c r="Z108" s="125">
        <f>Valores!$C$94</f>
        <v>38113.67</v>
      </c>
      <c r="AA108" s="125">
        <f>Valores!$C$25</f>
        <v>1138.39</v>
      </c>
      <c r="AB108" s="214">
        <v>0</v>
      </c>
      <c r="AC108" s="125">
        <f t="shared" si="12"/>
        <v>0</v>
      </c>
      <c r="AD108" s="125">
        <f>Valores!$C$26</f>
        <v>1138.39</v>
      </c>
      <c r="AE108" s="192">
        <v>0</v>
      </c>
      <c r="AF108" s="125">
        <f>ROUND(AE108*Valores!$C$2,2)</f>
        <v>0</v>
      </c>
      <c r="AG108" s="125">
        <f>ROUND(IF($F$4="NO",Valores!$C$63,Valores!$C$63/2),2)</f>
        <v>13014.72</v>
      </c>
      <c r="AH108" s="125">
        <f t="shared" si="15"/>
        <v>294239.12</v>
      </c>
      <c r="AI108" s="125">
        <f>Valores!$C$31</f>
        <v>0</v>
      </c>
      <c r="AJ108" s="125">
        <f>Valores!$C$87</f>
        <v>0</v>
      </c>
      <c r="AK108" s="125">
        <f>Valores!C$38*B108</f>
        <v>0</v>
      </c>
      <c r="AL108" s="125">
        <f>IF($F$3="NO",0,Valores!$C$56)</f>
        <v>170.34</v>
      </c>
      <c r="AM108" s="125">
        <f t="shared" si="13"/>
        <v>170.34</v>
      </c>
      <c r="AN108" s="125">
        <f>AH108*Valores!$C$71</f>
        <v>-32366.3032</v>
      </c>
      <c r="AO108" s="125">
        <f>AH108*-Valores!$C$72</f>
        <v>0</v>
      </c>
      <c r="AP108" s="125">
        <f>AH108*Valores!$C$73</f>
        <v>-13240.7604</v>
      </c>
      <c r="AQ108" s="125">
        <f>Valores!$C$100</f>
        <v>-554.86</v>
      </c>
      <c r="AR108" s="125">
        <f>IF($F$5=0,Valores!$C$101,(Valores!$C$101+$F$5*(Valores!$C$101)))</f>
        <v>-852</v>
      </c>
      <c r="AS108" s="125">
        <f t="shared" si="16"/>
        <v>247395.53639999998</v>
      </c>
      <c r="AT108" s="125">
        <f t="shared" si="10"/>
        <v>-32366.3032</v>
      </c>
      <c r="AU108" s="125">
        <f>AH108*Valores!$C$74</f>
        <v>-7944.4562399999995</v>
      </c>
      <c r="AV108" s="125">
        <f>AH108*Valores!$C$75</f>
        <v>-882.71736</v>
      </c>
      <c r="AW108" s="125">
        <f t="shared" si="14"/>
        <v>253215.98320000002</v>
      </c>
      <c r="AX108" s="126"/>
      <c r="AY108" s="126">
        <v>30</v>
      </c>
      <c r="AZ108" s="123" t="s">
        <v>4</v>
      </c>
    </row>
    <row r="109" spans="1:52" s="110" customFormat="1" ht="11.25" customHeight="1">
      <c r="A109" s="123" t="s">
        <v>308</v>
      </c>
      <c r="B109" s="123">
        <v>1</v>
      </c>
      <c r="C109" s="126">
        <v>102</v>
      </c>
      <c r="D109" s="124" t="s">
        <v>309</v>
      </c>
      <c r="E109" s="192">
        <v>45</v>
      </c>
      <c r="F109" s="125">
        <f>ROUND(E109*Valores!$C$2,2)</f>
        <v>2450.25</v>
      </c>
      <c r="G109" s="192">
        <v>1139</v>
      </c>
      <c r="H109" s="125">
        <f>ROUND(G109*Valores!$C$2,2)</f>
        <v>62018.55</v>
      </c>
      <c r="I109" s="192">
        <v>0</v>
      </c>
      <c r="J109" s="125">
        <f>ROUND(I109*Valores!$C$2,2)</f>
        <v>0</v>
      </c>
      <c r="K109" s="192">
        <v>0</v>
      </c>
      <c r="L109" s="125">
        <f>ROUND(K109*Valores!$C$2,2)</f>
        <v>0</v>
      </c>
      <c r="M109" s="125">
        <f>ROUND(IF($H$2=0,IF(AND(A109&lt;&gt;"13-930",A109&lt;&gt;"13-940"),(SUM(F109,H109,J109,L109,X109,T109,R109)*Valores!$C$4),0),0),2)</f>
        <v>26814.95</v>
      </c>
      <c r="N109" s="125">
        <f t="shared" si="11"/>
        <v>0</v>
      </c>
      <c r="O109" s="125">
        <f>Valores!$C$14</f>
        <v>54217.67</v>
      </c>
      <c r="P109" s="125">
        <f>Valores!$D$5</f>
        <v>27834.84</v>
      </c>
      <c r="Q109" s="125">
        <v>0</v>
      </c>
      <c r="R109" s="125">
        <f>IF($F$4="NO",Valores!$C$42,Valores!$C$42/2)</f>
        <v>17156.73</v>
      </c>
      <c r="S109" s="125">
        <f>Valores!$C$20</f>
        <v>25634.272</v>
      </c>
      <c r="T109" s="125">
        <f t="shared" si="17"/>
        <v>25634.27</v>
      </c>
      <c r="U109" s="125">
        <v>0</v>
      </c>
      <c r="V109" s="125">
        <v>0</v>
      </c>
      <c r="W109" s="192">
        <v>0</v>
      </c>
      <c r="X109" s="125">
        <f>ROUND(W109*Valores!$C$2,2)</f>
        <v>0</v>
      </c>
      <c r="Y109" s="125">
        <v>0</v>
      </c>
      <c r="Z109" s="125">
        <f>Valores!$C$94</f>
        <v>38113.67</v>
      </c>
      <c r="AA109" s="125">
        <f>Valores!$C$25</f>
        <v>1138.39</v>
      </c>
      <c r="AB109" s="214">
        <v>0</v>
      </c>
      <c r="AC109" s="125">
        <f t="shared" si="12"/>
        <v>0</v>
      </c>
      <c r="AD109" s="125">
        <f>Valores!$C$26</f>
        <v>1138.39</v>
      </c>
      <c r="AE109" s="192">
        <v>0</v>
      </c>
      <c r="AF109" s="125">
        <f>ROUND(AE109*Valores!$C$2,2)</f>
        <v>0</v>
      </c>
      <c r="AG109" s="125">
        <f>ROUND(IF($F$4="NO",Valores!$C$63,Valores!$C$63/2),2)</f>
        <v>13014.72</v>
      </c>
      <c r="AH109" s="125">
        <f t="shared" si="15"/>
        <v>269532.43</v>
      </c>
      <c r="AI109" s="125">
        <f>Valores!$C$31</f>
        <v>0</v>
      </c>
      <c r="AJ109" s="125">
        <f>Valores!$C$87</f>
        <v>0</v>
      </c>
      <c r="AK109" s="125">
        <f>Valores!C$38*B109</f>
        <v>0</v>
      </c>
      <c r="AL109" s="125">
        <f>IF($F$3="NO",0,Valores!$C$56)</f>
        <v>170.34</v>
      </c>
      <c r="AM109" s="125">
        <f t="shared" si="13"/>
        <v>170.34</v>
      </c>
      <c r="AN109" s="125">
        <f>AH109*Valores!$C$71</f>
        <v>-29648.5673</v>
      </c>
      <c r="AO109" s="125">
        <f>AH109*-Valores!$C$72</f>
        <v>0</v>
      </c>
      <c r="AP109" s="125">
        <f>AH109*Valores!$C$73</f>
        <v>-12128.95935</v>
      </c>
      <c r="AQ109" s="125">
        <f>Valores!$C$100</f>
        <v>-554.86</v>
      </c>
      <c r="AR109" s="125">
        <f>IF($F$5=0,Valores!$C$101,(Valores!$C$101+$F$5*(Valores!$C$101)))</f>
        <v>-852</v>
      </c>
      <c r="AS109" s="125">
        <f t="shared" si="16"/>
        <v>226518.38335</v>
      </c>
      <c r="AT109" s="125">
        <f t="shared" si="10"/>
        <v>-29648.5673</v>
      </c>
      <c r="AU109" s="125">
        <f>AH109*Valores!$C$74</f>
        <v>-7277.37561</v>
      </c>
      <c r="AV109" s="125">
        <f>AH109*Valores!$C$75</f>
        <v>-808.59729</v>
      </c>
      <c r="AW109" s="125">
        <f t="shared" si="14"/>
        <v>231968.22980000003</v>
      </c>
      <c r="AX109" s="126"/>
      <c r="AY109" s="126">
        <v>30</v>
      </c>
      <c r="AZ109" s="123" t="s">
        <v>4</v>
      </c>
    </row>
    <row r="110" spans="1:52" s="110" customFormat="1" ht="11.25" customHeight="1">
      <c r="A110" s="123" t="s">
        <v>310</v>
      </c>
      <c r="B110" s="123">
        <v>1</v>
      </c>
      <c r="C110" s="126">
        <v>103</v>
      </c>
      <c r="D110" s="124" t="s">
        <v>311</v>
      </c>
      <c r="E110" s="192">
        <v>46</v>
      </c>
      <c r="F110" s="125">
        <f>ROUND(E110*Valores!$C$2,2)</f>
        <v>2504.7</v>
      </c>
      <c r="G110" s="192">
        <v>1102</v>
      </c>
      <c r="H110" s="125">
        <f>ROUND(G110*Valores!$C$2,2)</f>
        <v>60003.9</v>
      </c>
      <c r="I110" s="192">
        <v>0</v>
      </c>
      <c r="J110" s="125">
        <f>ROUND(I110*Valores!$C$2,2)</f>
        <v>0</v>
      </c>
      <c r="K110" s="192">
        <v>0</v>
      </c>
      <c r="L110" s="125">
        <f>ROUND(K110*Valores!$C$2,2)</f>
        <v>0</v>
      </c>
      <c r="M110" s="125">
        <f>ROUND(IF($H$2=0,IF(AND(A110&lt;&gt;"13-930",A110&lt;&gt;"13-940"),(SUM(F110,H110,J110,L110,X110,T110,R110)*Valores!$C$4),0),0),2)</f>
        <v>26324.9</v>
      </c>
      <c r="N110" s="125">
        <f t="shared" si="11"/>
        <v>0</v>
      </c>
      <c r="O110" s="125">
        <f>Valores!$C$14</f>
        <v>54217.67</v>
      </c>
      <c r="P110" s="125">
        <f>Valores!$D$5</f>
        <v>27834.84</v>
      </c>
      <c r="Q110" s="125">
        <v>0</v>
      </c>
      <c r="R110" s="125">
        <f>IF($F$4="NO",Valores!$C$42,Valores!$C$42/2)</f>
        <v>17156.73</v>
      </c>
      <c r="S110" s="125">
        <f>Valores!$C$20</f>
        <v>25634.272</v>
      </c>
      <c r="T110" s="125">
        <f t="shared" si="17"/>
        <v>25634.27</v>
      </c>
      <c r="U110" s="125">
        <v>0</v>
      </c>
      <c r="V110" s="125">
        <v>0</v>
      </c>
      <c r="W110" s="192">
        <v>0</v>
      </c>
      <c r="X110" s="125">
        <f>ROUND(W110*Valores!$C$2,2)</f>
        <v>0</v>
      </c>
      <c r="Y110" s="125">
        <v>0</v>
      </c>
      <c r="Z110" s="125">
        <f>Valores!$C$94</f>
        <v>38113.67</v>
      </c>
      <c r="AA110" s="125">
        <f>Valores!$C$25</f>
        <v>1138.39</v>
      </c>
      <c r="AB110" s="214">
        <v>0</v>
      </c>
      <c r="AC110" s="125">
        <f t="shared" si="12"/>
        <v>0</v>
      </c>
      <c r="AD110" s="125">
        <f>Valores!$C$26</f>
        <v>1138.39</v>
      </c>
      <c r="AE110" s="192">
        <v>0</v>
      </c>
      <c r="AF110" s="125">
        <f>ROUND(AE110*Valores!$C$2,2)</f>
        <v>0</v>
      </c>
      <c r="AG110" s="125">
        <f>ROUND(IF($F$4="NO",Valores!$C$63,Valores!$C$63/2),2)</f>
        <v>13014.72</v>
      </c>
      <c r="AH110" s="125">
        <f t="shared" si="15"/>
        <v>267082.18</v>
      </c>
      <c r="AI110" s="125">
        <f>Valores!$C$31</f>
        <v>0</v>
      </c>
      <c r="AJ110" s="125">
        <f>Valores!$C$87</f>
        <v>0</v>
      </c>
      <c r="AK110" s="125">
        <f>Valores!C$38*B110</f>
        <v>0</v>
      </c>
      <c r="AL110" s="125">
        <f>IF($F$3="NO",0,Valores!$C$56)</f>
        <v>170.34</v>
      </c>
      <c r="AM110" s="125">
        <f t="shared" si="13"/>
        <v>170.34</v>
      </c>
      <c r="AN110" s="125">
        <f>AH110*Valores!$C$71</f>
        <v>-29379.0398</v>
      </c>
      <c r="AO110" s="125">
        <f>AH110*-Valores!$C$72</f>
        <v>0</v>
      </c>
      <c r="AP110" s="125">
        <f>AH110*Valores!$C$73</f>
        <v>-12018.6981</v>
      </c>
      <c r="AQ110" s="125">
        <f>Valores!$C$100</f>
        <v>-554.86</v>
      </c>
      <c r="AR110" s="125">
        <f>IF($F$5=0,Valores!$C$101,(Valores!$C$101+$F$5*(Valores!$C$101)))</f>
        <v>-852</v>
      </c>
      <c r="AS110" s="125">
        <f t="shared" si="16"/>
        <v>224447.9221</v>
      </c>
      <c r="AT110" s="125">
        <f t="shared" si="10"/>
        <v>-29379.0398</v>
      </c>
      <c r="AU110" s="125">
        <f>AH110*Valores!$C$74</f>
        <v>-7211.21886</v>
      </c>
      <c r="AV110" s="125">
        <f>AH110*Valores!$C$75</f>
        <v>-801.24654</v>
      </c>
      <c r="AW110" s="125">
        <f t="shared" si="14"/>
        <v>229861.0148</v>
      </c>
      <c r="AX110" s="126"/>
      <c r="AY110" s="126">
        <v>30</v>
      </c>
      <c r="AZ110" s="123" t="s">
        <v>4</v>
      </c>
    </row>
    <row r="111" spans="1:52" s="110" customFormat="1" ht="11.25" customHeight="1">
      <c r="A111" s="123" t="s">
        <v>312</v>
      </c>
      <c r="B111" s="123">
        <v>1</v>
      </c>
      <c r="C111" s="126">
        <v>104</v>
      </c>
      <c r="D111" s="124" t="s">
        <v>313</v>
      </c>
      <c r="E111" s="192">
        <v>66</v>
      </c>
      <c r="F111" s="125">
        <f>ROUND(E111*Valores!$C$2,2)</f>
        <v>3593.7</v>
      </c>
      <c r="G111" s="192">
        <v>1911</v>
      </c>
      <c r="H111" s="125">
        <f>ROUND(G111*Valores!$C$2,2)</f>
        <v>104053.95</v>
      </c>
      <c r="I111" s="192">
        <v>0</v>
      </c>
      <c r="J111" s="125">
        <f>ROUND(I111*Valores!$C$2,2)</f>
        <v>0</v>
      </c>
      <c r="K111" s="192">
        <v>0</v>
      </c>
      <c r="L111" s="125">
        <f>ROUND(K111*Valores!$C$2,2)</f>
        <v>0</v>
      </c>
      <c r="M111" s="125">
        <f>ROUND(IF($H$2=0,IF(AND(A111&lt;&gt;"13-930",A111&lt;&gt;"13-940"),(SUM(F111,H111,J111,L111,X111,T111,R111)*Valores!$C$4),0),0),2)</f>
        <v>37609.66</v>
      </c>
      <c r="N111" s="125">
        <f t="shared" si="11"/>
        <v>0</v>
      </c>
      <c r="O111" s="125">
        <f>Valores!$C$14</f>
        <v>54217.67</v>
      </c>
      <c r="P111" s="125">
        <f>Valores!$D$5</f>
        <v>27834.84</v>
      </c>
      <c r="Q111" s="125">
        <f>Valores!$C$22</f>
        <v>24831.49</v>
      </c>
      <c r="R111" s="125">
        <f>IF($F$4="NO",Valores!$C$42,Valores!$C$42/2)</f>
        <v>17156.73</v>
      </c>
      <c r="S111" s="125">
        <f>Valores!$C$20</f>
        <v>25634.272</v>
      </c>
      <c r="T111" s="125">
        <f t="shared" si="17"/>
        <v>25634.27</v>
      </c>
      <c r="U111" s="125">
        <v>0</v>
      </c>
      <c r="V111" s="125">
        <v>0</v>
      </c>
      <c r="W111" s="192">
        <v>0</v>
      </c>
      <c r="X111" s="125">
        <f>ROUND(W111*Valores!$C$2,2)</f>
        <v>0</v>
      </c>
      <c r="Y111" s="125">
        <v>0</v>
      </c>
      <c r="Z111" s="125">
        <f>Valores!$C$94</f>
        <v>38113.67</v>
      </c>
      <c r="AA111" s="125">
        <f>Valores!$C$25</f>
        <v>1138.39</v>
      </c>
      <c r="AB111" s="214">
        <v>0</v>
      </c>
      <c r="AC111" s="125">
        <f t="shared" si="12"/>
        <v>0</v>
      </c>
      <c r="AD111" s="125">
        <f>Valores!$C$26</f>
        <v>1138.39</v>
      </c>
      <c r="AE111" s="192">
        <v>94</v>
      </c>
      <c r="AF111" s="125">
        <f>ROUND(AE111*Valores!$C$2,2)</f>
        <v>5118.3</v>
      </c>
      <c r="AG111" s="125">
        <f>ROUND(IF($F$4="NO",Valores!$C$63,Valores!$C$63/2),2)</f>
        <v>13014.72</v>
      </c>
      <c r="AH111" s="125">
        <f t="shared" si="15"/>
        <v>353455.77999999997</v>
      </c>
      <c r="AI111" s="125">
        <f>Valores!$C$31</f>
        <v>0</v>
      </c>
      <c r="AJ111" s="125">
        <f>Valores!$C$87</f>
        <v>0</v>
      </c>
      <c r="AK111" s="125">
        <f>Valores!C$38*B111</f>
        <v>0</v>
      </c>
      <c r="AL111" s="125">
        <f>IF($F$3="NO",0,Valores!$C$56)</f>
        <v>170.34</v>
      </c>
      <c r="AM111" s="125">
        <f t="shared" si="13"/>
        <v>170.34</v>
      </c>
      <c r="AN111" s="125">
        <f>AH111*Valores!$C$71</f>
        <v>-38880.1358</v>
      </c>
      <c r="AO111" s="125">
        <f>AH111*-Valores!$C$72</f>
        <v>0</v>
      </c>
      <c r="AP111" s="125">
        <f>AH111*Valores!$C$73</f>
        <v>-15905.510099999998</v>
      </c>
      <c r="AQ111" s="125">
        <f>Valores!$C$100</f>
        <v>-554.86</v>
      </c>
      <c r="AR111" s="125">
        <f>IF($F$5=0,Valores!$C$101,(Valores!$C$101+$F$5*(Valores!$C$101)))</f>
        <v>-852</v>
      </c>
      <c r="AS111" s="125">
        <f t="shared" si="16"/>
        <v>297433.61409999995</v>
      </c>
      <c r="AT111" s="125">
        <f t="shared" si="10"/>
        <v>-38880.1358</v>
      </c>
      <c r="AU111" s="125">
        <f>AH111*Valores!$C$74</f>
        <v>-9543.306059999999</v>
      </c>
      <c r="AV111" s="125">
        <f>AH111*Valores!$C$75</f>
        <v>-1060.36734</v>
      </c>
      <c r="AW111" s="125">
        <f t="shared" si="14"/>
        <v>304142.3108</v>
      </c>
      <c r="AX111" s="126"/>
      <c r="AY111" s="126">
        <v>25</v>
      </c>
      <c r="AZ111" s="123" t="s">
        <v>4</v>
      </c>
    </row>
    <row r="112" spans="1:52" s="110" customFormat="1" ht="11.25" customHeight="1">
      <c r="A112" s="123" t="s">
        <v>314</v>
      </c>
      <c r="B112" s="123">
        <v>1</v>
      </c>
      <c r="C112" s="126">
        <v>105</v>
      </c>
      <c r="D112" s="124" t="s">
        <v>315</v>
      </c>
      <c r="E112" s="192">
        <v>61</v>
      </c>
      <c r="F112" s="125">
        <f>ROUND(E112*Valores!$C$2,2)</f>
        <v>3321.45</v>
      </c>
      <c r="G112" s="192">
        <v>1545</v>
      </c>
      <c r="H112" s="125">
        <f>ROUND(G112*Valores!$C$2,2)</f>
        <v>84125.25</v>
      </c>
      <c r="I112" s="192">
        <v>0</v>
      </c>
      <c r="J112" s="125">
        <f>ROUND(I112*Valores!$C$2,2)</f>
        <v>0</v>
      </c>
      <c r="K112" s="192">
        <v>0</v>
      </c>
      <c r="L112" s="125">
        <f>ROUND(K112*Valores!$C$2,2)</f>
        <v>0</v>
      </c>
      <c r="M112" s="125">
        <f>ROUND(IF($H$2=0,IF(AND(A112&lt;&gt;"13-930",A112&lt;&gt;"13-940"),(SUM(F112,H112,J112,L112,X112,T112,R112)*Valores!$C$4),0),0),2)</f>
        <v>32559.43</v>
      </c>
      <c r="N112" s="125">
        <f t="shared" si="11"/>
        <v>0</v>
      </c>
      <c r="O112" s="125">
        <f>Valores!$C$14</f>
        <v>54217.67</v>
      </c>
      <c r="P112" s="125">
        <f>Valores!$D$5</f>
        <v>27834.84</v>
      </c>
      <c r="Q112" s="125">
        <f>Valores!$C$22</f>
        <v>24831.49</v>
      </c>
      <c r="R112" s="125">
        <f>IF($F$4="NO",Valores!$C$42,Valores!$C$42/2)</f>
        <v>17156.73</v>
      </c>
      <c r="S112" s="125">
        <f>Valores!$C$20</f>
        <v>25634.272</v>
      </c>
      <c r="T112" s="125">
        <f t="shared" si="17"/>
        <v>25634.27</v>
      </c>
      <c r="U112" s="125">
        <v>0</v>
      </c>
      <c r="V112" s="125">
        <v>0</v>
      </c>
      <c r="W112" s="192">
        <v>0</v>
      </c>
      <c r="X112" s="125">
        <f>ROUND(W112*Valores!$C$2,2)</f>
        <v>0</v>
      </c>
      <c r="Y112" s="125">
        <v>0</v>
      </c>
      <c r="Z112" s="125">
        <f>Valores!$C$94</f>
        <v>38113.67</v>
      </c>
      <c r="AA112" s="125">
        <f>Valores!$C$25</f>
        <v>1138.39</v>
      </c>
      <c r="AB112" s="214">
        <v>0</v>
      </c>
      <c r="AC112" s="125">
        <f t="shared" si="12"/>
        <v>0</v>
      </c>
      <c r="AD112" s="125">
        <f>Valores!$C$26</f>
        <v>1138.39</v>
      </c>
      <c r="AE112" s="192">
        <v>94</v>
      </c>
      <c r="AF112" s="125">
        <f>ROUND(AE112*Valores!$C$2,2)</f>
        <v>5118.3</v>
      </c>
      <c r="AG112" s="125">
        <f>ROUND(IF($F$4="NO",Valores!$C$63,Valores!$C$63/2),2)</f>
        <v>13014.72</v>
      </c>
      <c r="AH112" s="125">
        <f t="shared" si="15"/>
        <v>328204.6</v>
      </c>
      <c r="AI112" s="125">
        <f>Valores!$C$31</f>
        <v>0</v>
      </c>
      <c r="AJ112" s="125">
        <f>Valores!$C$87</f>
        <v>0</v>
      </c>
      <c r="AK112" s="125">
        <f>Valores!C$38*B112</f>
        <v>0</v>
      </c>
      <c r="AL112" s="125">
        <f>IF($F$3="NO",0,Valores!$C$56)</f>
        <v>170.34</v>
      </c>
      <c r="AM112" s="125">
        <f t="shared" si="13"/>
        <v>170.34</v>
      </c>
      <c r="AN112" s="125">
        <f>AH112*Valores!$C$71</f>
        <v>-36102.506</v>
      </c>
      <c r="AO112" s="125">
        <f>AH112*-Valores!$C$72</f>
        <v>0</v>
      </c>
      <c r="AP112" s="125">
        <f>AH112*Valores!$C$73</f>
        <v>-14769.206999999999</v>
      </c>
      <c r="AQ112" s="125">
        <f>Valores!$C$100</f>
        <v>-554.86</v>
      </c>
      <c r="AR112" s="125">
        <f>IF($F$5=0,Valores!$C$101,(Valores!$C$101+$F$5*(Valores!$C$101)))</f>
        <v>-852</v>
      </c>
      <c r="AS112" s="125">
        <f t="shared" si="16"/>
        <v>276096.36699999997</v>
      </c>
      <c r="AT112" s="125">
        <f t="shared" si="10"/>
        <v>-36102.506</v>
      </c>
      <c r="AU112" s="125">
        <f>AH112*Valores!$C$74</f>
        <v>-8861.5242</v>
      </c>
      <c r="AV112" s="125">
        <f>AH112*Valores!$C$75</f>
        <v>-984.6138</v>
      </c>
      <c r="AW112" s="125">
        <f t="shared" si="14"/>
        <v>282426.296</v>
      </c>
      <c r="AX112" s="126"/>
      <c r="AY112" s="126">
        <v>25</v>
      </c>
      <c r="AZ112" s="123" t="s">
        <v>8</v>
      </c>
    </row>
    <row r="113" spans="1:52" s="110" customFormat="1" ht="11.25" customHeight="1">
      <c r="A113" s="123" t="s">
        <v>316</v>
      </c>
      <c r="B113" s="123">
        <v>1</v>
      </c>
      <c r="C113" s="126">
        <v>106</v>
      </c>
      <c r="D113" s="124" t="s">
        <v>317</v>
      </c>
      <c r="E113" s="192">
        <f>75+143</f>
        <v>218</v>
      </c>
      <c r="F113" s="125">
        <f>ROUND(E113*Valores!$C$2,2)</f>
        <v>11870.1</v>
      </c>
      <c r="G113" s="192">
        <v>2100</v>
      </c>
      <c r="H113" s="125">
        <f>ROUND(G113*Valores!$C$2,2)</f>
        <v>114345</v>
      </c>
      <c r="I113" s="192">
        <v>0</v>
      </c>
      <c r="J113" s="125">
        <f>ROUND(I113*Valores!$C$2,2)</f>
        <v>0</v>
      </c>
      <c r="K113" s="192">
        <v>0</v>
      </c>
      <c r="L113" s="125">
        <f>ROUND(K113*Valores!$C$2,2)</f>
        <v>0</v>
      </c>
      <c r="M113" s="125">
        <f>ROUND(IF($H$2=0,IF(AND(A113&lt;&gt;"13-930",A113&lt;&gt;"13-940"),(SUM(F113,H113,J113,L113,X113,T113,R113)*Valores!$C$4),0),0),2)</f>
        <v>42251.53</v>
      </c>
      <c r="N113" s="125">
        <f t="shared" si="11"/>
        <v>0</v>
      </c>
      <c r="O113" s="125">
        <f>Valores!$C$14</f>
        <v>54217.67</v>
      </c>
      <c r="P113" s="125">
        <f>Valores!$D$5</f>
        <v>27834.84</v>
      </c>
      <c r="Q113" s="125">
        <f>Valores!$C$22</f>
        <v>24831.49</v>
      </c>
      <c r="R113" s="125">
        <f>IF($F$4="NO",Valores!$C$42,Valores!$C$42/2)</f>
        <v>17156.73</v>
      </c>
      <c r="S113" s="125">
        <f>Valores!$C$20</f>
        <v>25634.272</v>
      </c>
      <c r="T113" s="125">
        <f t="shared" si="17"/>
        <v>25634.27</v>
      </c>
      <c r="U113" s="125">
        <v>0</v>
      </c>
      <c r="V113" s="125">
        <v>0</v>
      </c>
      <c r="W113" s="192">
        <v>0</v>
      </c>
      <c r="X113" s="125">
        <f>ROUND(W113*Valores!$C$2,2)</f>
        <v>0</v>
      </c>
      <c r="Y113" s="125">
        <v>0</v>
      </c>
      <c r="Z113" s="125">
        <f>Valores!$C$94</f>
        <v>38113.67</v>
      </c>
      <c r="AA113" s="125">
        <f>Valores!$C$25</f>
        <v>1138.39</v>
      </c>
      <c r="AB113" s="214">
        <v>0</v>
      </c>
      <c r="AC113" s="125">
        <f t="shared" si="12"/>
        <v>0</v>
      </c>
      <c r="AD113" s="125">
        <f>Valores!$C$26</f>
        <v>1138.39</v>
      </c>
      <c r="AE113" s="192">
        <v>0</v>
      </c>
      <c r="AF113" s="125">
        <f>ROUND(AE113*Valores!$C$2,2)</f>
        <v>0</v>
      </c>
      <c r="AG113" s="125">
        <f>ROUND(IF($F$4="NO",Valores!$C$63,Valores!$C$63/2),2)</f>
        <v>13014.72</v>
      </c>
      <c r="AH113" s="125">
        <f t="shared" si="15"/>
        <v>371546.8</v>
      </c>
      <c r="AI113" s="125">
        <f>Valores!$C$31</f>
        <v>0</v>
      </c>
      <c r="AJ113" s="125">
        <f>Valores!$C$87</f>
        <v>0</v>
      </c>
      <c r="AK113" s="125">
        <f>Valores!C$38*B113</f>
        <v>0</v>
      </c>
      <c r="AL113" s="125">
        <f>IF($F$3="NO",0,Valores!$C$56)</f>
        <v>170.34</v>
      </c>
      <c r="AM113" s="125">
        <f t="shared" si="13"/>
        <v>170.34</v>
      </c>
      <c r="AN113" s="125">
        <f>AH113*Valores!$C$71</f>
        <v>-40870.148</v>
      </c>
      <c r="AO113" s="125">
        <f>AH113*-Valores!$C$72</f>
        <v>0</v>
      </c>
      <c r="AP113" s="125">
        <f>AH113*Valores!$C$73</f>
        <v>-16719.606</v>
      </c>
      <c r="AQ113" s="125">
        <f>Valores!$C$100</f>
        <v>-554.86</v>
      </c>
      <c r="AR113" s="125">
        <f>IF($F$5=0,Valores!$C$101,(Valores!$C$101+$F$5*(Valores!$C$101)))</f>
        <v>-852</v>
      </c>
      <c r="AS113" s="125">
        <f t="shared" si="16"/>
        <v>312720.52599999995</v>
      </c>
      <c r="AT113" s="125">
        <f t="shared" si="10"/>
        <v>-40870.148</v>
      </c>
      <c r="AU113" s="125">
        <f>AH113*Valores!$C$74</f>
        <v>-10031.7636</v>
      </c>
      <c r="AV113" s="125">
        <f>AH113*Valores!$C$75</f>
        <v>-1114.6404</v>
      </c>
      <c r="AW113" s="125">
        <f t="shared" si="14"/>
        <v>319700.588</v>
      </c>
      <c r="AX113" s="126"/>
      <c r="AY113" s="126">
        <v>30</v>
      </c>
      <c r="AZ113" s="123" t="s">
        <v>4</v>
      </c>
    </row>
    <row r="114" spans="1:52" s="110" customFormat="1" ht="11.25" customHeight="1">
      <c r="A114" s="123" t="s">
        <v>318</v>
      </c>
      <c r="B114" s="123">
        <v>1</v>
      </c>
      <c r="C114" s="126">
        <v>107</v>
      </c>
      <c r="D114" s="124" t="s">
        <v>319</v>
      </c>
      <c r="E114" s="192">
        <f>77+143</f>
        <v>220</v>
      </c>
      <c r="F114" s="125">
        <f>ROUND(E114*Valores!$C$2,2)</f>
        <v>11979</v>
      </c>
      <c r="G114" s="192">
        <v>1995</v>
      </c>
      <c r="H114" s="125">
        <f>ROUND(G114*Valores!$C$2,2)</f>
        <v>108627.75</v>
      </c>
      <c r="I114" s="192">
        <v>0</v>
      </c>
      <c r="J114" s="125">
        <f>ROUND(I114*Valores!$C$2,2)</f>
        <v>0</v>
      </c>
      <c r="K114" s="192">
        <v>0</v>
      </c>
      <c r="L114" s="125">
        <f>ROUND(K114*Valores!$C$2,2)</f>
        <v>0</v>
      </c>
      <c r="M114" s="125">
        <f>ROUND(IF($H$2=0,IF(AND(A114&lt;&gt;"13-930",A114&lt;&gt;"13-940"),(SUM(F114,H114,J114,L114,X114,T114,R114)*Valores!$C$4),0),0),2)</f>
        <v>40849.44</v>
      </c>
      <c r="N114" s="125">
        <f t="shared" si="11"/>
        <v>0</v>
      </c>
      <c r="O114" s="125">
        <f>Valores!$C$14</f>
        <v>54217.67</v>
      </c>
      <c r="P114" s="125">
        <f>Valores!$D$5</f>
        <v>27834.84</v>
      </c>
      <c r="Q114" s="125">
        <f>Valores!$C$22</f>
        <v>24831.49</v>
      </c>
      <c r="R114" s="125">
        <f>IF($F$4="NO",Valores!$C$42,Valores!$C$42/2)</f>
        <v>17156.73</v>
      </c>
      <c r="S114" s="125">
        <f>Valores!$C$20</f>
        <v>25634.272</v>
      </c>
      <c r="T114" s="125">
        <f t="shared" si="17"/>
        <v>25634.27</v>
      </c>
      <c r="U114" s="125">
        <v>0</v>
      </c>
      <c r="V114" s="125">
        <v>0</v>
      </c>
      <c r="W114" s="192">
        <v>0</v>
      </c>
      <c r="X114" s="125">
        <f>ROUND(W114*Valores!$C$2,2)</f>
        <v>0</v>
      </c>
      <c r="Y114" s="125">
        <v>0</v>
      </c>
      <c r="Z114" s="125">
        <f>Valores!$C$94</f>
        <v>38113.67</v>
      </c>
      <c r="AA114" s="125">
        <f>Valores!$C$25</f>
        <v>1138.39</v>
      </c>
      <c r="AB114" s="214">
        <v>0</v>
      </c>
      <c r="AC114" s="125">
        <f t="shared" si="12"/>
        <v>0</v>
      </c>
      <c r="AD114" s="125">
        <f>Valores!$C$26</f>
        <v>1138.39</v>
      </c>
      <c r="AE114" s="192">
        <v>0</v>
      </c>
      <c r="AF114" s="125">
        <f>ROUND(AE114*Valores!$C$2,2)</f>
        <v>0</v>
      </c>
      <c r="AG114" s="125">
        <f>ROUND(IF($F$4="NO",Valores!$C$63,Valores!$C$63/2),2)</f>
        <v>13014.72</v>
      </c>
      <c r="AH114" s="125">
        <f t="shared" si="15"/>
        <v>364536.36</v>
      </c>
      <c r="AI114" s="125">
        <f>Valores!$C$31</f>
        <v>0</v>
      </c>
      <c r="AJ114" s="125">
        <f>Valores!$C$87</f>
        <v>0</v>
      </c>
      <c r="AK114" s="125">
        <f>Valores!C$38*B114</f>
        <v>0</v>
      </c>
      <c r="AL114" s="125">
        <f>IF($F$3="NO",0,Valores!$C$56)</f>
        <v>170.34</v>
      </c>
      <c r="AM114" s="125">
        <f t="shared" si="13"/>
        <v>170.34</v>
      </c>
      <c r="AN114" s="125">
        <f>AH114*Valores!$C$71</f>
        <v>-40098.999599999996</v>
      </c>
      <c r="AO114" s="125">
        <f>AH114*-Valores!$C$72</f>
        <v>0</v>
      </c>
      <c r="AP114" s="125">
        <f>AH114*Valores!$C$73</f>
        <v>-16404.136199999997</v>
      </c>
      <c r="AQ114" s="125">
        <f>Valores!$C$100</f>
        <v>-554.86</v>
      </c>
      <c r="AR114" s="125">
        <f>IF($F$5=0,Valores!$C$101,(Valores!$C$101+$F$5*(Valores!$C$101)))</f>
        <v>-852</v>
      </c>
      <c r="AS114" s="125">
        <f t="shared" si="16"/>
        <v>306796.7042</v>
      </c>
      <c r="AT114" s="125">
        <f t="shared" si="10"/>
        <v>-40098.999599999996</v>
      </c>
      <c r="AU114" s="125">
        <f>AH114*Valores!$C$74</f>
        <v>-9842.48172</v>
      </c>
      <c r="AV114" s="125">
        <f>AH114*Valores!$C$75</f>
        <v>-1093.60908</v>
      </c>
      <c r="AW114" s="125">
        <f t="shared" si="14"/>
        <v>313671.6096</v>
      </c>
      <c r="AX114" s="126"/>
      <c r="AY114" s="126">
        <v>30</v>
      </c>
      <c r="AZ114" s="123" t="s">
        <v>4</v>
      </c>
    </row>
    <row r="115" spans="1:52" s="110" customFormat="1" ht="11.25" customHeight="1">
      <c r="A115" s="123" t="s">
        <v>320</v>
      </c>
      <c r="B115" s="123">
        <v>1</v>
      </c>
      <c r="C115" s="126">
        <v>108</v>
      </c>
      <c r="D115" s="124" t="s">
        <v>321</v>
      </c>
      <c r="E115" s="192">
        <f>72+115</f>
        <v>187</v>
      </c>
      <c r="F115" s="125">
        <f>ROUND(E115*Valores!$C$2,2)</f>
        <v>10182.15</v>
      </c>
      <c r="G115" s="192">
        <v>1704</v>
      </c>
      <c r="H115" s="125">
        <f>ROUND(G115*Valores!$C$2,2)</f>
        <v>92782.8</v>
      </c>
      <c r="I115" s="192">
        <v>0</v>
      </c>
      <c r="J115" s="125">
        <f>ROUND(I115*Valores!$C$2,2)</f>
        <v>0</v>
      </c>
      <c r="K115" s="192">
        <v>0</v>
      </c>
      <c r="L115" s="125">
        <f>ROUND(K115*Valores!$C$2,2)</f>
        <v>0</v>
      </c>
      <c r="M115" s="125">
        <f>ROUND(IF($H$2=0,IF(AND(A115&lt;&gt;"13-930",A115&lt;&gt;"13-940"),(SUM(F115,H115,J115,L115,X115,T115,R115)*Valores!$C$4),0),0),2)</f>
        <v>36438.99</v>
      </c>
      <c r="N115" s="125">
        <f t="shared" si="11"/>
        <v>0</v>
      </c>
      <c r="O115" s="125">
        <f>Valores!$C$14</f>
        <v>54217.67</v>
      </c>
      <c r="P115" s="125">
        <f>Valores!$D$5</f>
        <v>27834.84</v>
      </c>
      <c r="Q115" s="125">
        <f>Valores!$C$22</f>
        <v>24831.49</v>
      </c>
      <c r="R115" s="125">
        <f>IF($F$4="NO",Valores!$C$42,Valores!$C$42/2)</f>
        <v>17156.73</v>
      </c>
      <c r="S115" s="125">
        <f>Valores!$C$20</f>
        <v>25634.272</v>
      </c>
      <c r="T115" s="125">
        <f t="shared" si="17"/>
        <v>25634.27</v>
      </c>
      <c r="U115" s="125">
        <v>0</v>
      </c>
      <c r="V115" s="125">
        <v>0</v>
      </c>
      <c r="W115" s="192">
        <v>0</v>
      </c>
      <c r="X115" s="125">
        <f>ROUND(W115*Valores!$C$2,2)</f>
        <v>0</v>
      </c>
      <c r="Y115" s="125">
        <v>0</v>
      </c>
      <c r="Z115" s="125">
        <f>Valores!$C$94</f>
        <v>38113.67</v>
      </c>
      <c r="AA115" s="125">
        <f>Valores!$C$25</f>
        <v>1138.39</v>
      </c>
      <c r="AB115" s="214">
        <v>0</v>
      </c>
      <c r="AC115" s="125">
        <f t="shared" si="12"/>
        <v>0</v>
      </c>
      <c r="AD115" s="125">
        <f>Valores!$C$26</f>
        <v>1138.39</v>
      </c>
      <c r="AE115" s="192">
        <v>0</v>
      </c>
      <c r="AF115" s="125">
        <f>ROUND(AE115*Valores!$C$2,2)</f>
        <v>0</v>
      </c>
      <c r="AG115" s="125">
        <f>ROUND(IF($F$4="NO",Valores!$C$63,Valores!$C$63/2),2)</f>
        <v>13014.72</v>
      </c>
      <c r="AH115" s="125">
        <f t="shared" si="15"/>
        <v>342484.11</v>
      </c>
      <c r="AI115" s="125">
        <f>Valores!$C$31</f>
        <v>0</v>
      </c>
      <c r="AJ115" s="125">
        <f>Valores!$C$87</f>
        <v>0</v>
      </c>
      <c r="AK115" s="125">
        <f>Valores!C$38*B115</f>
        <v>0</v>
      </c>
      <c r="AL115" s="125">
        <f>IF($F$3="NO",0,Valores!$C$56)</f>
        <v>170.34</v>
      </c>
      <c r="AM115" s="125">
        <f t="shared" si="13"/>
        <v>170.34</v>
      </c>
      <c r="AN115" s="125">
        <f>AH115*Valores!$C$71</f>
        <v>-37673.2521</v>
      </c>
      <c r="AO115" s="125">
        <f>AH115*-Valores!$C$72</f>
        <v>0</v>
      </c>
      <c r="AP115" s="125">
        <f>AH115*Valores!$C$73</f>
        <v>-15411.78495</v>
      </c>
      <c r="AQ115" s="125">
        <f>Valores!$C$100</f>
        <v>-554.86</v>
      </c>
      <c r="AR115" s="125">
        <f>IF($F$5=0,Valores!$C$101,(Valores!$C$101+$F$5*(Valores!$C$101)))</f>
        <v>-852</v>
      </c>
      <c r="AS115" s="125">
        <f t="shared" si="16"/>
        <v>288162.55295</v>
      </c>
      <c r="AT115" s="125">
        <f t="shared" si="10"/>
        <v>-37673.2521</v>
      </c>
      <c r="AU115" s="125">
        <f>AH115*Valores!$C$74</f>
        <v>-9247.070969999999</v>
      </c>
      <c r="AV115" s="125">
        <f>AH115*Valores!$C$75</f>
        <v>-1027.45233</v>
      </c>
      <c r="AW115" s="125">
        <f t="shared" si="14"/>
        <v>294706.6746</v>
      </c>
      <c r="AX115" s="126"/>
      <c r="AY115" s="126">
        <v>30</v>
      </c>
      <c r="AZ115" s="123" t="s">
        <v>4</v>
      </c>
    </row>
    <row r="116" spans="1:52" s="110" customFormat="1" ht="11.25" customHeight="1">
      <c r="A116" s="123" t="s">
        <v>322</v>
      </c>
      <c r="B116" s="123">
        <v>1</v>
      </c>
      <c r="C116" s="126">
        <v>109</v>
      </c>
      <c r="D116" s="124" t="s">
        <v>323</v>
      </c>
      <c r="E116" s="192">
        <f>67+94</f>
        <v>161</v>
      </c>
      <c r="F116" s="125">
        <f>ROUND(E116*Valores!$C$2,2)</f>
        <v>8766.45</v>
      </c>
      <c r="G116" s="192">
        <v>1480</v>
      </c>
      <c r="H116" s="125">
        <f>ROUND(G116*Valores!$C$2,2)</f>
        <v>80586</v>
      </c>
      <c r="I116" s="192">
        <v>0</v>
      </c>
      <c r="J116" s="125">
        <f>ROUND(I116*Valores!$C$2,2)</f>
        <v>0</v>
      </c>
      <c r="K116" s="192">
        <v>0</v>
      </c>
      <c r="L116" s="125">
        <f>ROUND(K116*Valores!$C$2,2)</f>
        <v>0</v>
      </c>
      <c r="M116" s="125">
        <f>ROUND(IF($H$2=0,IF(AND(A116&lt;&gt;"13-930",A116&lt;&gt;"13-940"),(SUM(F116,H116,J116,L116,X116,T116,R116)*Valores!$C$4),0),0),2)</f>
        <v>33035.86</v>
      </c>
      <c r="N116" s="125">
        <f t="shared" si="11"/>
        <v>0</v>
      </c>
      <c r="O116" s="125">
        <f>Valores!$C$14</f>
        <v>54217.67</v>
      </c>
      <c r="P116" s="125">
        <f>Valores!$D$5</f>
        <v>27834.84</v>
      </c>
      <c r="Q116" s="125">
        <f>Valores!$C$22</f>
        <v>24831.49</v>
      </c>
      <c r="R116" s="125">
        <f>IF($F$4="NO",Valores!$C$42,Valores!$C$42/2)</f>
        <v>17156.73</v>
      </c>
      <c r="S116" s="125">
        <f>Valores!$C$20</f>
        <v>25634.272</v>
      </c>
      <c r="T116" s="125">
        <f t="shared" si="17"/>
        <v>25634.27</v>
      </c>
      <c r="U116" s="125">
        <v>0</v>
      </c>
      <c r="V116" s="125">
        <v>0</v>
      </c>
      <c r="W116" s="192">
        <v>0</v>
      </c>
      <c r="X116" s="125">
        <f>ROUND(W116*Valores!$C$2,2)</f>
        <v>0</v>
      </c>
      <c r="Y116" s="125">
        <v>0</v>
      </c>
      <c r="Z116" s="125">
        <f>Valores!$C$94</f>
        <v>38113.67</v>
      </c>
      <c r="AA116" s="125">
        <f>Valores!$C$25</f>
        <v>1138.39</v>
      </c>
      <c r="AB116" s="214">
        <v>0</v>
      </c>
      <c r="AC116" s="125">
        <f t="shared" si="12"/>
        <v>0</v>
      </c>
      <c r="AD116" s="125">
        <f>Valores!$C$26</f>
        <v>1138.39</v>
      </c>
      <c r="AE116" s="192">
        <v>0</v>
      </c>
      <c r="AF116" s="125">
        <f>ROUND(AE116*Valores!$C$2,2)</f>
        <v>0</v>
      </c>
      <c r="AG116" s="125">
        <f>ROUND(IF($F$4="NO",Valores!$C$63,Valores!$C$63/2),2)</f>
        <v>13014.72</v>
      </c>
      <c r="AH116" s="125">
        <f t="shared" si="15"/>
        <v>325468.48</v>
      </c>
      <c r="AI116" s="125">
        <f>Valores!$C$31</f>
        <v>0</v>
      </c>
      <c r="AJ116" s="125">
        <f>Valores!$C$87</f>
        <v>0</v>
      </c>
      <c r="AK116" s="125">
        <f>Valores!C$38*B116</f>
        <v>0</v>
      </c>
      <c r="AL116" s="125">
        <f>IF($F$3="NO",0,Valores!$C$56)</f>
        <v>170.34</v>
      </c>
      <c r="AM116" s="125">
        <f t="shared" si="13"/>
        <v>170.34</v>
      </c>
      <c r="AN116" s="125">
        <f>AH116*Valores!$C$71</f>
        <v>-35801.5328</v>
      </c>
      <c r="AO116" s="125">
        <f>AH116*-Valores!$C$72</f>
        <v>0</v>
      </c>
      <c r="AP116" s="125">
        <f>AH116*Valores!$C$73</f>
        <v>-14646.0816</v>
      </c>
      <c r="AQ116" s="125">
        <f>Valores!$C$100</f>
        <v>-554.86</v>
      </c>
      <c r="AR116" s="125">
        <f>IF($F$5=0,Valores!$C$101,(Valores!$C$101+$F$5*(Valores!$C$101)))</f>
        <v>-852</v>
      </c>
      <c r="AS116" s="125">
        <f t="shared" si="16"/>
        <v>273784.3456</v>
      </c>
      <c r="AT116" s="125">
        <f t="shared" si="10"/>
        <v>-35801.5328</v>
      </c>
      <c r="AU116" s="125">
        <f>AH116*Valores!$C$74</f>
        <v>-8787.648959999999</v>
      </c>
      <c r="AV116" s="125">
        <f>AH116*Valores!$C$75</f>
        <v>-976.40544</v>
      </c>
      <c r="AW116" s="125">
        <f t="shared" si="14"/>
        <v>280073.2328</v>
      </c>
      <c r="AX116" s="126"/>
      <c r="AY116" s="126">
        <v>30</v>
      </c>
      <c r="AZ116" s="123" t="s">
        <v>4</v>
      </c>
    </row>
    <row r="117" spans="1:52" s="110" customFormat="1" ht="11.25" customHeight="1">
      <c r="A117" s="123" t="s">
        <v>324</v>
      </c>
      <c r="B117" s="123">
        <v>1</v>
      </c>
      <c r="C117" s="126">
        <v>110</v>
      </c>
      <c r="D117" s="124" t="s">
        <v>325</v>
      </c>
      <c r="E117" s="192">
        <f>1184+94</f>
        <v>1278</v>
      </c>
      <c r="F117" s="125">
        <f>ROUND(E117*Valores!$C$2,2)</f>
        <v>69587.1</v>
      </c>
      <c r="G117" s="192">
        <v>0</v>
      </c>
      <c r="H117" s="125">
        <f>ROUND(G117*Valores!$C$2,2)</f>
        <v>0</v>
      </c>
      <c r="I117" s="192">
        <v>0</v>
      </c>
      <c r="J117" s="125">
        <f>ROUND(I117*Valores!$C$2,2)</f>
        <v>0</v>
      </c>
      <c r="K117" s="192">
        <v>0</v>
      </c>
      <c r="L117" s="125">
        <f>ROUND(K117*Valores!$C$2,2)</f>
        <v>0</v>
      </c>
      <c r="M117" s="125">
        <f>ROUND(IF($H$2=0,IF(AND(A117&lt;&gt;"13-930",A117&lt;&gt;"13-940"),(SUM(F117,H117,J117,L117,X117,T117,R117)*Valores!$C$4),0),0),2)</f>
        <v>28094.53</v>
      </c>
      <c r="N117" s="125">
        <f t="shared" si="11"/>
        <v>0</v>
      </c>
      <c r="O117" s="125">
        <f>Valores!$C$14</f>
        <v>54217.67</v>
      </c>
      <c r="P117" s="125">
        <f>Valores!$D$5</f>
        <v>27834.84</v>
      </c>
      <c r="Q117" s="125">
        <f>Valores!$C$22</f>
        <v>24831.49</v>
      </c>
      <c r="R117" s="125">
        <f>IF($F$4="NO",Valores!$C$42,Valores!$C$42/2)</f>
        <v>17156.73</v>
      </c>
      <c r="S117" s="125">
        <f>Valores!$C$20</f>
        <v>25634.272</v>
      </c>
      <c r="T117" s="125">
        <f t="shared" si="17"/>
        <v>25634.27</v>
      </c>
      <c r="U117" s="125">
        <v>0</v>
      </c>
      <c r="V117" s="125">
        <v>0</v>
      </c>
      <c r="W117" s="192">
        <v>0</v>
      </c>
      <c r="X117" s="125">
        <f>ROUND(W117*Valores!$C$2,2)</f>
        <v>0</v>
      </c>
      <c r="Y117" s="125">
        <v>0</v>
      </c>
      <c r="Z117" s="125">
        <f>Valores!$C$94</f>
        <v>38113.67</v>
      </c>
      <c r="AA117" s="125">
        <f>Valores!$C$25</f>
        <v>1138.39</v>
      </c>
      <c r="AB117" s="214">
        <v>0</v>
      </c>
      <c r="AC117" s="125">
        <f t="shared" si="12"/>
        <v>0</v>
      </c>
      <c r="AD117" s="125">
        <f>Valores!$C$26</f>
        <v>1138.39</v>
      </c>
      <c r="AE117" s="192">
        <v>0</v>
      </c>
      <c r="AF117" s="125">
        <f>ROUND(AE117*Valores!$C$2,2)</f>
        <v>0</v>
      </c>
      <c r="AG117" s="125">
        <f>ROUND(IF($F$4="NO",Valores!$C$63,Valores!$C$63/2),2)</f>
        <v>13014.72</v>
      </c>
      <c r="AH117" s="125">
        <f t="shared" si="15"/>
        <v>300761.8</v>
      </c>
      <c r="AI117" s="125">
        <f>Valores!$C$31</f>
        <v>0</v>
      </c>
      <c r="AJ117" s="125">
        <f>Valores!$C$87</f>
        <v>0</v>
      </c>
      <c r="AK117" s="125">
        <f>Valores!C$38*B117</f>
        <v>0</v>
      </c>
      <c r="AL117" s="125">
        <f>IF($F$3="NO",0,Valores!$C$56)</f>
        <v>170.34</v>
      </c>
      <c r="AM117" s="125">
        <f t="shared" si="13"/>
        <v>170.34</v>
      </c>
      <c r="AN117" s="125">
        <f>AH117*Valores!$C$71</f>
        <v>-33083.798</v>
      </c>
      <c r="AO117" s="125">
        <f>AH117*-Valores!$C$72</f>
        <v>0</v>
      </c>
      <c r="AP117" s="125">
        <f>AH117*Valores!$C$73</f>
        <v>-13534.280999999999</v>
      </c>
      <c r="AQ117" s="125">
        <f>Valores!$C$100</f>
        <v>-554.86</v>
      </c>
      <c r="AR117" s="125">
        <f>IF($F$5=0,Valores!$C$101,(Valores!$C$101+$F$5*(Valores!$C$101)))</f>
        <v>-852</v>
      </c>
      <c r="AS117" s="125">
        <f t="shared" si="16"/>
        <v>252907.201</v>
      </c>
      <c r="AT117" s="125">
        <f t="shared" si="10"/>
        <v>-33083.798</v>
      </c>
      <c r="AU117" s="125">
        <f>AH117*Valores!$C$74</f>
        <v>-8120.5686</v>
      </c>
      <c r="AV117" s="125">
        <f>AH117*Valores!$C$75</f>
        <v>-902.2854</v>
      </c>
      <c r="AW117" s="125">
        <f t="shared" si="14"/>
        <v>258825.488</v>
      </c>
      <c r="AX117" s="126"/>
      <c r="AY117" s="126">
        <v>30</v>
      </c>
      <c r="AZ117" s="123" t="s">
        <v>4</v>
      </c>
    </row>
    <row r="118" spans="1:52" s="110" customFormat="1" ht="11.25" customHeight="1">
      <c r="A118" s="123" t="s">
        <v>326</v>
      </c>
      <c r="B118" s="123">
        <v>1</v>
      </c>
      <c r="C118" s="126">
        <v>111</v>
      </c>
      <c r="D118" s="124" t="s">
        <v>327</v>
      </c>
      <c r="E118" s="192">
        <v>77</v>
      </c>
      <c r="F118" s="125">
        <f>ROUND(E118*Valores!$C$2,2)</f>
        <v>4192.65</v>
      </c>
      <c r="G118" s="192">
        <v>2073</v>
      </c>
      <c r="H118" s="125">
        <f>ROUND(G118*Valores!$C$2,2)</f>
        <v>112874.85</v>
      </c>
      <c r="I118" s="192">
        <v>0</v>
      </c>
      <c r="J118" s="125">
        <f>ROUND(I118*Valores!$C$2,2)</f>
        <v>0</v>
      </c>
      <c r="K118" s="192">
        <v>0</v>
      </c>
      <c r="L118" s="125">
        <f>ROUND(K118*Valores!$C$2,2)</f>
        <v>0</v>
      </c>
      <c r="M118" s="125">
        <f>ROUND(IF($H$2=0,IF(AND(A118&lt;&gt;"13-930",A118&lt;&gt;"13-940"),(SUM(F118,H118,J118,L118,X118,T118,R118)*Valores!$C$4),0),0),2)</f>
        <v>40575.47</v>
      </c>
      <c r="N118" s="125">
        <f t="shared" si="11"/>
        <v>0</v>
      </c>
      <c r="O118" s="125">
        <f>Valores!$C$8</f>
        <v>68242.23</v>
      </c>
      <c r="P118" s="125">
        <f>Valores!$D$5</f>
        <v>27834.84</v>
      </c>
      <c r="Q118" s="125">
        <f>Valores!$C$22</f>
        <v>24831.49</v>
      </c>
      <c r="R118" s="125">
        <f>IF($F$4="NO",Valores!$C$44,Valores!$C$44/2)</f>
        <v>19335.33</v>
      </c>
      <c r="S118" s="125">
        <f>Valores!$C$19</f>
        <v>25899.06</v>
      </c>
      <c r="T118" s="125">
        <f t="shared" si="17"/>
        <v>25899.06</v>
      </c>
      <c r="U118" s="125">
        <v>0</v>
      </c>
      <c r="V118" s="125">
        <v>0</v>
      </c>
      <c r="W118" s="192">
        <v>0</v>
      </c>
      <c r="X118" s="125">
        <f>ROUND(W118*Valores!$C$2,2)</f>
        <v>0</v>
      </c>
      <c r="Y118" s="125">
        <v>0</v>
      </c>
      <c r="Z118" s="125">
        <f>Valores!$C$94</f>
        <v>38113.67</v>
      </c>
      <c r="AA118" s="125">
        <f>Valores!$C$25</f>
        <v>1138.39</v>
      </c>
      <c r="AB118" s="214">
        <v>0</v>
      </c>
      <c r="AC118" s="125">
        <f t="shared" si="12"/>
        <v>0</v>
      </c>
      <c r="AD118" s="125">
        <f>Valores!$C$26</f>
        <v>1138.39</v>
      </c>
      <c r="AE118" s="192">
        <v>0</v>
      </c>
      <c r="AF118" s="125">
        <f>ROUND(AE118*Valores!$C$2,2)</f>
        <v>0</v>
      </c>
      <c r="AG118" s="125">
        <f>ROUND(IF($F$4="NO",Valores!$C$63,Valores!$C$63/2),2)</f>
        <v>13014.72</v>
      </c>
      <c r="AH118" s="125">
        <f t="shared" si="15"/>
        <v>377191.09</v>
      </c>
      <c r="AI118" s="125">
        <f>Valores!$C$31</f>
        <v>0</v>
      </c>
      <c r="AJ118" s="125">
        <f>Valores!$C$87</f>
        <v>0</v>
      </c>
      <c r="AK118" s="125">
        <f>Valores!C$38*B118</f>
        <v>0</v>
      </c>
      <c r="AL118" s="125">
        <f>IF($F$3="NO",0,Valores!$C$56)</f>
        <v>170.34</v>
      </c>
      <c r="AM118" s="125">
        <f t="shared" si="13"/>
        <v>170.34</v>
      </c>
      <c r="AN118" s="125">
        <f>AH118*Valores!$C$71</f>
        <v>-41491.01990000001</v>
      </c>
      <c r="AO118" s="125">
        <f>AH118*-Valores!$C$72</f>
        <v>0</v>
      </c>
      <c r="AP118" s="125">
        <f>AH118*Valores!$C$73</f>
        <v>-16973.59905</v>
      </c>
      <c r="AQ118" s="125">
        <f>Valores!$C$100</f>
        <v>-554.86</v>
      </c>
      <c r="AR118" s="125">
        <f>IF($F$5=0,Valores!$C$101,(Valores!$C$101+$F$5*(Valores!$C$101)))</f>
        <v>-852</v>
      </c>
      <c r="AS118" s="125">
        <f t="shared" si="16"/>
        <v>317489.95105000003</v>
      </c>
      <c r="AT118" s="125">
        <f t="shared" si="10"/>
        <v>-41491.01990000001</v>
      </c>
      <c r="AU118" s="125">
        <f>AH118*Valores!$C$74</f>
        <v>-10184.15943</v>
      </c>
      <c r="AV118" s="125">
        <f>AH118*Valores!$C$75</f>
        <v>-1131.57327</v>
      </c>
      <c r="AW118" s="125">
        <f t="shared" si="14"/>
        <v>324554.67740000004</v>
      </c>
      <c r="AX118" s="126"/>
      <c r="AY118" s="126">
        <v>30</v>
      </c>
      <c r="AZ118" s="123" t="s">
        <v>4</v>
      </c>
    </row>
    <row r="119" spans="1:52" s="110" customFormat="1" ht="11.25" customHeight="1">
      <c r="A119" s="123" t="s">
        <v>328</v>
      </c>
      <c r="B119" s="123">
        <v>1</v>
      </c>
      <c r="C119" s="126">
        <v>112</v>
      </c>
      <c r="D119" s="124" t="s">
        <v>329</v>
      </c>
      <c r="E119" s="192">
        <v>77</v>
      </c>
      <c r="F119" s="125">
        <f>ROUND(E119*Valores!$C$2,2)</f>
        <v>4192.65</v>
      </c>
      <c r="G119" s="192">
        <v>2043</v>
      </c>
      <c r="H119" s="125">
        <f>ROUND(G119*Valores!$C$2,2)</f>
        <v>111241.35</v>
      </c>
      <c r="I119" s="192">
        <v>0</v>
      </c>
      <c r="J119" s="125">
        <f>ROUND(I119*Valores!$C$2,2)</f>
        <v>0</v>
      </c>
      <c r="K119" s="192">
        <v>0</v>
      </c>
      <c r="L119" s="125">
        <f>ROUND(K119*Valores!$C$2,2)</f>
        <v>0</v>
      </c>
      <c r="M119" s="125">
        <f>ROUND(IF($H$2=0,IF(AND(A119&lt;&gt;"13-930",A119&lt;&gt;"13-940"),(SUM(F119,H119,J119,L119,X119,T119,R119)*Valores!$C$4),0),0),2)</f>
        <v>40167.1</v>
      </c>
      <c r="N119" s="125">
        <f t="shared" si="11"/>
        <v>0</v>
      </c>
      <c r="O119" s="125">
        <f>Valores!$C$9</f>
        <v>68418.57</v>
      </c>
      <c r="P119" s="125">
        <f>Valores!$D$5</f>
        <v>27834.84</v>
      </c>
      <c r="Q119" s="125">
        <f>Valores!$C$22</f>
        <v>24831.49</v>
      </c>
      <c r="R119" s="125">
        <f>IF($F$4="NO",Valores!$C$44,Valores!$C$44/2)</f>
        <v>19335.33</v>
      </c>
      <c r="S119" s="125">
        <f>Valores!$C$19</f>
        <v>25899.06</v>
      </c>
      <c r="T119" s="125">
        <f t="shared" si="17"/>
        <v>25899.06</v>
      </c>
      <c r="U119" s="125">
        <v>0</v>
      </c>
      <c r="V119" s="125">
        <v>0</v>
      </c>
      <c r="W119" s="192">
        <v>0</v>
      </c>
      <c r="X119" s="125">
        <f>ROUND(W119*Valores!$C$2,2)</f>
        <v>0</v>
      </c>
      <c r="Y119" s="125">
        <v>0</v>
      </c>
      <c r="Z119" s="125">
        <f>Valores!$C$94</f>
        <v>38113.67</v>
      </c>
      <c r="AA119" s="125">
        <f>Valores!$C$25</f>
        <v>1138.39</v>
      </c>
      <c r="AB119" s="214">
        <v>0</v>
      </c>
      <c r="AC119" s="125">
        <f t="shared" si="12"/>
        <v>0</v>
      </c>
      <c r="AD119" s="125">
        <f>Valores!$C$26</f>
        <v>1138.39</v>
      </c>
      <c r="AE119" s="192">
        <v>0</v>
      </c>
      <c r="AF119" s="125">
        <f>ROUND(AE119*Valores!$C$2,2)</f>
        <v>0</v>
      </c>
      <c r="AG119" s="125">
        <f>ROUND(IF($F$4="NO",Valores!$C$63,Valores!$C$63/2),2)</f>
        <v>13014.72</v>
      </c>
      <c r="AH119" s="125">
        <f t="shared" si="15"/>
        <v>375325.56</v>
      </c>
      <c r="AI119" s="125">
        <f>Valores!$C$31</f>
        <v>0</v>
      </c>
      <c r="AJ119" s="125">
        <f>Valores!$C$87</f>
        <v>0</v>
      </c>
      <c r="AK119" s="125">
        <f>Valores!C$38*B119</f>
        <v>0</v>
      </c>
      <c r="AL119" s="125">
        <f>IF($F$3="NO",0,Valores!$C$56)</f>
        <v>170.34</v>
      </c>
      <c r="AM119" s="125">
        <f t="shared" si="13"/>
        <v>170.34</v>
      </c>
      <c r="AN119" s="125">
        <f>AH119*Valores!$C$71</f>
        <v>-41285.8116</v>
      </c>
      <c r="AO119" s="125">
        <f>AH119*-Valores!$C$72</f>
        <v>0</v>
      </c>
      <c r="AP119" s="125">
        <f>AH119*Valores!$C$73</f>
        <v>-16889.6502</v>
      </c>
      <c r="AQ119" s="125">
        <f>Valores!$C$100</f>
        <v>-554.86</v>
      </c>
      <c r="AR119" s="125">
        <f>IF($F$5=0,Valores!$C$101,(Valores!$C$101+$F$5*(Valores!$C$101)))</f>
        <v>-852</v>
      </c>
      <c r="AS119" s="125">
        <f t="shared" si="16"/>
        <v>315913.5782</v>
      </c>
      <c r="AT119" s="125">
        <f t="shared" si="10"/>
        <v>-41285.8116</v>
      </c>
      <c r="AU119" s="125">
        <f>AH119*Valores!$C$74</f>
        <v>-10133.79012</v>
      </c>
      <c r="AV119" s="125">
        <f>AH119*Valores!$C$75</f>
        <v>-1125.97668</v>
      </c>
      <c r="AW119" s="125">
        <f t="shared" si="14"/>
        <v>322950.3216</v>
      </c>
      <c r="AX119" s="126"/>
      <c r="AY119" s="126">
        <v>30</v>
      </c>
      <c r="AZ119" s="123" t="s">
        <v>4</v>
      </c>
    </row>
    <row r="120" spans="1:52" s="110" customFormat="1" ht="11.25" customHeight="1">
      <c r="A120" s="123" t="s">
        <v>330</v>
      </c>
      <c r="B120" s="123">
        <v>1</v>
      </c>
      <c r="C120" s="126">
        <v>113</v>
      </c>
      <c r="D120" s="124" t="s">
        <v>331</v>
      </c>
      <c r="E120" s="192">
        <v>76</v>
      </c>
      <c r="F120" s="125">
        <f>ROUND(E120*Valores!$C$2,2)</f>
        <v>4138.2</v>
      </c>
      <c r="G120" s="192">
        <v>1954</v>
      </c>
      <c r="H120" s="125">
        <f>ROUND(G120*Valores!$C$2,2)</f>
        <v>106395.3</v>
      </c>
      <c r="I120" s="192">
        <v>0</v>
      </c>
      <c r="J120" s="125">
        <f>ROUND(I120*Valores!$C$2,2)</f>
        <v>0</v>
      </c>
      <c r="K120" s="192">
        <v>0</v>
      </c>
      <c r="L120" s="125">
        <f>ROUND(K120*Valores!$C$2,2)</f>
        <v>0</v>
      </c>
      <c r="M120" s="125">
        <f>ROUND(IF($H$2=0,IF(AND(A120&lt;&gt;"13-930",A120&lt;&gt;"13-940"),(SUM(F120,H120,J120,L120,X120,T120,R120)*Valores!$C$4),0),0),2)</f>
        <v>38941.97</v>
      </c>
      <c r="N120" s="125">
        <f t="shared" si="11"/>
        <v>0</v>
      </c>
      <c r="O120" s="125">
        <f>Valores!$C$9</f>
        <v>68418.57</v>
      </c>
      <c r="P120" s="125">
        <f>Valores!$D$5</f>
        <v>27834.84</v>
      </c>
      <c r="Q120" s="125">
        <f>Valores!$C$22</f>
        <v>24831.49</v>
      </c>
      <c r="R120" s="125">
        <f>IF($F$4="NO",Valores!$C$44,Valores!$C$44/2)</f>
        <v>19335.33</v>
      </c>
      <c r="S120" s="125">
        <f>Valores!$C$19</f>
        <v>25899.06</v>
      </c>
      <c r="T120" s="125">
        <f t="shared" si="17"/>
        <v>25899.06</v>
      </c>
      <c r="U120" s="125">
        <v>0</v>
      </c>
      <c r="V120" s="125">
        <v>0</v>
      </c>
      <c r="W120" s="192">
        <v>0</v>
      </c>
      <c r="X120" s="125">
        <f>ROUND(W120*Valores!$C$2,2)</f>
        <v>0</v>
      </c>
      <c r="Y120" s="125">
        <v>0</v>
      </c>
      <c r="Z120" s="125">
        <f>Valores!$C$94</f>
        <v>38113.67</v>
      </c>
      <c r="AA120" s="125">
        <f>Valores!$C$25</f>
        <v>1138.39</v>
      </c>
      <c r="AB120" s="214">
        <v>0</v>
      </c>
      <c r="AC120" s="125">
        <f t="shared" si="12"/>
        <v>0</v>
      </c>
      <c r="AD120" s="125">
        <f>Valores!$C$26</f>
        <v>1138.39</v>
      </c>
      <c r="AE120" s="192">
        <v>0</v>
      </c>
      <c r="AF120" s="125">
        <f>ROUND(AE120*Valores!$C$2,2)</f>
        <v>0</v>
      </c>
      <c r="AG120" s="125">
        <f>ROUND(IF($F$4="NO",Valores!$C$63,Valores!$C$63/2),2)</f>
        <v>13014.72</v>
      </c>
      <c r="AH120" s="125">
        <f t="shared" si="15"/>
        <v>369199.93</v>
      </c>
      <c r="AI120" s="125">
        <f>Valores!$C$31</f>
        <v>0</v>
      </c>
      <c r="AJ120" s="125">
        <f>Valores!$C$87</f>
        <v>0</v>
      </c>
      <c r="AK120" s="125">
        <f>Valores!C$38*B120</f>
        <v>0</v>
      </c>
      <c r="AL120" s="125">
        <f>IF($F$3="NO",0,Valores!$C$56)</f>
        <v>170.34</v>
      </c>
      <c r="AM120" s="125">
        <f t="shared" si="13"/>
        <v>170.34</v>
      </c>
      <c r="AN120" s="125">
        <f>AH120*Valores!$C$71</f>
        <v>-40611.9923</v>
      </c>
      <c r="AO120" s="125">
        <f>AH120*-Valores!$C$72</f>
        <v>0</v>
      </c>
      <c r="AP120" s="125">
        <f>AH120*Valores!$C$73</f>
        <v>-16613.99685</v>
      </c>
      <c r="AQ120" s="125">
        <f>Valores!$C$100</f>
        <v>-554.86</v>
      </c>
      <c r="AR120" s="125">
        <f>IF($F$5=0,Valores!$C$101,(Valores!$C$101+$F$5*(Valores!$C$101)))</f>
        <v>-852</v>
      </c>
      <c r="AS120" s="125">
        <f t="shared" si="16"/>
        <v>310737.42085</v>
      </c>
      <c r="AT120" s="125">
        <f t="shared" si="10"/>
        <v>-40611.9923</v>
      </c>
      <c r="AU120" s="125">
        <f>AH120*Valores!$C$74</f>
        <v>-9968.39811</v>
      </c>
      <c r="AV120" s="125">
        <f>AH120*Valores!$C$75</f>
        <v>-1107.59979</v>
      </c>
      <c r="AW120" s="125">
        <f t="shared" si="14"/>
        <v>317682.2798</v>
      </c>
      <c r="AX120" s="126"/>
      <c r="AY120" s="126">
        <v>30</v>
      </c>
      <c r="AZ120" s="123" t="s">
        <v>4</v>
      </c>
    </row>
    <row r="121" spans="1:52" s="110" customFormat="1" ht="11.25" customHeight="1">
      <c r="A121" s="123" t="s">
        <v>332</v>
      </c>
      <c r="B121" s="123">
        <v>1</v>
      </c>
      <c r="C121" s="126">
        <v>114</v>
      </c>
      <c r="D121" s="124" t="s">
        <v>333</v>
      </c>
      <c r="E121" s="192">
        <v>274</v>
      </c>
      <c r="F121" s="125">
        <f>ROUND(E121*Valores!$C$2,2)</f>
        <v>14919.3</v>
      </c>
      <c r="G121" s="192">
        <v>1163</v>
      </c>
      <c r="H121" s="125">
        <f>ROUND(G121*Valores!$C$2,2)</f>
        <v>63325.35</v>
      </c>
      <c r="I121" s="192">
        <v>0</v>
      </c>
      <c r="J121" s="125">
        <f>ROUND(I121*Valores!$C$2,2)</f>
        <v>0</v>
      </c>
      <c r="K121" s="192">
        <v>0</v>
      </c>
      <c r="L121" s="125">
        <f>ROUND(K121*Valores!$C$2,2)</f>
        <v>0</v>
      </c>
      <c r="M121" s="125">
        <f>ROUND(IF($H$2=0,IF(AND(A121&lt;&gt;"13-930",A121&lt;&gt;"13-940"),(SUM(F121,H121,J121,L121,X121,T121,R121)*Valores!$C$4),0),0),2)</f>
        <v>30869.76</v>
      </c>
      <c r="N121" s="125">
        <f t="shared" si="11"/>
        <v>0</v>
      </c>
      <c r="O121" s="125">
        <f>Valores!$C$9</f>
        <v>68418.57</v>
      </c>
      <c r="P121" s="125">
        <f>Valores!$D$5</f>
        <v>27834.84</v>
      </c>
      <c r="Q121" s="125">
        <f>Valores!$C$22</f>
        <v>24831.49</v>
      </c>
      <c r="R121" s="125">
        <f>IF($F$4="NO",Valores!$C$44,Valores!$C$44/2)</f>
        <v>19335.33</v>
      </c>
      <c r="S121" s="125">
        <f>Valores!$C$19</f>
        <v>25899.06</v>
      </c>
      <c r="T121" s="125">
        <f t="shared" si="17"/>
        <v>25899.06</v>
      </c>
      <c r="U121" s="125">
        <v>0</v>
      </c>
      <c r="V121" s="125">
        <v>0</v>
      </c>
      <c r="W121" s="192">
        <v>0</v>
      </c>
      <c r="X121" s="125">
        <f>ROUND(W121*Valores!$C$2,2)</f>
        <v>0</v>
      </c>
      <c r="Y121" s="125">
        <v>0</v>
      </c>
      <c r="Z121" s="125">
        <f>Valores!$C$94</f>
        <v>38113.67</v>
      </c>
      <c r="AA121" s="125">
        <f>Valores!$C$25</f>
        <v>1138.39</v>
      </c>
      <c r="AB121" s="214">
        <v>0</v>
      </c>
      <c r="AC121" s="125">
        <f t="shared" si="12"/>
        <v>0</v>
      </c>
      <c r="AD121" s="125">
        <f>Valores!$C$26</f>
        <v>1138.39</v>
      </c>
      <c r="AE121" s="192">
        <v>0</v>
      </c>
      <c r="AF121" s="125">
        <f>ROUND(AE121*Valores!$C$2,2)</f>
        <v>0</v>
      </c>
      <c r="AG121" s="125">
        <f>ROUND(IF($F$4="NO",Valores!$C$63,Valores!$C$63/2),2)</f>
        <v>13014.72</v>
      </c>
      <c r="AH121" s="125">
        <f t="shared" si="15"/>
        <v>328838.86999999994</v>
      </c>
      <c r="AI121" s="125">
        <f>Valores!$C$31</f>
        <v>0</v>
      </c>
      <c r="AJ121" s="125">
        <f>Valores!$C$87</f>
        <v>0</v>
      </c>
      <c r="AK121" s="125">
        <f>Valores!C$38*B121</f>
        <v>0</v>
      </c>
      <c r="AL121" s="125">
        <f>IF($F$3="NO",0,Valores!$C$56)</f>
        <v>170.34</v>
      </c>
      <c r="AM121" s="125">
        <f t="shared" si="13"/>
        <v>170.34</v>
      </c>
      <c r="AN121" s="125">
        <f>AH121*Valores!$C$71</f>
        <v>-36172.27569999999</v>
      </c>
      <c r="AO121" s="125">
        <f>AH121*-Valores!$C$72</f>
        <v>0</v>
      </c>
      <c r="AP121" s="125">
        <f>AH121*Valores!$C$73</f>
        <v>-14797.749149999996</v>
      </c>
      <c r="AQ121" s="125">
        <f>Valores!$C$100</f>
        <v>-554.86</v>
      </c>
      <c r="AR121" s="125">
        <f>IF($F$5=0,Valores!$C$101,(Valores!$C$101+$F$5*(Valores!$C$101)))</f>
        <v>-852</v>
      </c>
      <c r="AS121" s="125">
        <f t="shared" si="16"/>
        <v>276632.32514999993</v>
      </c>
      <c r="AT121" s="125">
        <f t="shared" si="10"/>
        <v>-36172.27569999999</v>
      </c>
      <c r="AU121" s="125">
        <f>AH121*Valores!$C$74</f>
        <v>-8878.649489999998</v>
      </c>
      <c r="AV121" s="125">
        <f>AH121*Valores!$C$75</f>
        <v>-986.5166099999998</v>
      </c>
      <c r="AW121" s="125">
        <f t="shared" si="14"/>
        <v>282971.7682</v>
      </c>
      <c r="AX121" s="126"/>
      <c r="AY121" s="126">
        <v>30</v>
      </c>
      <c r="AZ121" s="123" t="s">
        <v>4</v>
      </c>
    </row>
    <row r="122" spans="1:52" s="110" customFormat="1" ht="11.25" customHeight="1">
      <c r="A122" s="123" t="s">
        <v>334</v>
      </c>
      <c r="B122" s="123">
        <v>1</v>
      </c>
      <c r="C122" s="126">
        <v>115</v>
      </c>
      <c r="D122" s="124" t="s">
        <v>335</v>
      </c>
      <c r="E122" s="192">
        <v>2800</v>
      </c>
      <c r="F122" s="125">
        <f>ROUND(E122*Valores!$C$2,2)</f>
        <v>152460</v>
      </c>
      <c r="G122" s="192">
        <v>0</v>
      </c>
      <c r="H122" s="125">
        <f>ROUND(G122*Valores!$C$2,2)</f>
        <v>0</v>
      </c>
      <c r="I122" s="192">
        <v>0</v>
      </c>
      <c r="J122" s="125">
        <f>ROUND(I122*Valores!$C$2,2)</f>
        <v>0</v>
      </c>
      <c r="K122" s="192">
        <v>0</v>
      </c>
      <c r="L122" s="125">
        <f>ROUND(K122*Valores!$C$2,2)</f>
        <v>0</v>
      </c>
      <c r="M122" s="125">
        <f>ROUND(IF($H$2=0,IF(AND(A122&lt;&gt;"13-930",A122&lt;&gt;"13-940"),(SUM(F122,H122,J122,L122,X122,T122,R122)*Valores!$C$4),0),0),2)</f>
        <v>50446.54</v>
      </c>
      <c r="N122" s="125">
        <f t="shared" si="11"/>
        <v>0</v>
      </c>
      <c r="O122" s="125">
        <f>Valores!$C$16</f>
        <v>47048.8</v>
      </c>
      <c r="P122" s="125">
        <f>Valores!$D$5</f>
        <v>27834.84</v>
      </c>
      <c r="Q122" s="125">
        <f>Valores!$C$22</f>
        <v>24831.49</v>
      </c>
      <c r="R122" s="125">
        <f>IF($F$4="NO",Valores!$C$46,Valores!$C$46/2)</f>
        <v>23691.88</v>
      </c>
      <c r="S122" s="125">
        <f>Valores!$C$20</f>
        <v>25634.272</v>
      </c>
      <c r="T122" s="125">
        <f t="shared" si="17"/>
        <v>25634.27</v>
      </c>
      <c r="U122" s="125">
        <v>0</v>
      </c>
      <c r="V122" s="125">
        <v>0</v>
      </c>
      <c r="W122" s="192">
        <v>0</v>
      </c>
      <c r="X122" s="125">
        <f>ROUND(W122*Valores!$C$2,2)</f>
        <v>0</v>
      </c>
      <c r="Y122" s="125">
        <v>0</v>
      </c>
      <c r="Z122" s="125">
        <f>Valores!$C$94</f>
        <v>38113.67</v>
      </c>
      <c r="AA122" s="125">
        <f>Valores!$C$25</f>
        <v>1138.39</v>
      </c>
      <c r="AB122" s="214">
        <v>0</v>
      </c>
      <c r="AC122" s="125">
        <f t="shared" si="12"/>
        <v>0</v>
      </c>
      <c r="AD122" s="125">
        <f>Valores!$C$26</f>
        <v>1138.39</v>
      </c>
      <c r="AE122" s="192">
        <v>0</v>
      </c>
      <c r="AF122" s="125">
        <f>ROUND(AE122*Valores!$C$2,2)</f>
        <v>0</v>
      </c>
      <c r="AG122" s="125">
        <f>ROUND(IF($F$4="NO",Valores!$C$63,Valores!$C$63/2),2)</f>
        <v>13014.72</v>
      </c>
      <c r="AH122" s="125">
        <f t="shared" si="15"/>
        <v>405352.99000000005</v>
      </c>
      <c r="AI122" s="125">
        <f>Valores!$C$31</f>
        <v>0</v>
      </c>
      <c r="AJ122" s="125">
        <f>Valores!$C$87</f>
        <v>0</v>
      </c>
      <c r="AK122" s="125">
        <f>Valores!C$38*B122</f>
        <v>0</v>
      </c>
      <c r="AL122" s="125">
        <f>IF($F$3="NO",0,Valores!$C$55)</f>
        <v>327.6</v>
      </c>
      <c r="AM122" s="125">
        <f t="shared" si="13"/>
        <v>327.6</v>
      </c>
      <c r="AN122" s="125">
        <f>AH122*Valores!$C$71</f>
        <v>-44588.82890000001</v>
      </c>
      <c r="AO122" s="125">
        <f>AH122*-Valores!$C$72</f>
        <v>0</v>
      </c>
      <c r="AP122" s="125">
        <f>AH122*Valores!$C$73</f>
        <v>-18240.884550000002</v>
      </c>
      <c r="AQ122" s="125">
        <f>Valores!$C$100</f>
        <v>-554.86</v>
      </c>
      <c r="AR122" s="125">
        <f>IF($F$5=0,Valores!$C$101,(Valores!$C$101+$F$5*(Valores!$C$101)))</f>
        <v>-852</v>
      </c>
      <c r="AS122" s="125">
        <f t="shared" si="16"/>
        <v>341444.01655000006</v>
      </c>
      <c r="AT122" s="125">
        <f t="shared" si="10"/>
        <v>-44588.82890000001</v>
      </c>
      <c r="AU122" s="125">
        <f>AH122*Valores!$C$74</f>
        <v>-10944.53073</v>
      </c>
      <c r="AV122" s="125">
        <f>AH122*Valores!$C$75</f>
        <v>-1216.0589700000003</v>
      </c>
      <c r="AW122" s="125">
        <f t="shared" si="14"/>
        <v>348931.1714</v>
      </c>
      <c r="AX122" s="126"/>
      <c r="AY122" s="126"/>
      <c r="AZ122" s="123" t="s">
        <v>4</v>
      </c>
    </row>
    <row r="123" spans="1:52" s="110" customFormat="1" ht="11.25" customHeight="1">
      <c r="A123" s="123" t="s">
        <v>336</v>
      </c>
      <c r="B123" s="123">
        <v>1</v>
      </c>
      <c r="C123" s="126">
        <v>116</v>
      </c>
      <c r="D123" s="124" t="s">
        <v>337</v>
      </c>
      <c r="E123" s="192">
        <v>2850</v>
      </c>
      <c r="F123" s="125">
        <f>ROUND(E123*Valores!$C$2,2)</f>
        <v>155182.5</v>
      </c>
      <c r="G123" s="192">
        <v>0</v>
      </c>
      <c r="H123" s="125">
        <f>ROUND(G123*Valores!$C$2,2)</f>
        <v>0</v>
      </c>
      <c r="I123" s="192">
        <v>0</v>
      </c>
      <c r="J123" s="125">
        <f>ROUND(I123*Valores!$C$2,2)</f>
        <v>0</v>
      </c>
      <c r="K123" s="192">
        <v>0</v>
      </c>
      <c r="L123" s="125">
        <f>ROUND(K123*Valores!$C$2,2)</f>
        <v>0</v>
      </c>
      <c r="M123" s="125">
        <f>ROUND(IF($H$2=0,IF(AND(A123&lt;&gt;"13-930",A123&lt;&gt;"13-940"),(SUM(F123,H123,J123,L123,X123,T123,R123)*Valores!$C$4),0),0),2)</f>
        <v>52478.38</v>
      </c>
      <c r="N123" s="125">
        <f t="shared" si="11"/>
        <v>0</v>
      </c>
      <c r="O123" s="125">
        <f>Valores!$C$9</f>
        <v>68418.57</v>
      </c>
      <c r="P123" s="125">
        <f>Valores!$D$5</f>
        <v>27834.84</v>
      </c>
      <c r="Q123" s="125">
        <f>Valores!$C$22</f>
        <v>24831.49</v>
      </c>
      <c r="R123" s="125">
        <f>IF($F$4="NO",Valores!$C$47,Valores!$C$47/2)</f>
        <v>29096.75</v>
      </c>
      <c r="S123" s="125">
        <f>Valores!$C$20</f>
        <v>25634.272</v>
      </c>
      <c r="T123" s="125">
        <f t="shared" si="17"/>
        <v>25634.27</v>
      </c>
      <c r="U123" s="125">
        <v>0</v>
      </c>
      <c r="V123" s="125">
        <v>0</v>
      </c>
      <c r="W123" s="192">
        <v>0</v>
      </c>
      <c r="X123" s="125">
        <f>ROUND(W123*Valores!$C$2,2)</f>
        <v>0</v>
      </c>
      <c r="Y123" s="125">
        <v>0</v>
      </c>
      <c r="Z123" s="125">
        <f>Valores!$C$96</f>
        <v>76227.32</v>
      </c>
      <c r="AA123" s="125">
        <f>Valores!$C$25</f>
        <v>1138.39</v>
      </c>
      <c r="AB123" s="214">
        <v>0</v>
      </c>
      <c r="AC123" s="125">
        <f t="shared" si="12"/>
        <v>0</v>
      </c>
      <c r="AD123" s="125">
        <f>Valores!$C$26</f>
        <v>1138.39</v>
      </c>
      <c r="AE123" s="192">
        <v>0</v>
      </c>
      <c r="AF123" s="125">
        <f>ROUND(AE123*Valores!$C$2,2)</f>
        <v>0</v>
      </c>
      <c r="AG123" s="125">
        <f>ROUND(IF($F$4="NO",Valores!$C$63,Valores!$C$63/2),2)</f>
        <v>13014.72</v>
      </c>
      <c r="AH123" s="125">
        <f t="shared" si="15"/>
        <v>474995.62000000005</v>
      </c>
      <c r="AI123" s="125">
        <f>Valores!$C$31</f>
        <v>0</v>
      </c>
      <c r="AJ123" s="125">
        <f>Valores!$C$89</f>
        <v>0</v>
      </c>
      <c r="AK123" s="125">
        <f>Valores!C$38*B123</f>
        <v>0</v>
      </c>
      <c r="AL123" s="125">
        <f>IF($F$3="NO",0,Valores!$C$55)</f>
        <v>327.6</v>
      </c>
      <c r="AM123" s="125">
        <f t="shared" si="13"/>
        <v>327.6</v>
      </c>
      <c r="AN123" s="125">
        <f>AH123*Valores!$C$71</f>
        <v>-52249.518200000006</v>
      </c>
      <c r="AO123" s="125">
        <f>AH123*-Valores!$C$72</f>
        <v>0</v>
      </c>
      <c r="AP123" s="125">
        <f>AH123*Valores!$C$73</f>
        <v>-21374.802900000002</v>
      </c>
      <c r="AQ123" s="125">
        <f>Valores!$C$100</f>
        <v>-554.86</v>
      </c>
      <c r="AR123" s="125">
        <f>IF($F$5=0,Valores!$C$101,(Valores!$C$101+$F$5*(Valores!$C$101)))</f>
        <v>-852</v>
      </c>
      <c r="AS123" s="125">
        <f t="shared" si="16"/>
        <v>400292.03890000004</v>
      </c>
      <c r="AT123" s="125">
        <f t="shared" si="10"/>
        <v>-52249.518200000006</v>
      </c>
      <c r="AU123" s="125">
        <f>AH123*Valores!$C$74</f>
        <v>-12824.88174</v>
      </c>
      <c r="AV123" s="125">
        <f>AH123*Valores!$C$75</f>
        <v>-1424.9868600000002</v>
      </c>
      <c r="AW123" s="125">
        <f t="shared" si="14"/>
        <v>408823.8332</v>
      </c>
      <c r="AX123" s="126"/>
      <c r="AY123" s="126">
        <v>40</v>
      </c>
      <c r="AZ123" s="123" t="s">
        <v>4</v>
      </c>
    </row>
    <row r="124" spans="1:52" s="110" customFormat="1" ht="11.25" customHeight="1">
      <c r="A124" s="123" t="s">
        <v>338</v>
      </c>
      <c r="B124" s="123">
        <v>1</v>
      </c>
      <c r="C124" s="126">
        <v>117</v>
      </c>
      <c r="D124" s="124" t="s">
        <v>339</v>
      </c>
      <c r="E124" s="192">
        <v>1735</v>
      </c>
      <c r="F124" s="125">
        <f>ROUND(E124*Valores!$C$2,2)</f>
        <v>94470.75</v>
      </c>
      <c r="G124" s="192">
        <v>0</v>
      </c>
      <c r="H124" s="125">
        <f>ROUND(G124*Valores!$C$2,2)</f>
        <v>0</v>
      </c>
      <c r="I124" s="192">
        <v>0</v>
      </c>
      <c r="J124" s="125">
        <f>ROUND(I124*Valores!$C$2,2)</f>
        <v>0</v>
      </c>
      <c r="K124" s="192">
        <v>0</v>
      </c>
      <c r="L124" s="125">
        <f>ROUND(K124*Valores!$C$2,2)</f>
        <v>0</v>
      </c>
      <c r="M124" s="125">
        <f>ROUND(IF($H$2=0,IF(AND(A124&lt;&gt;"13-930",A124&lt;&gt;"13-940"),(SUM(F124,H124,J124,L124,X124,T124,R124)*Valores!$C$4),0),0),2)</f>
        <v>34587.73</v>
      </c>
      <c r="N124" s="125">
        <f t="shared" si="11"/>
        <v>0</v>
      </c>
      <c r="O124" s="125">
        <f>Valores!$C$16</f>
        <v>47048.8</v>
      </c>
      <c r="P124" s="125">
        <f>Valores!$D$5</f>
        <v>27834.84</v>
      </c>
      <c r="Q124" s="125">
        <v>0</v>
      </c>
      <c r="R124" s="125">
        <f>IF($F$4="NO",Valores!$C$43,Valores!$C$43/2)</f>
        <v>18245.91</v>
      </c>
      <c r="S124" s="125">
        <f>Valores!$C$20</f>
        <v>25634.272</v>
      </c>
      <c r="T124" s="125">
        <f t="shared" si="17"/>
        <v>25634.27</v>
      </c>
      <c r="U124" s="125">
        <v>0</v>
      </c>
      <c r="V124" s="125">
        <v>0</v>
      </c>
      <c r="W124" s="192">
        <v>0</v>
      </c>
      <c r="X124" s="125">
        <f>ROUND(W124*Valores!$C$2,2)</f>
        <v>0</v>
      </c>
      <c r="Y124" s="125">
        <v>0</v>
      </c>
      <c r="Z124" s="125">
        <f>Valores!$C$94</f>
        <v>38113.67</v>
      </c>
      <c r="AA124" s="125">
        <f>Valores!$C$25</f>
        <v>1138.39</v>
      </c>
      <c r="AB124" s="214">
        <v>0</v>
      </c>
      <c r="AC124" s="125">
        <f t="shared" si="12"/>
        <v>0</v>
      </c>
      <c r="AD124" s="125">
        <f>Valores!$C$26</f>
        <v>1138.39</v>
      </c>
      <c r="AE124" s="192">
        <v>0</v>
      </c>
      <c r="AF124" s="125">
        <f>ROUND(AE124*Valores!$C$2,2)</f>
        <v>0</v>
      </c>
      <c r="AG124" s="125">
        <f>ROUND(IF($F$4="NO",Valores!$C$63,Valores!$C$63/2),2)</f>
        <v>13014.72</v>
      </c>
      <c r="AH124" s="125">
        <f t="shared" si="15"/>
        <v>301227.47000000003</v>
      </c>
      <c r="AI124" s="125">
        <f>Valores!$C$31</f>
        <v>0</v>
      </c>
      <c r="AJ124" s="125">
        <f>Valores!$C$87</f>
        <v>0</v>
      </c>
      <c r="AK124" s="125">
        <f>Valores!C$38*B124</f>
        <v>0</v>
      </c>
      <c r="AL124" s="125">
        <f>IF($F$3="NO",0,Valores!$C$56)</f>
        <v>170.34</v>
      </c>
      <c r="AM124" s="125">
        <f t="shared" si="13"/>
        <v>170.34</v>
      </c>
      <c r="AN124" s="125">
        <f>AH124*Valores!$C$71</f>
        <v>-33135.021700000005</v>
      </c>
      <c r="AO124" s="125">
        <f>AH124*-Valores!$C$72</f>
        <v>0</v>
      </c>
      <c r="AP124" s="125">
        <f>AH124*Valores!$C$73</f>
        <v>-13555.23615</v>
      </c>
      <c r="AQ124" s="125">
        <f>Valores!$C$100</f>
        <v>-554.86</v>
      </c>
      <c r="AR124" s="125">
        <f>IF($F$5=0,Valores!$C$101,(Valores!$C$101+$F$5*(Valores!$C$101)))</f>
        <v>-852</v>
      </c>
      <c r="AS124" s="125">
        <f t="shared" si="16"/>
        <v>253300.69215000002</v>
      </c>
      <c r="AT124" s="125">
        <f t="shared" si="10"/>
        <v>-33135.021700000005</v>
      </c>
      <c r="AU124" s="125">
        <f>AH124*Valores!$C$74</f>
        <v>-8133.14169</v>
      </c>
      <c r="AV124" s="125">
        <f>AH124*Valores!$C$75</f>
        <v>-903.6824100000001</v>
      </c>
      <c r="AW124" s="125">
        <f t="shared" si="14"/>
        <v>259225.96420000005</v>
      </c>
      <c r="AX124" s="126"/>
      <c r="AY124" s="126">
        <v>40</v>
      </c>
      <c r="AZ124" s="123" t="s">
        <v>4</v>
      </c>
    </row>
    <row r="125" spans="1:52" s="110" customFormat="1" ht="11.25" customHeight="1">
      <c r="A125" s="123" t="s">
        <v>340</v>
      </c>
      <c r="B125" s="123">
        <v>1</v>
      </c>
      <c r="C125" s="126">
        <v>118</v>
      </c>
      <c r="D125" s="124" t="s">
        <v>341</v>
      </c>
      <c r="E125" s="192">
        <v>72</v>
      </c>
      <c r="F125" s="125">
        <f>ROUND(E125*Valores!$C$2,2)</f>
        <v>3920.4</v>
      </c>
      <c r="G125" s="192">
        <v>1590</v>
      </c>
      <c r="H125" s="125">
        <f>ROUND(G125*Valores!$C$2,2)</f>
        <v>86575.5</v>
      </c>
      <c r="I125" s="192">
        <v>0</v>
      </c>
      <c r="J125" s="125">
        <f>ROUND(I125*Valores!$C$2,2)</f>
        <v>0</v>
      </c>
      <c r="K125" s="192">
        <v>0</v>
      </c>
      <c r="L125" s="125">
        <f>ROUND(K125*Valores!$C$2,2)</f>
        <v>0</v>
      </c>
      <c r="M125" s="125">
        <f>ROUND(IF($H$2=0,IF(AND(A125&lt;&gt;"13-930",A125&lt;&gt;"13-940"),(SUM(F125,H125,J125,L125,X125,T125,R125)*Valores!$C$4),0),0),2)</f>
        <v>33594.02</v>
      </c>
      <c r="N125" s="125">
        <f t="shared" si="11"/>
        <v>0</v>
      </c>
      <c r="O125" s="125">
        <f>Valores!$C$16</f>
        <v>47048.8</v>
      </c>
      <c r="P125" s="125">
        <f>Valores!$D$5</f>
        <v>27834.84</v>
      </c>
      <c r="Q125" s="125">
        <f>Valores!$C$22</f>
        <v>24831.49</v>
      </c>
      <c r="R125" s="125">
        <f>IF($F$4="NO",Valores!$C$43,Valores!$C$43/2)</f>
        <v>18245.91</v>
      </c>
      <c r="S125" s="125">
        <f>Valores!$C$20</f>
        <v>25634.272</v>
      </c>
      <c r="T125" s="125">
        <f t="shared" si="17"/>
        <v>25634.27</v>
      </c>
      <c r="U125" s="125">
        <v>0</v>
      </c>
      <c r="V125" s="125">
        <v>0</v>
      </c>
      <c r="W125" s="192">
        <v>0</v>
      </c>
      <c r="X125" s="125">
        <f>ROUND(W125*Valores!$C$2,2)</f>
        <v>0</v>
      </c>
      <c r="Y125" s="125">
        <v>0</v>
      </c>
      <c r="Z125" s="125">
        <f>Valores!$C$94</f>
        <v>38113.67</v>
      </c>
      <c r="AA125" s="125">
        <f>Valores!$C$25</f>
        <v>1138.39</v>
      </c>
      <c r="AB125" s="214">
        <v>0</v>
      </c>
      <c r="AC125" s="125">
        <f t="shared" si="12"/>
        <v>0</v>
      </c>
      <c r="AD125" s="125">
        <f>Valores!$C$26</f>
        <v>1138.39</v>
      </c>
      <c r="AE125" s="192">
        <v>0</v>
      </c>
      <c r="AF125" s="125">
        <f>ROUND(AE125*Valores!$C$2,2)</f>
        <v>0</v>
      </c>
      <c r="AG125" s="125">
        <f>ROUND(IF($F$4="NO",Valores!$C$63,Valores!$C$63/2),2)</f>
        <v>13014.72</v>
      </c>
      <c r="AH125" s="125">
        <f t="shared" si="15"/>
        <v>321090.39999999997</v>
      </c>
      <c r="AI125" s="125">
        <f>Valores!$C$31</f>
        <v>0</v>
      </c>
      <c r="AJ125" s="125">
        <f>Valores!$C$87</f>
        <v>0</v>
      </c>
      <c r="AK125" s="125">
        <f>Valores!C$38*B125</f>
        <v>0</v>
      </c>
      <c r="AL125" s="125">
        <f>IF($F$3="NO",0,Valores!$C$56)</f>
        <v>170.34</v>
      </c>
      <c r="AM125" s="125">
        <f t="shared" si="13"/>
        <v>170.34</v>
      </c>
      <c r="AN125" s="125">
        <f>AH125*Valores!$C$71</f>
        <v>-35319.943999999996</v>
      </c>
      <c r="AO125" s="125">
        <f>AH125*-Valores!$C$72</f>
        <v>0</v>
      </c>
      <c r="AP125" s="125">
        <f>AH125*Valores!$C$73</f>
        <v>-14449.067999999997</v>
      </c>
      <c r="AQ125" s="125">
        <f>Valores!$C$100</f>
        <v>-554.86</v>
      </c>
      <c r="AR125" s="125">
        <f>IF($F$5=0,Valores!$C$101,(Valores!$C$101+$F$5*(Valores!$C$101)))</f>
        <v>-852</v>
      </c>
      <c r="AS125" s="125">
        <f t="shared" si="16"/>
        <v>270084.86799999996</v>
      </c>
      <c r="AT125" s="125">
        <f t="shared" si="10"/>
        <v>-35319.943999999996</v>
      </c>
      <c r="AU125" s="125">
        <f>AH125*Valores!$C$74</f>
        <v>-8669.440799999998</v>
      </c>
      <c r="AV125" s="125">
        <f>AH125*Valores!$C$75</f>
        <v>-963.2711999999999</v>
      </c>
      <c r="AW125" s="125">
        <f t="shared" si="14"/>
        <v>276308.084</v>
      </c>
      <c r="AX125" s="126"/>
      <c r="AY125" s="126">
        <v>25</v>
      </c>
      <c r="AZ125" s="123" t="s">
        <v>4</v>
      </c>
    </row>
    <row r="126" spans="1:52" s="110" customFormat="1" ht="11.25" customHeight="1">
      <c r="A126" s="123" t="s">
        <v>342</v>
      </c>
      <c r="B126" s="123">
        <v>1</v>
      </c>
      <c r="C126" s="126">
        <v>119</v>
      </c>
      <c r="D126" s="124" t="s">
        <v>343</v>
      </c>
      <c r="E126" s="192">
        <v>72</v>
      </c>
      <c r="F126" s="125">
        <f>ROUND(E126*Valores!$C$2,2)</f>
        <v>3920.4</v>
      </c>
      <c r="G126" s="192">
        <v>1590</v>
      </c>
      <c r="H126" s="125">
        <f>ROUND(G126*Valores!$C$2,2)</f>
        <v>86575.5</v>
      </c>
      <c r="I126" s="192">
        <v>0</v>
      </c>
      <c r="J126" s="125">
        <f>ROUND(I126*Valores!$C$2,2)</f>
        <v>0</v>
      </c>
      <c r="K126" s="192">
        <v>0</v>
      </c>
      <c r="L126" s="125">
        <f>ROUND(K126*Valores!$C$2,2)</f>
        <v>0</v>
      </c>
      <c r="M126" s="125">
        <f>ROUND(IF($H$2=0,IF(AND(A126&lt;&gt;"13-930",A126&lt;&gt;"13-940"),(SUM(F126,H126,J126,L126,X126,T126,R126)*Valores!$C$4),0),0),2)</f>
        <v>33594.02</v>
      </c>
      <c r="N126" s="125">
        <f t="shared" si="11"/>
        <v>0</v>
      </c>
      <c r="O126" s="125">
        <f>Valores!$C$16</f>
        <v>47048.8</v>
      </c>
      <c r="P126" s="125">
        <f>Valores!$D$5</f>
        <v>27834.84</v>
      </c>
      <c r="Q126" s="125">
        <f>Valores!$C$22</f>
        <v>24831.49</v>
      </c>
      <c r="R126" s="125">
        <f>IF($F$4="NO",Valores!$C$43,Valores!$C$43/2)</f>
        <v>18245.91</v>
      </c>
      <c r="S126" s="125">
        <f>Valores!$C$20</f>
        <v>25634.272</v>
      </c>
      <c r="T126" s="125">
        <f t="shared" si="17"/>
        <v>25634.27</v>
      </c>
      <c r="U126" s="125">
        <v>0</v>
      </c>
      <c r="V126" s="125">
        <v>0</v>
      </c>
      <c r="W126" s="192">
        <v>0</v>
      </c>
      <c r="X126" s="125">
        <f>ROUND(W126*Valores!$C$2,2)</f>
        <v>0</v>
      </c>
      <c r="Y126" s="125">
        <v>0</v>
      </c>
      <c r="Z126" s="125">
        <f>Valores!$C$94</f>
        <v>38113.67</v>
      </c>
      <c r="AA126" s="125">
        <f>Valores!$C$25</f>
        <v>1138.39</v>
      </c>
      <c r="AB126" s="214">
        <v>0</v>
      </c>
      <c r="AC126" s="125">
        <f t="shared" si="12"/>
        <v>0</v>
      </c>
      <c r="AD126" s="125">
        <f>Valores!$C$26</f>
        <v>1138.39</v>
      </c>
      <c r="AE126" s="192">
        <v>94</v>
      </c>
      <c r="AF126" s="125">
        <f>ROUND(AE126*Valores!$C$2,2)</f>
        <v>5118.3</v>
      </c>
      <c r="AG126" s="125">
        <f>ROUND(IF($F$4="NO",Valores!$C$63,Valores!$C$63/2),2)</f>
        <v>13014.72</v>
      </c>
      <c r="AH126" s="125">
        <f t="shared" si="15"/>
        <v>326208.69999999995</v>
      </c>
      <c r="AI126" s="125">
        <f>Valores!$C$31</f>
        <v>0</v>
      </c>
      <c r="AJ126" s="125">
        <f>Valores!$C$87</f>
        <v>0</v>
      </c>
      <c r="AK126" s="125">
        <f>Valores!C$38*B126</f>
        <v>0</v>
      </c>
      <c r="AL126" s="125">
        <f>IF($F$3="NO",0,Valores!$C$56)</f>
        <v>170.34</v>
      </c>
      <c r="AM126" s="125">
        <f t="shared" si="13"/>
        <v>170.34</v>
      </c>
      <c r="AN126" s="125">
        <f>AH126*Valores!$C$71</f>
        <v>-35882.956999999995</v>
      </c>
      <c r="AO126" s="125">
        <f>AH126*-Valores!$C$72</f>
        <v>0</v>
      </c>
      <c r="AP126" s="125">
        <f>AH126*Valores!$C$73</f>
        <v>-14679.391499999998</v>
      </c>
      <c r="AQ126" s="125">
        <f>Valores!$C$100</f>
        <v>-554.86</v>
      </c>
      <c r="AR126" s="125">
        <f>IF($F$5=0,Valores!$C$101,(Valores!$C$101+$F$5*(Valores!$C$101)))</f>
        <v>-852</v>
      </c>
      <c r="AS126" s="125">
        <f t="shared" si="16"/>
        <v>274409.8315</v>
      </c>
      <c r="AT126" s="125">
        <f t="shared" si="10"/>
        <v>-35882.956999999995</v>
      </c>
      <c r="AU126" s="125">
        <f>AH126*Valores!$C$74</f>
        <v>-8807.6349</v>
      </c>
      <c r="AV126" s="125">
        <f>AH126*Valores!$C$75</f>
        <v>-978.6260999999998</v>
      </c>
      <c r="AW126" s="125">
        <f t="shared" si="14"/>
        <v>280709.822</v>
      </c>
      <c r="AX126" s="126"/>
      <c r="AY126" s="126">
        <v>20</v>
      </c>
      <c r="AZ126" s="123" t="s">
        <v>4</v>
      </c>
    </row>
    <row r="127" spans="1:52" s="110" customFormat="1" ht="11.25" customHeight="1">
      <c r="A127" s="123" t="s">
        <v>344</v>
      </c>
      <c r="B127" s="123">
        <v>1</v>
      </c>
      <c r="C127" s="126">
        <v>120</v>
      </c>
      <c r="D127" s="124" t="s">
        <v>345</v>
      </c>
      <c r="E127" s="192">
        <v>77</v>
      </c>
      <c r="F127" s="125">
        <f>ROUND(E127*Valores!$C$2,2)</f>
        <v>4192.65</v>
      </c>
      <c r="G127" s="192">
        <v>2043</v>
      </c>
      <c r="H127" s="125">
        <f>ROUND(G127*Valores!$C$2,2)</f>
        <v>111241.35</v>
      </c>
      <c r="I127" s="192">
        <v>0</v>
      </c>
      <c r="J127" s="125">
        <f>ROUND(I127*Valores!$C$2,2)</f>
        <v>0</v>
      </c>
      <c r="K127" s="192">
        <v>0</v>
      </c>
      <c r="L127" s="125">
        <f>ROUND(K127*Valores!$C$2,2)</f>
        <v>0</v>
      </c>
      <c r="M127" s="125">
        <f>ROUND(IF($H$2=0,IF(AND(A127&lt;&gt;"13-930",A127&lt;&gt;"13-940"),(SUM(F127,H127,J127,L127,X127,T127,R127)*Valores!$C$4),0),0),2)</f>
        <v>40167.1</v>
      </c>
      <c r="N127" s="125">
        <f t="shared" si="11"/>
        <v>0</v>
      </c>
      <c r="O127" s="125">
        <f>Valores!$C$11</f>
        <v>48548.35</v>
      </c>
      <c r="P127" s="125">
        <f>Valores!$D$5</f>
        <v>27834.84</v>
      </c>
      <c r="Q127" s="125">
        <f>Valores!$C$22</f>
        <v>24831.49</v>
      </c>
      <c r="R127" s="125">
        <f>IF($F$4="NO",Valores!$C$44,Valores!$C$44/2)</f>
        <v>19335.33</v>
      </c>
      <c r="S127" s="125">
        <f>Valores!$C$19</f>
        <v>25899.06</v>
      </c>
      <c r="T127" s="125">
        <f t="shared" si="17"/>
        <v>25899.06</v>
      </c>
      <c r="U127" s="125">
        <v>0</v>
      </c>
      <c r="V127" s="125">
        <v>0</v>
      </c>
      <c r="W127" s="192">
        <v>0</v>
      </c>
      <c r="X127" s="125">
        <f>ROUND(W127*Valores!$C$2,2)</f>
        <v>0</v>
      </c>
      <c r="Y127" s="125">
        <v>0</v>
      </c>
      <c r="Z127" s="125">
        <f>Valores!$C$94</f>
        <v>38113.67</v>
      </c>
      <c r="AA127" s="125">
        <f>Valores!$C$25</f>
        <v>1138.39</v>
      </c>
      <c r="AB127" s="214">
        <v>0</v>
      </c>
      <c r="AC127" s="125">
        <f t="shared" si="12"/>
        <v>0</v>
      </c>
      <c r="AD127" s="125">
        <f>Valores!$C$26</f>
        <v>1138.39</v>
      </c>
      <c r="AE127" s="192">
        <v>0</v>
      </c>
      <c r="AF127" s="125">
        <f>ROUND(AE127*Valores!$C$2,2)</f>
        <v>0</v>
      </c>
      <c r="AG127" s="125">
        <f>ROUND(IF($F$4="NO",Valores!$C$63,Valores!$C$63/2),2)</f>
        <v>13014.72</v>
      </c>
      <c r="AH127" s="125">
        <f t="shared" si="15"/>
        <v>355455.33999999997</v>
      </c>
      <c r="AI127" s="125">
        <f>Valores!$C$31</f>
        <v>0</v>
      </c>
      <c r="AJ127" s="125">
        <f>Valores!$C$87</f>
        <v>0</v>
      </c>
      <c r="AK127" s="125">
        <f>Valores!C$38*B127</f>
        <v>0</v>
      </c>
      <c r="AL127" s="125">
        <f>IF($F$3="NO",0,Valores!$C$56)</f>
        <v>170.34</v>
      </c>
      <c r="AM127" s="125">
        <f t="shared" si="13"/>
        <v>170.34</v>
      </c>
      <c r="AN127" s="125">
        <f>AH127*Valores!$C$71</f>
        <v>-39100.0874</v>
      </c>
      <c r="AO127" s="125">
        <f>AH127*-Valores!$C$72</f>
        <v>0</v>
      </c>
      <c r="AP127" s="125">
        <f>AH127*Valores!$C$73</f>
        <v>-15995.490299999998</v>
      </c>
      <c r="AQ127" s="125">
        <f>Valores!$C$100</f>
        <v>-554.86</v>
      </c>
      <c r="AR127" s="125">
        <f>IF($F$5=0,Valores!$C$101,(Valores!$C$101+$F$5*(Valores!$C$101)))</f>
        <v>-852</v>
      </c>
      <c r="AS127" s="125">
        <f t="shared" si="16"/>
        <v>299123.2423</v>
      </c>
      <c r="AT127" s="125">
        <f t="shared" si="10"/>
        <v>-39100.0874</v>
      </c>
      <c r="AU127" s="125">
        <f>AH127*Valores!$C$74</f>
        <v>-9597.294179999999</v>
      </c>
      <c r="AV127" s="125">
        <f>AH127*Valores!$C$75</f>
        <v>-1066.36602</v>
      </c>
      <c r="AW127" s="125">
        <f t="shared" si="14"/>
        <v>305861.9324</v>
      </c>
      <c r="AX127" s="126"/>
      <c r="AY127" s="126"/>
      <c r="AZ127" s="123" t="s">
        <v>4</v>
      </c>
    </row>
    <row r="128" spans="1:52" s="110" customFormat="1" ht="11.25" customHeight="1">
      <c r="A128" s="123" t="s">
        <v>346</v>
      </c>
      <c r="B128" s="123">
        <v>1</v>
      </c>
      <c r="C128" s="126">
        <v>121</v>
      </c>
      <c r="D128" s="124" t="s">
        <v>347</v>
      </c>
      <c r="E128" s="192">
        <v>61</v>
      </c>
      <c r="F128" s="125">
        <f>ROUND(E128*Valores!$C$2,2)</f>
        <v>3321.45</v>
      </c>
      <c r="G128" s="192">
        <v>1217</v>
      </c>
      <c r="H128" s="125">
        <f>ROUND(G128*Valores!$C$2,2)</f>
        <v>66265.65</v>
      </c>
      <c r="I128" s="192">
        <v>0</v>
      </c>
      <c r="J128" s="125">
        <f>ROUND(I128*Valores!$C$2,2)</f>
        <v>0</v>
      </c>
      <c r="K128" s="192">
        <v>0</v>
      </c>
      <c r="L128" s="125">
        <f>ROUND(K128*Valores!$C$2,2)</f>
        <v>0</v>
      </c>
      <c r="M128" s="125">
        <f>ROUND(IF($H$2=0,IF(AND(A128&lt;&gt;"13-930",A128&lt;&gt;"13-940"),(SUM(F128,H128,J128,L128,X128,T128,R128)*Valores!$C$4),0),0),2)</f>
        <v>28433.02</v>
      </c>
      <c r="N128" s="125">
        <f t="shared" si="11"/>
        <v>0</v>
      </c>
      <c r="O128" s="125">
        <f>Valores!$C$16</f>
        <v>47048.8</v>
      </c>
      <c r="P128" s="125">
        <f>Valores!$D$5</f>
        <v>27834.84</v>
      </c>
      <c r="Q128" s="125">
        <f>Valores!$C$22</f>
        <v>24831.49</v>
      </c>
      <c r="R128" s="125">
        <f>IF($F$4="NO",Valores!$C$43,Valores!$C$43/2)</f>
        <v>18245.91</v>
      </c>
      <c r="S128" s="125">
        <f>Valores!$C$19</f>
        <v>25899.06</v>
      </c>
      <c r="T128" s="125">
        <f t="shared" si="17"/>
        <v>25899.06</v>
      </c>
      <c r="U128" s="125">
        <v>0</v>
      </c>
      <c r="V128" s="125">
        <v>0</v>
      </c>
      <c r="W128" s="192">
        <v>0</v>
      </c>
      <c r="X128" s="125">
        <f>ROUND(W128*Valores!$C$2,2)</f>
        <v>0</v>
      </c>
      <c r="Y128" s="125">
        <v>0</v>
      </c>
      <c r="Z128" s="125">
        <f>Valores!$C$94</f>
        <v>38113.67</v>
      </c>
      <c r="AA128" s="125">
        <f>Valores!$C$25</f>
        <v>1138.39</v>
      </c>
      <c r="AB128" s="214">
        <v>0</v>
      </c>
      <c r="AC128" s="125">
        <f t="shared" si="12"/>
        <v>0</v>
      </c>
      <c r="AD128" s="125">
        <f>Valores!$C$26</f>
        <v>1138.39</v>
      </c>
      <c r="AE128" s="192">
        <v>0</v>
      </c>
      <c r="AF128" s="125">
        <f>ROUND(AE128*Valores!$C$2,2)</f>
        <v>0</v>
      </c>
      <c r="AG128" s="125">
        <f>ROUND(IF($F$4="NO",Valores!$C$63,Valores!$C$63/2),2)</f>
        <v>13014.72</v>
      </c>
      <c r="AH128" s="125">
        <f t="shared" si="15"/>
        <v>295285.38999999996</v>
      </c>
      <c r="AI128" s="125">
        <f>Valores!$C$31</f>
        <v>0</v>
      </c>
      <c r="AJ128" s="125">
        <f>Valores!$C$87</f>
        <v>0</v>
      </c>
      <c r="AK128" s="125">
        <f>Valores!C$38*B128</f>
        <v>0</v>
      </c>
      <c r="AL128" s="125">
        <f>IF($F$3="NO",0,Valores!$C$56)</f>
        <v>170.34</v>
      </c>
      <c r="AM128" s="125">
        <f t="shared" si="13"/>
        <v>170.34</v>
      </c>
      <c r="AN128" s="125">
        <f>AH128*Valores!$C$71</f>
        <v>-32481.392899999995</v>
      </c>
      <c r="AO128" s="125">
        <f>AH128*-Valores!$C$72</f>
        <v>0</v>
      </c>
      <c r="AP128" s="125">
        <f>AH128*Valores!$C$73</f>
        <v>-13287.842549999998</v>
      </c>
      <c r="AQ128" s="125">
        <f>Valores!$C$100</f>
        <v>-554.86</v>
      </c>
      <c r="AR128" s="125">
        <f>IF($F$5=0,Valores!$C$101,(Valores!$C$101+$F$5*(Valores!$C$101)))</f>
        <v>-852</v>
      </c>
      <c r="AS128" s="125">
        <f t="shared" si="16"/>
        <v>248279.63454999996</v>
      </c>
      <c r="AT128" s="125">
        <f t="shared" si="10"/>
        <v>-32481.392899999995</v>
      </c>
      <c r="AU128" s="125">
        <f>AH128*Valores!$C$74</f>
        <v>-7972.705529999998</v>
      </c>
      <c r="AV128" s="125">
        <f>AH128*Valores!$C$75</f>
        <v>-885.8561699999999</v>
      </c>
      <c r="AW128" s="125">
        <f t="shared" si="14"/>
        <v>254115.77539999998</v>
      </c>
      <c r="AX128" s="126"/>
      <c r="AY128" s="126">
        <v>25</v>
      </c>
      <c r="AZ128" s="123" t="s">
        <v>4</v>
      </c>
    </row>
    <row r="129" spans="1:52" s="110" customFormat="1" ht="11.25" customHeight="1">
      <c r="A129" s="123" t="s">
        <v>348</v>
      </c>
      <c r="B129" s="123">
        <v>1</v>
      </c>
      <c r="C129" s="126">
        <v>122</v>
      </c>
      <c r="D129" s="124" t="s">
        <v>349</v>
      </c>
      <c r="E129" s="192">
        <v>72</v>
      </c>
      <c r="F129" s="125">
        <f>ROUND(E129*Valores!$C$2,2)</f>
        <v>3920.4</v>
      </c>
      <c r="G129" s="192">
        <v>1206</v>
      </c>
      <c r="H129" s="125">
        <f>ROUND(G129*Valores!$C$2,2)</f>
        <v>65666.7</v>
      </c>
      <c r="I129" s="192">
        <v>0</v>
      </c>
      <c r="J129" s="125">
        <f>ROUND(I129*Valores!$C$2,2)</f>
        <v>0</v>
      </c>
      <c r="K129" s="192">
        <v>0</v>
      </c>
      <c r="L129" s="125">
        <f>ROUND(K129*Valores!$C$2,2)</f>
        <v>0</v>
      </c>
      <c r="M129" s="125">
        <f>ROUND(IF($H$2=0,IF(AND(A129&lt;&gt;"13-930",A129&lt;&gt;"13-940"),(SUM(F129,H129,J129,L129,X129,T129,R129)*Valores!$C$4),0),0),2)</f>
        <v>28433.02</v>
      </c>
      <c r="N129" s="125">
        <f t="shared" si="11"/>
        <v>0</v>
      </c>
      <c r="O129" s="125">
        <f>Valores!$C$16</f>
        <v>47048.8</v>
      </c>
      <c r="P129" s="125">
        <f>Valores!$D$5</f>
        <v>27834.84</v>
      </c>
      <c r="Q129" s="125">
        <f>Valores!$C$22</f>
        <v>24831.49</v>
      </c>
      <c r="R129" s="125">
        <f>IF($F$4="NO",Valores!$C$43,Valores!$C$43/2)</f>
        <v>18245.91</v>
      </c>
      <c r="S129" s="125">
        <f>Valores!$C$19</f>
        <v>25899.06</v>
      </c>
      <c r="T129" s="125">
        <f t="shared" si="17"/>
        <v>25899.06</v>
      </c>
      <c r="U129" s="125">
        <v>0</v>
      </c>
      <c r="V129" s="125">
        <v>0</v>
      </c>
      <c r="W129" s="192">
        <v>0</v>
      </c>
      <c r="X129" s="125">
        <f>ROUND(W129*Valores!$C$2,2)</f>
        <v>0</v>
      </c>
      <c r="Y129" s="125">
        <v>0</v>
      </c>
      <c r="Z129" s="125">
        <f>Valores!$C$94</f>
        <v>38113.67</v>
      </c>
      <c r="AA129" s="125">
        <f>Valores!$C$25</f>
        <v>1138.39</v>
      </c>
      <c r="AB129" s="214">
        <v>0</v>
      </c>
      <c r="AC129" s="125">
        <f t="shared" si="12"/>
        <v>0</v>
      </c>
      <c r="AD129" s="125">
        <f>Valores!$C$26</f>
        <v>1138.39</v>
      </c>
      <c r="AE129" s="192">
        <v>94</v>
      </c>
      <c r="AF129" s="125">
        <f>ROUND(AE129*Valores!$C$2,2)</f>
        <v>5118.3</v>
      </c>
      <c r="AG129" s="125">
        <f>ROUND(IF($F$4="NO",Valores!$C$63,Valores!$C$63/2),2)</f>
        <v>13014.72</v>
      </c>
      <c r="AH129" s="125">
        <f t="shared" si="15"/>
        <v>300403.68999999994</v>
      </c>
      <c r="AI129" s="125">
        <f>Valores!$C$31</f>
        <v>0</v>
      </c>
      <c r="AJ129" s="125">
        <f>Valores!$C$87</f>
        <v>0</v>
      </c>
      <c r="AK129" s="125">
        <f>Valores!C$38*B129</f>
        <v>0</v>
      </c>
      <c r="AL129" s="125">
        <f>IF($F$3="NO",0,Valores!$C$56)</f>
        <v>170.34</v>
      </c>
      <c r="AM129" s="125">
        <f t="shared" si="13"/>
        <v>170.34</v>
      </c>
      <c r="AN129" s="125">
        <f>AH129*Valores!$C$71</f>
        <v>-33044.40589999999</v>
      </c>
      <c r="AO129" s="125">
        <f>AH129*-Valores!$C$72</f>
        <v>0</v>
      </c>
      <c r="AP129" s="125">
        <f>AH129*Valores!$C$73</f>
        <v>-13518.166049999996</v>
      </c>
      <c r="AQ129" s="125">
        <f>Valores!$C$100</f>
        <v>-554.86</v>
      </c>
      <c r="AR129" s="125">
        <f>IF($F$5=0,Valores!$C$101,(Valores!$C$101+$F$5*(Valores!$C$101)))</f>
        <v>-852</v>
      </c>
      <c r="AS129" s="125">
        <f t="shared" si="16"/>
        <v>252604.59804999997</v>
      </c>
      <c r="AT129" s="125">
        <f t="shared" si="10"/>
        <v>-33044.40589999999</v>
      </c>
      <c r="AU129" s="125">
        <f>AH129*Valores!$C$74</f>
        <v>-8110.899629999998</v>
      </c>
      <c r="AV129" s="125">
        <f>AH129*Valores!$C$75</f>
        <v>-901.2110699999998</v>
      </c>
      <c r="AW129" s="125">
        <f t="shared" si="14"/>
        <v>258517.5134</v>
      </c>
      <c r="AX129" s="126"/>
      <c r="AY129" s="126">
        <v>20</v>
      </c>
      <c r="AZ129" s="123" t="s">
        <v>4</v>
      </c>
    </row>
    <row r="130" spans="1:52" s="110" customFormat="1" ht="11.25" customHeight="1">
      <c r="A130" s="123" t="s">
        <v>350</v>
      </c>
      <c r="B130" s="123">
        <v>1</v>
      </c>
      <c r="C130" s="126">
        <v>123</v>
      </c>
      <c r="D130" s="124" t="s">
        <v>351</v>
      </c>
      <c r="E130" s="192">
        <v>61</v>
      </c>
      <c r="F130" s="125">
        <f>ROUND(E130*Valores!$C$2,2)</f>
        <v>3321.45</v>
      </c>
      <c r="G130" s="192">
        <v>1217</v>
      </c>
      <c r="H130" s="125">
        <f>ROUND(G130*Valores!$C$2,2)</f>
        <v>66265.65</v>
      </c>
      <c r="I130" s="192">
        <v>0</v>
      </c>
      <c r="J130" s="125">
        <f>ROUND(I130*Valores!$C$2,2)</f>
        <v>0</v>
      </c>
      <c r="K130" s="192">
        <v>0</v>
      </c>
      <c r="L130" s="125">
        <f>ROUND(K130*Valores!$C$2,2)</f>
        <v>0</v>
      </c>
      <c r="M130" s="125">
        <f>ROUND(IF($H$2=0,IF(AND(A130&lt;&gt;"13-930",A130&lt;&gt;"13-940"),(SUM(F130,H130,J130,L130,X130,T130,R130)*Valores!$C$4),0),0),2)</f>
        <v>28366.82</v>
      </c>
      <c r="N130" s="125">
        <f t="shared" si="11"/>
        <v>0</v>
      </c>
      <c r="O130" s="125">
        <f>Valores!$C$16</f>
        <v>47048.8</v>
      </c>
      <c r="P130" s="125">
        <f>Valores!$D$5</f>
        <v>27834.84</v>
      </c>
      <c r="Q130" s="125">
        <v>0</v>
      </c>
      <c r="R130" s="125">
        <f>IF($F$4="NO",Valores!$C$43,Valores!$C$43/2)</f>
        <v>18245.91</v>
      </c>
      <c r="S130" s="125">
        <f>Valores!$C$20</f>
        <v>25634.272</v>
      </c>
      <c r="T130" s="125">
        <f t="shared" si="17"/>
        <v>25634.27</v>
      </c>
      <c r="U130" s="125">
        <v>0</v>
      </c>
      <c r="V130" s="125">
        <v>0</v>
      </c>
      <c r="W130" s="192">
        <v>0</v>
      </c>
      <c r="X130" s="125">
        <f>ROUND(W130*Valores!$C$2,2)</f>
        <v>0</v>
      </c>
      <c r="Y130" s="125">
        <v>0</v>
      </c>
      <c r="Z130" s="125">
        <f>Valores!$C$94</f>
        <v>38113.67</v>
      </c>
      <c r="AA130" s="125">
        <f>Valores!$C$25</f>
        <v>1138.39</v>
      </c>
      <c r="AB130" s="214">
        <v>0</v>
      </c>
      <c r="AC130" s="125">
        <f t="shared" si="12"/>
        <v>0</v>
      </c>
      <c r="AD130" s="125">
        <f>Valores!$C$26</f>
        <v>1138.39</v>
      </c>
      <c r="AE130" s="192">
        <v>0</v>
      </c>
      <c r="AF130" s="125">
        <f>ROUND(AE130*Valores!$C$2,2)</f>
        <v>0</v>
      </c>
      <c r="AG130" s="125">
        <f>ROUND(IF($F$4="NO",Valores!$C$63,Valores!$C$63/2),2)</f>
        <v>13014.72</v>
      </c>
      <c r="AH130" s="125">
        <f t="shared" si="15"/>
        <v>270122.91</v>
      </c>
      <c r="AI130" s="125">
        <f>Valores!$C$31</f>
        <v>0</v>
      </c>
      <c r="AJ130" s="125">
        <f>Valores!$C$87</f>
        <v>0</v>
      </c>
      <c r="AK130" s="125">
        <f>Valores!C$38*B130</f>
        <v>0</v>
      </c>
      <c r="AL130" s="125">
        <f>IF($F$3="NO",0,Valores!$C$56)</f>
        <v>170.34</v>
      </c>
      <c r="AM130" s="125">
        <f t="shared" si="13"/>
        <v>170.34</v>
      </c>
      <c r="AN130" s="125">
        <f>AH130*Valores!$C$71</f>
        <v>-29713.520099999998</v>
      </c>
      <c r="AO130" s="125">
        <f>AH130*-Valores!$C$72</f>
        <v>0</v>
      </c>
      <c r="AP130" s="125">
        <f>AH130*Valores!$C$73</f>
        <v>-12155.530949999998</v>
      </c>
      <c r="AQ130" s="125">
        <f>Valores!$C$100</f>
        <v>-554.86</v>
      </c>
      <c r="AR130" s="125">
        <f>IF($F$5=0,Valores!$C$101,(Valores!$C$101+$F$5*(Valores!$C$101)))</f>
        <v>-852</v>
      </c>
      <c r="AS130" s="125">
        <f t="shared" si="16"/>
        <v>227017.33894999998</v>
      </c>
      <c r="AT130" s="125">
        <f t="shared" si="10"/>
        <v>-29713.520099999998</v>
      </c>
      <c r="AU130" s="125">
        <f>AH130*Valores!$C$74</f>
        <v>-7293.318569999999</v>
      </c>
      <c r="AV130" s="125">
        <f>AH130*Valores!$C$75</f>
        <v>-810.3687299999999</v>
      </c>
      <c r="AW130" s="125">
        <f t="shared" si="14"/>
        <v>232476.0426</v>
      </c>
      <c r="AX130" s="126"/>
      <c r="AY130" s="126"/>
      <c r="AZ130" s="123" t="s">
        <v>8</v>
      </c>
    </row>
    <row r="131" spans="1:52" s="110" customFormat="1" ht="11.25" customHeight="1">
      <c r="A131" s="123" t="s">
        <v>352</v>
      </c>
      <c r="B131" s="123">
        <v>1</v>
      </c>
      <c r="C131" s="126">
        <v>124</v>
      </c>
      <c r="D131" s="124" t="s">
        <v>353</v>
      </c>
      <c r="E131" s="192">
        <v>1278</v>
      </c>
      <c r="F131" s="125">
        <f>ROUND(E131*Valores!$C$2,2)</f>
        <v>69587.1</v>
      </c>
      <c r="G131" s="192">
        <v>0</v>
      </c>
      <c r="H131" s="125">
        <f>ROUND(G131*Valores!$C$2,2)</f>
        <v>0</v>
      </c>
      <c r="I131" s="192">
        <v>0</v>
      </c>
      <c r="J131" s="125">
        <f>ROUND(I131*Valores!$C$2,2)</f>
        <v>0</v>
      </c>
      <c r="K131" s="192">
        <v>0</v>
      </c>
      <c r="L131" s="125">
        <f>ROUND(K131*Valores!$C$2,2)</f>
        <v>0</v>
      </c>
      <c r="M131" s="125">
        <f>ROUND(IF($H$2=0,IF(AND(A131&lt;&gt;"13-930",A131&lt;&gt;"13-940"),(SUM(F131,H131,J131,L131,X131,T131,R131)*Valores!$C$4),0),0),2)</f>
        <v>28639.18</v>
      </c>
      <c r="N131" s="125">
        <f t="shared" si="11"/>
        <v>0</v>
      </c>
      <c r="O131" s="125">
        <f>Valores!$C$16</f>
        <v>47048.8</v>
      </c>
      <c r="P131" s="125">
        <f>Valores!$D$5</f>
        <v>27834.84</v>
      </c>
      <c r="Q131" s="125">
        <f>Valores!$C$22</f>
        <v>24831.49</v>
      </c>
      <c r="R131" s="125">
        <f>IF($F$4="NO",Valores!$C$44,Valores!$C$44/2)</f>
        <v>19335.33</v>
      </c>
      <c r="S131" s="125">
        <f>Valores!$C$20</f>
        <v>25634.272</v>
      </c>
      <c r="T131" s="125">
        <f t="shared" si="17"/>
        <v>25634.27</v>
      </c>
      <c r="U131" s="125">
        <v>0</v>
      </c>
      <c r="V131" s="125">
        <v>0</v>
      </c>
      <c r="W131" s="192">
        <v>0</v>
      </c>
      <c r="X131" s="125">
        <f>ROUND(W131*Valores!$C$2,2)</f>
        <v>0</v>
      </c>
      <c r="Y131" s="125">
        <v>0</v>
      </c>
      <c r="Z131" s="125">
        <f>Valores!$C$94</f>
        <v>38113.67</v>
      </c>
      <c r="AA131" s="125">
        <f>Valores!$C$25</f>
        <v>1138.39</v>
      </c>
      <c r="AB131" s="214">
        <v>0</v>
      </c>
      <c r="AC131" s="125">
        <f t="shared" si="12"/>
        <v>0</v>
      </c>
      <c r="AD131" s="125">
        <f>Valores!$C$26</f>
        <v>1138.39</v>
      </c>
      <c r="AE131" s="192">
        <v>0</v>
      </c>
      <c r="AF131" s="125">
        <f>ROUND(AE131*Valores!$C$2,2)</f>
        <v>0</v>
      </c>
      <c r="AG131" s="125">
        <f>ROUND(IF($F$4="NO",Valores!$C$63,Valores!$C$63/2),2)</f>
        <v>13014.72</v>
      </c>
      <c r="AH131" s="125">
        <f t="shared" si="15"/>
        <v>296316.18</v>
      </c>
      <c r="AI131" s="125">
        <f>Valores!$C$31</f>
        <v>0</v>
      </c>
      <c r="AJ131" s="125">
        <f>Valores!$C$87</f>
        <v>0</v>
      </c>
      <c r="AK131" s="125">
        <f>Valores!C$38*B131</f>
        <v>0</v>
      </c>
      <c r="AL131" s="125">
        <f>IF($F$3="NO",0,Valores!$C$56)</f>
        <v>170.34</v>
      </c>
      <c r="AM131" s="125">
        <f t="shared" si="13"/>
        <v>170.34</v>
      </c>
      <c r="AN131" s="125">
        <f>AH131*Valores!$C$71</f>
        <v>-32594.7798</v>
      </c>
      <c r="AO131" s="125">
        <f>AH131*-Valores!$C$72</f>
        <v>0</v>
      </c>
      <c r="AP131" s="125">
        <f>AH131*Valores!$C$73</f>
        <v>-13334.228099999998</v>
      </c>
      <c r="AQ131" s="125">
        <f>Valores!$C$100</f>
        <v>-554.86</v>
      </c>
      <c r="AR131" s="125">
        <f>IF($F$5=0,Valores!$C$101,(Valores!$C$101+$F$5*(Valores!$C$101)))</f>
        <v>-852</v>
      </c>
      <c r="AS131" s="125">
        <f t="shared" si="16"/>
        <v>249150.6521</v>
      </c>
      <c r="AT131" s="125">
        <f t="shared" si="10"/>
        <v>-32594.7798</v>
      </c>
      <c r="AU131" s="125">
        <f>AH131*Valores!$C$74</f>
        <v>-8000.53686</v>
      </c>
      <c r="AV131" s="125">
        <f>AH131*Valores!$C$75</f>
        <v>-888.94854</v>
      </c>
      <c r="AW131" s="125">
        <f t="shared" si="14"/>
        <v>255002.25480000002</v>
      </c>
      <c r="AX131" s="126"/>
      <c r="AY131" s="126">
        <v>22</v>
      </c>
      <c r="AZ131" s="123" t="s">
        <v>4</v>
      </c>
    </row>
    <row r="132" spans="1:52" s="110" customFormat="1" ht="11.25" customHeight="1">
      <c r="A132" s="123" t="s">
        <v>354</v>
      </c>
      <c r="B132" s="123">
        <v>1</v>
      </c>
      <c r="C132" s="126">
        <v>125</v>
      </c>
      <c r="D132" s="124" t="s">
        <v>355</v>
      </c>
      <c r="E132" s="192">
        <v>1278</v>
      </c>
      <c r="F132" s="125">
        <f>ROUND(E132*Valores!$C$2,2)</f>
        <v>69587.1</v>
      </c>
      <c r="G132" s="192">
        <v>0</v>
      </c>
      <c r="H132" s="125">
        <f>ROUND(G132*Valores!$C$2,2)</f>
        <v>0</v>
      </c>
      <c r="I132" s="192">
        <v>0</v>
      </c>
      <c r="J132" s="125">
        <f>ROUND(I132*Valores!$C$2,2)</f>
        <v>0</v>
      </c>
      <c r="K132" s="192">
        <v>0</v>
      </c>
      <c r="L132" s="125">
        <f>ROUND(K132*Valores!$C$2,2)</f>
        <v>0</v>
      </c>
      <c r="M132" s="125">
        <f>ROUND(IF($H$2=0,IF(AND(A132&lt;&gt;"13-930",A132&lt;&gt;"13-940"),(SUM(F132,H132,J132,L132,X132,T132,R132)*Valores!$C$4),0),0),2)</f>
        <v>28705.37</v>
      </c>
      <c r="N132" s="125">
        <f t="shared" si="11"/>
        <v>0</v>
      </c>
      <c r="O132" s="125">
        <f>Valores!$C$16</f>
        <v>47048.8</v>
      </c>
      <c r="P132" s="125">
        <f>Valores!$D$5</f>
        <v>27834.84</v>
      </c>
      <c r="Q132" s="125">
        <f>Valores!$C$22</f>
        <v>24831.49</v>
      </c>
      <c r="R132" s="125">
        <f>IF($F$4="NO",Valores!$C$44,Valores!$C$44/2)</f>
        <v>19335.33</v>
      </c>
      <c r="S132" s="125">
        <f>Valores!$C$19</f>
        <v>25899.06</v>
      </c>
      <c r="T132" s="125">
        <f t="shared" si="17"/>
        <v>25899.06</v>
      </c>
      <c r="U132" s="125">
        <v>0</v>
      </c>
      <c r="V132" s="125">
        <v>0</v>
      </c>
      <c r="W132" s="192">
        <v>0</v>
      </c>
      <c r="X132" s="125">
        <f>ROUND(W132*Valores!$C$2,2)</f>
        <v>0</v>
      </c>
      <c r="Y132" s="125">
        <v>0</v>
      </c>
      <c r="Z132" s="125">
        <f>Valores!$C$94</f>
        <v>38113.67</v>
      </c>
      <c r="AA132" s="125">
        <f>Valores!$C$25</f>
        <v>1138.39</v>
      </c>
      <c r="AB132" s="214">
        <v>0</v>
      </c>
      <c r="AC132" s="125">
        <f t="shared" si="12"/>
        <v>0</v>
      </c>
      <c r="AD132" s="125">
        <f>Valores!$C$26</f>
        <v>1138.39</v>
      </c>
      <c r="AE132" s="192">
        <v>94</v>
      </c>
      <c r="AF132" s="125">
        <f>ROUND(AE132*Valores!$C$2,2)</f>
        <v>5118.3</v>
      </c>
      <c r="AG132" s="125">
        <f>ROUND(IF($F$4="NO",Valores!$C$63,Valores!$C$63/2),2)</f>
        <v>13014.72</v>
      </c>
      <c r="AH132" s="125">
        <f t="shared" si="15"/>
        <v>301765.45999999996</v>
      </c>
      <c r="AI132" s="125">
        <f>Valores!$C$31</f>
        <v>0</v>
      </c>
      <c r="AJ132" s="125">
        <f>Valores!$C$87</f>
        <v>0</v>
      </c>
      <c r="AK132" s="125">
        <f>Valores!C$38*B132</f>
        <v>0</v>
      </c>
      <c r="AL132" s="125">
        <f>IF($F$3="NO",0,Valores!$C$56)</f>
        <v>170.34</v>
      </c>
      <c r="AM132" s="125">
        <f t="shared" si="13"/>
        <v>170.34</v>
      </c>
      <c r="AN132" s="125">
        <f>AH132*Valores!$C$71</f>
        <v>-33194.2006</v>
      </c>
      <c r="AO132" s="125">
        <f>AH132*-Valores!$C$72</f>
        <v>0</v>
      </c>
      <c r="AP132" s="125">
        <f>AH132*Valores!$C$73</f>
        <v>-13579.445699999998</v>
      </c>
      <c r="AQ132" s="125">
        <f>Valores!$C$100</f>
        <v>-554.86</v>
      </c>
      <c r="AR132" s="125">
        <f>IF($F$5=0,Valores!$C$101,(Valores!$C$101+$F$5*(Valores!$C$101)))</f>
        <v>-852</v>
      </c>
      <c r="AS132" s="125">
        <f t="shared" si="16"/>
        <v>253755.29369999998</v>
      </c>
      <c r="AT132" s="125">
        <f t="shared" si="10"/>
        <v>-33194.2006</v>
      </c>
      <c r="AU132" s="125">
        <f>AH132*Valores!$C$74</f>
        <v>-8147.667419999999</v>
      </c>
      <c r="AV132" s="125">
        <f>AH132*Valores!$C$75</f>
        <v>-905.2963799999999</v>
      </c>
      <c r="AW132" s="125">
        <f t="shared" si="14"/>
        <v>259688.63559999998</v>
      </c>
      <c r="AX132" s="126"/>
      <c r="AY132" s="126">
        <v>20</v>
      </c>
      <c r="AZ132" s="123" t="s">
        <v>4</v>
      </c>
    </row>
    <row r="133" spans="1:52" s="110" customFormat="1" ht="11.25" customHeight="1">
      <c r="A133" s="123" t="s">
        <v>356</v>
      </c>
      <c r="B133" s="123">
        <v>1</v>
      </c>
      <c r="C133" s="126">
        <v>126</v>
      </c>
      <c r="D133" s="124" t="s">
        <v>357</v>
      </c>
      <c r="E133" s="192">
        <v>936</v>
      </c>
      <c r="F133" s="125">
        <f>ROUND(E133*Valores!$C$2,2)</f>
        <v>50965.2</v>
      </c>
      <c r="G133" s="192">
        <v>0</v>
      </c>
      <c r="H133" s="125">
        <f>ROUND(G133*Valores!$C$2,2)</f>
        <v>0</v>
      </c>
      <c r="I133" s="192">
        <v>0</v>
      </c>
      <c r="J133" s="125">
        <f>ROUND(I133*Valores!$C$2,2)</f>
        <v>0</v>
      </c>
      <c r="K133" s="192">
        <v>0</v>
      </c>
      <c r="L133" s="125">
        <f>ROUND(K133*Valores!$C$2,2)</f>
        <v>0</v>
      </c>
      <c r="M133" s="125">
        <f>ROUND(IF($H$2=0,IF(AND(A133&lt;&gt;"13-930",A133&lt;&gt;"13-940"),(SUM(F133,H133,J133,L133,X133,T133,R133)*Valores!$C$4),0),0),2)</f>
        <v>23711.35</v>
      </c>
      <c r="N133" s="125">
        <f t="shared" si="11"/>
        <v>0</v>
      </c>
      <c r="O133" s="125">
        <f>Valores!$C$16</f>
        <v>47048.8</v>
      </c>
      <c r="P133" s="125">
        <f>Valores!$D$5</f>
        <v>27834.84</v>
      </c>
      <c r="Q133" s="125">
        <f>Valores!$C$23</f>
        <v>23111.51</v>
      </c>
      <c r="R133" s="125">
        <f>IF($F$4="NO",Valores!$C$43,Valores!$C$43/2)</f>
        <v>18245.91</v>
      </c>
      <c r="S133" s="125">
        <f>Valores!$C$20</f>
        <v>25634.272</v>
      </c>
      <c r="T133" s="125">
        <f t="shared" si="17"/>
        <v>25634.27</v>
      </c>
      <c r="U133" s="125">
        <v>0</v>
      </c>
      <c r="V133" s="125">
        <v>0</v>
      </c>
      <c r="W133" s="192">
        <v>0</v>
      </c>
      <c r="X133" s="125">
        <f>ROUND(W133*Valores!$C$2,2)</f>
        <v>0</v>
      </c>
      <c r="Y133" s="125">
        <v>0</v>
      </c>
      <c r="Z133" s="125">
        <f>Valores!$C$94</f>
        <v>38113.67</v>
      </c>
      <c r="AA133" s="125">
        <f>Valores!$C$25</f>
        <v>1138.39</v>
      </c>
      <c r="AB133" s="214">
        <v>0</v>
      </c>
      <c r="AC133" s="125">
        <f t="shared" si="12"/>
        <v>0</v>
      </c>
      <c r="AD133" s="125">
        <f>Valores!$C$26</f>
        <v>1138.39</v>
      </c>
      <c r="AE133" s="192">
        <v>94</v>
      </c>
      <c r="AF133" s="125">
        <f>ROUND(AE133*Valores!$C$2,2)</f>
        <v>5118.3</v>
      </c>
      <c r="AG133" s="125">
        <f>ROUND(IF($F$4="NO",Valores!$C$63,Valores!$C$63/2),2)</f>
        <v>13014.72</v>
      </c>
      <c r="AH133" s="125">
        <f t="shared" si="15"/>
        <v>275075.35</v>
      </c>
      <c r="AI133" s="125">
        <f>Valores!$C$31</f>
        <v>0</v>
      </c>
      <c r="AJ133" s="125">
        <f>Valores!$C$87</f>
        <v>0</v>
      </c>
      <c r="AK133" s="125">
        <f>Valores!C$38*B133</f>
        <v>0</v>
      </c>
      <c r="AL133" s="125">
        <f>IF($F$3="NO",0,Valores!$C$56)</f>
        <v>170.34</v>
      </c>
      <c r="AM133" s="125">
        <f t="shared" si="13"/>
        <v>170.34</v>
      </c>
      <c r="AN133" s="125">
        <f>AH133*Valores!$C$71</f>
        <v>-30258.2885</v>
      </c>
      <c r="AO133" s="125">
        <f>AH133*-Valores!$C$72</f>
        <v>0</v>
      </c>
      <c r="AP133" s="125">
        <f>AH133*Valores!$C$73</f>
        <v>-12378.390749999999</v>
      </c>
      <c r="AQ133" s="125">
        <f>Valores!$C$100</f>
        <v>-554.86</v>
      </c>
      <c r="AR133" s="125">
        <f>IF($F$5=0,Valores!$C$101,(Valores!$C$101+$F$5*(Valores!$C$101)))</f>
        <v>-852</v>
      </c>
      <c r="AS133" s="125">
        <f t="shared" si="16"/>
        <v>231202.15074999997</v>
      </c>
      <c r="AT133" s="125">
        <f t="shared" si="10"/>
        <v>-30258.2885</v>
      </c>
      <c r="AU133" s="125">
        <f>AH133*Valores!$C$74</f>
        <v>-7427.034449999999</v>
      </c>
      <c r="AV133" s="125">
        <f>AH133*Valores!$C$75</f>
        <v>-825.22605</v>
      </c>
      <c r="AW133" s="125">
        <f t="shared" si="14"/>
        <v>236735.141</v>
      </c>
      <c r="AX133" s="126">
        <v>8</v>
      </c>
      <c r="AY133" s="126"/>
      <c r="AZ133" s="123" t="s">
        <v>4</v>
      </c>
    </row>
    <row r="134" spans="1:52" s="110" customFormat="1" ht="11.25" customHeight="1">
      <c r="A134" s="123" t="s">
        <v>358</v>
      </c>
      <c r="B134" s="123">
        <v>1</v>
      </c>
      <c r="C134" s="126">
        <v>127</v>
      </c>
      <c r="D134" s="124" t="s">
        <v>359</v>
      </c>
      <c r="E134" s="192">
        <v>1278</v>
      </c>
      <c r="F134" s="125">
        <f>ROUND(E134*Valores!$C$2,2)</f>
        <v>69587.1</v>
      </c>
      <c r="G134" s="192">
        <v>0</v>
      </c>
      <c r="H134" s="125">
        <f>ROUND(G134*Valores!$C$2,2)</f>
        <v>0</v>
      </c>
      <c r="I134" s="192">
        <v>0</v>
      </c>
      <c r="J134" s="125">
        <f>ROUND(I134*Valores!$C$2,2)</f>
        <v>0</v>
      </c>
      <c r="K134" s="192">
        <v>0</v>
      </c>
      <c r="L134" s="125">
        <f>ROUND(K134*Valores!$C$2,2)</f>
        <v>0</v>
      </c>
      <c r="M134" s="125">
        <f>ROUND(IF($H$2=0,IF(AND(A134&lt;&gt;"13-930",A134&lt;&gt;"13-940"),(SUM(F134,H134,J134,L134,X134,T134,R134)*Valores!$C$4),0),0),2)</f>
        <v>28366.82</v>
      </c>
      <c r="N134" s="125">
        <f t="shared" si="11"/>
        <v>0</v>
      </c>
      <c r="O134" s="125">
        <f>Valores!$C$8</f>
        <v>68242.23</v>
      </c>
      <c r="P134" s="125">
        <f>Valores!$D$5</f>
        <v>27834.84</v>
      </c>
      <c r="Q134" s="125">
        <v>0</v>
      </c>
      <c r="R134" s="125">
        <f>IF($F$4="NO",Valores!$C$43,Valores!$C$43/2)</f>
        <v>18245.91</v>
      </c>
      <c r="S134" s="125">
        <f>Valores!$C$20</f>
        <v>25634.272</v>
      </c>
      <c r="T134" s="125">
        <f t="shared" si="17"/>
        <v>25634.27</v>
      </c>
      <c r="U134" s="125">
        <v>0</v>
      </c>
      <c r="V134" s="125">
        <v>0</v>
      </c>
      <c r="W134" s="192">
        <v>0</v>
      </c>
      <c r="X134" s="125">
        <f>ROUND(W134*Valores!$C$2,2)</f>
        <v>0</v>
      </c>
      <c r="Y134" s="125">
        <v>0</v>
      </c>
      <c r="Z134" s="125">
        <f>Valores!$C$94</f>
        <v>38113.67</v>
      </c>
      <c r="AA134" s="125">
        <f>Valores!$C$25</f>
        <v>1138.39</v>
      </c>
      <c r="AB134" s="214">
        <v>0</v>
      </c>
      <c r="AC134" s="125">
        <f t="shared" si="12"/>
        <v>0</v>
      </c>
      <c r="AD134" s="125">
        <f>Valores!$C$26</f>
        <v>1138.39</v>
      </c>
      <c r="AE134" s="192">
        <v>94</v>
      </c>
      <c r="AF134" s="125">
        <f>ROUND(AE134*Valores!$C$2,2)</f>
        <v>5118.3</v>
      </c>
      <c r="AG134" s="125">
        <f>ROUND(IF($F$4="NO",Valores!$C$63,Valores!$C$63/2),2)</f>
        <v>13014.72</v>
      </c>
      <c r="AH134" s="125">
        <f t="shared" si="15"/>
        <v>296434.64</v>
      </c>
      <c r="AI134" s="125">
        <f>Valores!$C$31</f>
        <v>0</v>
      </c>
      <c r="AJ134" s="125">
        <f>Valores!$C$87</f>
        <v>0</v>
      </c>
      <c r="AK134" s="125">
        <f>Valores!C$38*B134</f>
        <v>0</v>
      </c>
      <c r="AL134" s="125">
        <f>IF($F$3="NO",0,Valores!$C$56)</f>
        <v>170.34</v>
      </c>
      <c r="AM134" s="125">
        <f t="shared" si="13"/>
        <v>170.34</v>
      </c>
      <c r="AN134" s="125">
        <f>AH134*Valores!$C$71</f>
        <v>-32607.810400000002</v>
      </c>
      <c r="AO134" s="125">
        <f>AH134*-Valores!$C$72</f>
        <v>0</v>
      </c>
      <c r="AP134" s="125">
        <f>AH134*Valores!$C$73</f>
        <v>-13339.5588</v>
      </c>
      <c r="AQ134" s="125">
        <f>Valores!$C$100</f>
        <v>-554.86</v>
      </c>
      <c r="AR134" s="125">
        <f>IF($F$5=0,Valores!$C$101,(Valores!$C$101+$F$5*(Valores!$C$101)))</f>
        <v>-852</v>
      </c>
      <c r="AS134" s="125">
        <f t="shared" si="16"/>
        <v>249250.7508</v>
      </c>
      <c r="AT134" s="125">
        <f aca="true" t="shared" si="18" ref="AT134:AT196">AN134</f>
        <v>-32607.810400000002</v>
      </c>
      <c r="AU134" s="125">
        <f>AH134*Valores!$C$74</f>
        <v>-8003.73528</v>
      </c>
      <c r="AV134" s="125">
        <f>AH134*Valores!$C$75</f>
        <v>-889.3039200000001</v>
      </c>
      <c r="AW134" s="125">
        <f t="shared" si="14"/>
        <v>255104.13040000002</v>
      </c>
      <c r="AX134" s="126"/>
      <c r="AY134" s="126">
        <v>22</v>
      </c>
      <c r="AZ134" s="123" t="s">
        <v>4</v>
      </c>
    </row>
    <row r="135" spans="1:52" s="110" customFormat="1" ht="11.25" customHeight="1">
      <c r="A135" s="123" t="s">
        <v>360</v>
      </c>
      <c r="B135" s="123">
        <v>1</v>
      </c>
      <c r="C135" s="126">
        <v>128</v>
      </c>
      <c r="D135" s="124" t="s">
        <v>361</v>
      </c>
      <c r="E135" s="192">
        <v>1278</v>
      </c>
      <c r="F135" s="125">
        <f>ROUND(E135*Valores!$C$2,2)</f>
        <v>69587.1</v>
      </c>
      <c r="G135" s="192">
        <v>0</v>
      </c>
      <c r="H135" s="125">
        <f>ROUND(G135*Valores!$C$2,2)</f>
        <v>0</v>
      </c>
      <c r="I135" s="192">
        <v>0</v>
      </c>
      <c r="J135" s="125">
        <f>ROUND(I135*Valores!$C$2,2)</f>
        <v>0</v>
      </c>
      <c r="K135" s="192">
        <v>0</v>
      </c>
      <c r="L135" s="125">
        <f>ROUND(K135*Valores!$C$2,2)</f>
        <v>0</v>
      </c>
      <c r="M135" s="125">
        <f>ROUND(IF($H$2=0,IF(AND(A135&lt;&gt;"13-930",A135&lt;&gt;"13-940"),(SUM(F135,H135,J135,L135,X135,T135,R135)*Valores!$C$4),0),0),2)</f>
        <v>28705.37</v>
      </c>
      <c r="N135" s="125">
        <f t="shared" si="11"/>
        <v>0</v>
      </c>
      <c r="O135" s="125">
        <f>Valores!$C$8</f>
        <v>68242.23</v>
      </c>
      <c r="P135" s="125">
        <f>Valores!$D$5</f>
        <v>27834.84</v>
      </c>
      <c r="Q135" s="125">
        <f>Valores!$C$22</f>
        <v>24831.49</v>
      </c>
      <c r="R135" s="125">
        <f>IF($F$4="NO",Valores!$C$44,Valores!$C$44/2)</f>
        <v>19335.33</v>
      </c>
      <c r="S135" s="125">
        <f>Valores!$C$19</f>
        <v>25899.06</v>
      </c>
      <c r="T135" s="125">
        <f t="shared" si="17"/>
        <v>25899.06</v>
      </c>
      <c r="U135" s="125">
        <v>0</v>
      </c>
      <c r="V135" s="125">
        <v>0</v>
      </c>
      <c r="W135" s="192">
        <v>0</v>
      </c>
      <c r="X135" s="125">
        <f>ROUND(W135*Valores!$C$2,2)</f>
        <v>0</v>
      </c>
      <c r="Y135" s="125">
        <v>0</v>
      </c>
      <c r="Z135" s="125">
        <f>Valores!$C$94</f>
        <v>38113.67</v>
      </c>
      <c r="AA135" s="125">
        <f>Valores!$C$25</f>
        <v>1138.39</v>
      </c>
      <c r="AB135" s="214">
        <v>0</v>
      </c>
      <c r="AC135" s="125">
        <f t="shared" si="12"/>
        <v>0</v>
      </c>
      <c r="AD135" s="125">
        <f>Valores!$C$26</f>
        <v>1138.39</v>
      </c>
      <c r="AE135" s="192">
        <v>0</v>
      </c>
      <c r="AF135" s="125">
        <f>ROUND(AE135*Valores!$C$2,2)</f>
        <v>0</v>
      </c>
      <c r="AG135" s="125">
        <f>ROUND(IF($F$4="NO",Valores!$C$63,Valores!$C$63/2),2)</f>
        <v>13014.72</v>
      </c>
      <c r="AH135" s="125">
        <f t="shared" si="15"/>
        <v>317840.58999999997</v>
      </c>
      <c r="AI135" s="125">
        <f>Valores!$C$31</f>
        <v>0</v>
      </c>
      <c r="AJ135" s="125">
        <f>Valores!$C$87</f>
        <v>0</v>
      </c>
      <c r="AK135" s="125">
        <f>Valores!C$38*B135</f>
        <v>0</v>
      </c>
      <c r="AL135" s="125">
        <f>IF($F$3="NO",0,Valores!$C$56)</f>
        <v>170.34</v>
      </c>
      <c r="AM135" s="125">
        <f t="shared" si="13"/>
        <v>170.34</v>
      </c>
      <c r="AN135" s="125">
        <f>AH135*Valores!$C$71</f>
        <v>-34962.4649</v>
      </c>
      <c r="AO135" s="125">
        <f>AH135*-Valores!$C$72</f>
        <v>0</v>
      </c>
      <c r="AP135" s="125">
        <f>AH135*Valores!$C$73</f>
        <v>-14302.826549999998</v>
      </c>
      <c r="AQ135" s="125">
        <f>Valores!$C$100</f>
        <v>-554.86</v>
      </c>
      <c r="AR135" s="125">
        <f>IF($F$5=0,Valores!$C$101,(Valores!$C$101+$F$5*(Valores!$C$101)))</f>
        <v>-852</v>
      </c>
      <c r="AS135" s="125">
        <f t="shared" si="16"/>
        <v>267338.77855</v>
      </c>
      <c r="AT135" s="125">
        <f t="shared" si="18"/>
        <v>-34962.4649</v>
      </c>
      <c r="AU135" s="125">
        <f>AH135*Valores!$C$74</f>
        <v>-8581.69593</v>
      </c>
      <c r="AV135" s="125">
        <f>AH135*Valores!$C$75</f>
        <v>-953.52177</v>
      </c>
      <c r="AW135" s="125">
        <f t="shared" si="14"/>
        <v>273513.2474</v>
      </c>
      <c r="AX135" s="126"/>
      <c r="AY135" s="126"/>
      <c r="AZ135" s="123" t="s">
        <v>4</v>
      </c>
    </row>
    <row r="136" spans="1:52" s="110" customFormat="1" ht="11.25" customHeight="1">
      <c r="A136" s="123" t="s">
        <v>362</v>
      </c>
      <c r="B136" s="123">
        <v>1</v>
      </c>
      <c r="C136" s="126">
        <v>129</v>
      </c>
      <c r="D136" s="124" t="s">
        <v>363</v>
      </c>
      <c r="E136" s="192">
        <v>1278</v>
      </c>
      <c r="F136" s="125">
        <f>ROUND(E136*Valores!$C$2,2)</f>
        <v>69587.1</v>
      </c>
      <c r="G136" s="192">
        <v>0</v>
      </c>
      <c r="H136" s="125">
        <f>ROUND(G136*Valores!$C$2,2)</f>
        <v>0</v>
      </c>
      <c r="I136" s="192">
        <v>0</v>
      </c>
      <c r="J136" s="125">
        <f>ROUND(I136*Valores!$C$2,2)</f>
        <v>0</v>
      </c>
      <c r="K136" s="192">
        <v>0</v>
      </c>
      <c r="L136" s="125">
        <f>ROUND(K136*Valores!$C$2,2)</f>
        <v>0</v>
      </c>
      <c r="M136" s="125">
        <f>ROUND(IF($H$2=0,IF(AND(A136&lt;&gt;"13-930",A136&lt;&gt;"13-940"),(SUM(F136,H136,J136,L136,X136,T136,R136)*Valores!$C$4),0),0),2)</f>
        <v>28705.37</v>
      </c>
      <c r="N136" s="125">
        <f aca="true" t="shared" si="19" ref="N136:N199">ROUND(SUM(F136,H136,J136,L136,X136,R136)*$H$2,2)</f>
        <v>0</v>
      </c>
      <c r="O136" s="125">
        <f>Valores!$C$8</f>
        <v>68242.23</v>
      </c>
      <c r="P136" s="125">
        <f>Valores!$D$5</f>
        <v>27834.84</v>
      </c>
      <c r="Q136" s="125">
        <f>Valores!$C$22</f>
        <v>24831.49</v>
      </c>
      <c r="R136" s="125">
        <f>IF($F$4="NO",Valores!$C$44,Valores!$C$44/2)</f>
        <v>19335.33</v>
      </c>
      <c r="S136" s="125">
        <f>Valores!$C$19</f>
        <v>25899.06</v>
      </c>
      <c r="T136" s="125">
        <f t="shared" si="17"/>
        <v>25899.06</v>
      </c>
      <c r="U136" s="125">
        <v>0</v>
      </c>
      <c r="V136" s="125">
        <v>0</v>
      </c>
      <c r="W136" s="192">
        <v>0</v>
      </c>
      <c r="X136" s="125">
        <f>ROUND(W136*Valores!$C$2,2)</f>
        <v>0</v>
      </c>
      <c r="Y136" s="125">
        <v>0</v>
      </c>
      <c r="Z136" s="125">
        <f>Valores!$C$94</f>
        <v>38113.67</v>
      </c>
      <c r="AA136" s="125">
        <f>Valores!$C$25</f>
        <v>1138.39</v>
      </c>
      <c r="AB136" s="214">
        <v>0</v>
      </c>
      <c r="AC136" s="125">
        <f aca="true" t="shared" si="20" ref="AC136:AC199">ROUND(SUM(F136,H136,J136,X136,R136)*AB136,2)</f>
        <v>0</v>
      </c>
      <c r="AD136" s="125">
        <f>Valores!$C$26</f>
        <v>1138.39</v>
      </c>
      <c r="AE136" s="192">
        <v>0</v>
      </c>
      <c r="AF136" s="125">
        <f>ROUND(AE136*Valores!$C$2,2)</f>
        <v>0</v>
      </c>
      <c r="AG136" s="125">
        <f>ROUND(IF($F$4="NO",Valores!$C$63,Valores!$C$63/2),2)</f>
        <v>13014.72</v>
      </c>
      <c r="AH136" s="125">
        <f t="shared" si="15"/>
        <v>317840.58999999997</v>
      </c>
      <c r="AI136" s="125">
        <f>Valores!$C$31</f>
        <v>0</v>
      </c>
      <c r="AJ136" s="125">
        <f>Valores!$C$87</f>
        <v>0</v>
      </c>
      <c r="AK136" s="125">
        <f>Valores!C$38*B136</f>
        <v>0</v>
      </c>
      <c r="AL136" s="125">
        <f>IF($F$3="NO",0,Valores!$C$56)</f>
        <v>170.34</v>
      </c>
      <c r="AM136" s="125">
        <f aca="true" t="shared" si="21" ref="AM136:AM199">SUM(AI136:AL136)</f>
        <v>170.34</v>
      </c>
      <c r="AN136" s="125">
        <f>AH136*Valores!$C$71</f>
        <v>-34962.4649</v>
      </c>
      <c r="AO136" s="125">
        <f>AH136*-Valores!$C$72</f>
        <v>0</v>
      </c>
      <c r="AP136" s="125">
        <f>AH136*Valores!$C$73</f>
        <v>-14302.826549999998</v>
      </c>
      <c r="AQ136" s="125">
        <f>Valores!$C$100</f>
        <v>-554.86</v>
      </c>
      <c r="AR136" s="125">
        <f>IF($F$5=0,Valores!$C$101,(Valores!$C$101+$F$5*(Valores!$C$101)))</f>
        <v>-852</v>
      </c>
      <c r="AS136" s="125">
        <f t="shared" si="16"/>
        <v>267338.77855</v>
      </c>
      <c r="AT136" s="125">
        <f t="shared" si="18"/>
        <v>-34962.4649</v>
      </c>
      <c r="AU136" s="125">
        <f>AH136*Valores!$C$74</f>
        <v>-8581.69593</v>
      </c>
      <c r="AV136" s="125">
        <f>AH136*Valores!$C$75</f>
        <v>-953.52177</v>
      </c>
      <c r="AW136" s="125">
        <f aca="true" t="shared" si="22" ref="AW136:AW199">AH136+AM136+SUM(AT136:AV136)</f>
        <v>273513.2474</v>
      </c>
      <c r="AX136" s="126"/>
      <c r="AY136" s="126"/>
      <c r="AZ136" s="123" t="s">
        <v>4</v>
      </c>
    </row>
    <row r="137" spans="1:52" s="110" customFormat="1" ht="11.25" customHeight="1">
      <c r="A137" s="123" t="s">
        <v>364</v>
      </c>
      <c r="B137" s="123">
        <v>1</v>
      </c>
      <c r="C137" s="126">
        <v>130</v>
      </c>
      <c r="D137" s="124" t="s">
        <v>365</v>
      </c>
      <c r="E137" s="192">
        <v>1278</v>
      </c>
      <c r="F137" s="125">
        <f>ROUND(E137*Valores!$C$2,2)</f>
        <v>69587.1</v>
      </c>
      <c r="G137" s="192">
        <v>0</v>
      </c>
      <c r="H137" s="125">
        <f>ROUND(G137*Valores!$C$2,2)</f>
        <v>0</v>
      </c>
      <c r="I137" s="192">
        <v>0</v>
      </c>
      <c r="J137" s="125">
        <f>ROUND(I137*Valores!$C$2,2)</f>
        <v>0</v>
      </c>
      <c r="K137" s="192">
        <v>0</v>
      </c>
      <c r="L137" s="125">
        <f>ROUND(K137*Valores!$C$2,2)</f>
        <v>0</v>
      </c>
      <c r="M137" s="125">
        <f>ROUND(IF($H$2=0,IF(AND(A137&lt;&gt;"13-930",A137&lt;&gt;"13-940"),(SUM(F137,H137,J137,L137,X137,T137,R137)*Valores!$C$4),0),0),2)</f>
        <v>28705.37</v>
      </c>
      <c r="N137" s="125">
        <f t="shared" si="19"/>
        <v>0</v>
      </c>
      <c r="O137" s="125">
        <f>Valores!$C$16</f>
        <v>47048.8</v>
      </c>
      <c r="P137" s="125">
        <f>Valores!$D$5</f>
        <v>27834.84</v>
      </c>
      <c r="Q137" s="125">
        <v>0</v>
      </c>
      <c r="R137" s="125">
        <f>IF($F$4="NO",Valores!$C$44,Valores!$C$44/2)</f>
        <v>19335.33</v>
      </c>
      <c r="S137" s="125">
        <f>Valores!$C$19</f>
        <v>25899.06</v>
      </c>
      <c r="T137" s="125">
        <f t="shared" si="17"/>
        <v>25899.06</v>
      </c>
      <c r="U137" s="125">
        <v>0</v>
      </c>
      <c r="V137" s="125">
        <v>0</v>
      </c>
      <c r="W137" s="192">
        <v>0</v>
      </c>
      <c r="X137" s="125">
        <f>ROUND(W137*Valores!$C$2,2)</f>
        <v>0</v>
      </c>
      <c r="Y137" s="125">
        <v>0</v>
      </c>
      <c r="Z137" s="125">
        <f>Valores!$C$94</f>
        <v>38113.67</v>
      </c>
      <c r="AA137" s="125">
        <f>Valores!$C$25</f>
        <v>1138.39</v>
      </c>
      <c r="AB137" s="214">
        <v>0</v>
      </c>
      <c r="AC137" s="125">
        <f t="shared" si="20"/>
        <v>0</v>
      </c>
      <c r="AD137" s="125">
        <f>Valores!$C$26</f>
        <v>1138.39</v>
      </c>
      <c r="AE137" s="192">
        <v>0</v>
      </c>
      <c r="AF137" s="125">
        <f>ROUND(AE137*Valores!$C$2,2)</f>
        <v>0</v>
      </c>
      <c r="AG137" s="125">
        <f>ROUND(IF($F$4="NO",Valores!$C$63,Valores!$C$63/2),2)</f>
        <v>13014.72</v>
      </c>
      <c r="AH137" s="125">
        <f aca="true" t="shared" si="23" ref="AH137:AH200">SUM(F137,H137,J137,L137,M137,N137,O137,P137,Q137,R137,T137,U137,V137,X137,Y137,Z137,AA137,AC137,AD137,AF137,AG137)</f>
        <v>271815.67</v>
      </c>
      <c r="AI137" s="125">
        <f>Valores!$C$31</f>
        <v>0</v>
      </c>
      <c r="AJ137" s="125">
        <f>Valores!$C$87</f>
        <v>0</v>
      </c>
      <c r="AK137" s="125">
        <f>Valores!C$38*B137</f>
        <v>0</v>
      </c>
      <c r="AL137" s="125">
        <f>IF($F$3="NO",0,Valores!$C$56)</f>
        <v>170.34</v>
      </c>
      <c r="AM137" s="125">
        <f t="shared" si="21"/>
        <v>170.34</v>
      </c>
      <c r="AN137" s="125">
        <f>AH137*Valores!$C$71</f>
        <v>-29899.7237</v>
      </c>
      <c r="AO137" s="125">
        <f>AH137*-Valores!$C$72</f>
        <v>0</v>
      </c>
      <c r="AP137" s="125">
        <f>AH137*Valores!$C$73</f>
        <v>-12231.705149999998</v>
      </c>
      <c r="AQ137" s="125">
        <f>Valores!$C$100</f>
        <v>-554.86</v>
      </c>
      <c r="AR137" s="125">
        <f>IF($F$5=0,Valores!$C$101,(Valores!$C$101+$F$5*(Valores!$C$101)))</f>
        <v>-852</v>
      </c>
      <c r="AS137" s="125">
        <f aca="true" t="shared" si="24" ref="AS137:AS200">AH137+SUM(AM137:AR137)</f>
        <v>228447.72115</v>
      </c>
      <c r="AT137" s="125">
        <f t="shared" si="18"/>
        <v>-29899.7237</v>
      </c>
      <c r="AU137" s="125">
        <f>AH137*Valores!$C$74</f>
        <v>-7339.02309</v>
      </c>
      <c r="AV137" s="125">
        <f>AH137*Valores!$C$75</f>
        <v>-815.44701</v>
      </c>
      <c r="AW137" s="125">
        <f t="shared" si="22"/>
        <v>233931.8162</v>
      </c>
      <c r="AX137" s="126">
        <v>12</v>
      </c>
      <c r="AY137" s="126">
        <v>15</v>
      </c>
      <c r="AZ137" s="123" t="s">
        <v>8</v>
      </c>
    </row>
    <row r="138" spans="1:52" s="110" customFormat="1" ht="11.25" customHeight="1">
      <c r="A138" s="123" t="s">
        <v>366</v>
      </c>
      <c r="B138" s="123">
        <v>1</v>
      </c>
      <c r="C138" s="126">
        <v>131</v>
      </c>
      <c r="D138" s="124" t="s">
        <v>367</v>
      </c>
      <c r="E138" s="192">
        <v>616</v>
      </c>
      <c r="F138" s="125">
        <f>ROUND(E138*Valores!$C$2,2)</f>
        <v>33541.2</v>
      </c>
      <c r="G138" s="192">
        <v>0</v>
      </c>
      <c r="H138" s="125">
        <f>ROUND(G138*Valores!$C$2,2)</f>
        <v>0</v>
      </c>
      <c r="I138" s="192">
        <v>0</v>
      </c>
      <c r="J138" s="125">
        <f>ROUND(I138*Valores!$C$2,2)</f>
        <v>0</v>
      </c>
      <c r="K138" s="192">
        <v>0</v>
      </c>
      <c r="L138" s="125">
        <f>ROUND(K138*Valores!$C$2,2)</f>
        <v>0</v>
      </c>
      <c r="M138" s="125">
        <f>ROUND(IF($H$2=0,IF(AND(A138&lt;&gt;"13-930",A138&lt;&gt;"13-940"),(SUM(F138,H138,J138,L138,X138,T138,R138)*Valores!$C$4),0),0),2)</f>
        <v>19693.9</v>
      </c>
      <c r="N138" s="125">
        <f t="shared" si="19"/>
        <v>0</v>
      </c>
      <c r="O138" s="125">
        <f>Valores!$C$8</f>
        <v>68242.23</v>
      </c>
      <c r="P138" s="125">
        <f>Valores!$D$5</f>
        <v>27834.84</v>
      </c>
      <c r="Q138" s="125">
        <f>Valores!$C$22</f>
        <v>24831.49</v>
      </c>
      <c r="R138" s="125">
        <f>IF($F$4="NO",Valores!$C$44,Valores!$C$44/2)</f>
        <v>19335.33</v>
      </c>
      <c r="S138" s="125">
        <f>Valores!$C$19</f>
        <v>25899.06</v>
      </c>
      <c r="T138" s="125">
        <f t="shared" si="17"/>
        <v>25899.06</v>
      </c>
      <c r="U138" s="125">
        <v>0</v>
      </c>
      <c r="V138" s="125">
        <v>0</v>
      </c>
      <c r="W138" s="192">
        <v>0</v>
      </c>
      <c r="X138" s="125">
        <f>ROUND(W138*Valores!$C$2,2)</f>
        <v>0</v>
      </c>
      <c r="Y138" s="125">
        <v>0</v>
      </c>
      <c r="Z138" s="125">
        <f>Valores!$C$94</f>
        <v>38113.67</v>
      </c>
      <c r="AA138" s="125">
        <f>Valores!$C$25</f>
        <v>1138.39</v>
      </c>
      <c r="AB138" s="214">
        <v>0</v>
      </c>
      <c r="AC138" s="125">
        <f t="shared" si="20"/>
        <v>0</v>
      </c>
      <c r="AD138" s="125">
        <f>Valores!$C$26</f>
        <v>1138.39</v>
      </c>
      <c r="AE138" s="192">
        <v>0</v>
      </c>
      <c r="AF138" s="125">
        <f>ROUND(AE138*Valores!$C$2,2)</f>
        <v>0</v>
      </c>
      <c r="AG138" s="125">
        <f>ROUND(IF($F$4="NO",Valores!$C$63,Valores!$C$63/2),2)</f>
        <v>13014.72</v>
      </c>
      <c r="AH138" s="125">
        <f t="shared" si="23"/>
        <v>272783.22</v>
      </c>
      <c r="AI138" s="125">
        <f>Valores!$C$31</f>
        <v>0</v>
      </c>
      <c r="AJ138" s="125">
        <f>Valores!$C$87</f>
        <v>0</v>
      </c>
      <c r="AK138" s="125">
        <f>Valores!C$38*B138</f>
        <v>0</v>
      </c>
      <c r="AL138" s="125">
        <f>IF($F$3="NO",0,Valores!$C$56)</f>
        <v>170.34</v>
      </c>
      <c r="AM138" s="125">
        <f t="shared" si="21"/>
        <v>170.34</v>
      </c>
      <c r="AN138" s="125">
        <f>AH138*Valores!$C$71</f>
        <v>-30006.154199999997</v>
      </c>
      <c r="AO138" s="125">
        <f>AH138*-Valores!$C$72</f>
        <v>0</v>
      </c>
      <c r="AP138" s="125">
        <f>AH138*Valores!$C$73</f>
        <v>-12275.244899999998</v>
      </c>
      <c r="AQ138" s="125">
        <f>Valores!$C$100</f>
        <v>-554.86</v>
      </c>
      <c r="AR138" s="125">
        <f>IF($F$5=0,Valores!$C$101,(Valores!$C$101+$F$5*(Valores!$C$101)))</f>
        <v>-852</v>
      </c>
      <c r="AS138" s="125">
        <f t="shared" si="24"/>
        <v>229265.30089999997</v>
      </c>
      <c r="AT138" s="125">
        <f t="shared" si="18"/>
        <v>-30006.154199999997</v>
      </c>
      <c r="AU138" s="125">
        <f>AH138*Valores!$C$74</f>
        <v>-7365.146939999999</v>
      </c>
      <c r="AV138" s="125">
        <f>AH138*Valores!$C$75</f>
        <v>-818.34966</v>
      </c>
      <c r="AW138" s="125">
        <f t="shared" si="22"/>
        <v>234763.9092</v>
      </c>
      <c r="AX138" s="126">
        <v>6</v>
      </c>
      <c r="AY138" s="126"/>
      <c r="AZ138" s="123" t="s">
        <v>4</v>
      </c>
    </row>
    <row r="139" spans="1:52" s="110" customFormat="1" ht="11.25" customHeight="1">
      <c r="A139" s="123" t="s">
        <v>368</v>
      </c>
      <c r="B139" s="123">
        <v>1</v>
      </c>
      <c r="C139" s="126">
        <v>132</v>
      </c>
      <c r="D139" s="124" t="s">
        <v>369</v>
      </c>
      <c r="E139" s="192">
        <v>1278</v>
      </c>
      <c r="F139" s="125">
        <f>ROUND(E139*Valores!$C$2,2)</f>
        <v>69587.1</v>
      </c>
      <c r="G139" s="192">
        <v>0</v>
      </c>
      <c r="H139" s="125">
        <f>ROUND(G139*Valores!$C$2,2)</f>
        <v>0</v>
      </c>
      <c r="I139" s="192">
        <v>0</v>
      </c>
      <c r="J139" s="125">
        <f>ROUND(I139*Valores!$C$2,2)</f>
        <v>0</v>
      </c>
      <c r="K139" s="192">
        <v>0</v>
      </c>
      <c r="L139" s="125">
        <f>ROUND(K139*Valores!$C$2,2)</f>
        <v>0</v>
      </c>
      <c r="M139" s="125">
        <f>ROUND(IF($H$2=0,IF(AND(A139&lt;&gt;"13-930",A139&lt;&gt;"13-940"),(SUM(F139,H139,J139,L139,X139,T139,R139)*Valores!$C$4),0),0),2)</f>
        <v>28639.18</v>
      </c>
      <c r="N139" s="125">
        <f t="shared" si="19"/>
        <v>0</v>
      </c>
      <c r="O139" s="125">
        <f>Valores!$C$16</f>
        <v>47048.8</v>
      </c>
      <c r="P139" s="125">
        <f>Valores!$D$5</f>
        <v>27834.84</v>
      </c>
      <c r="Q139" s="125">
        <v>0</v>
      </c>
      <c r="R139" s="125">
        <f>IF($F$4="NO",Valores!$C$44,Valores!$C$44/2)</f>
        <v>19335.33</v>
      </c>
      <c r="S139" s="125">
        <f>Valores!$C$20</f>
        <v>25634.272</v>
      </c>
      <c r="T139" s="125">
        <f aca="true" t="shared" si="25" ref="T139:T202">ROUND(S139*(1+$H$2),2)</f>
        <v>25634.27</v>
      </c>
      <c r="U139" s="125">
        <v>0</v>
      </c>
      <c r="V139" s="125">
        <v>0</v>
      </c>
      <c r="W139" s="192">
        <v>0</v>
      </c>
      <c r="X139" s="125">
        <f>ROUND(W139*Valores!$C$2,2)</f>
        <v>0</v>
      </c>
      <c r="Y139" s="125">
        <v>0</v>
      </c>
      <c r="Z139" s="125">
        <f>Valores!$C$94</f>
        <v>38113.67</v>
      </c>
      <c r="AA139" s="125">
        <f>Valores!$C$25</f>
        <v>1138.39</v>
      </c>
      <c r="AB139" s="214">
        <v>0</v>
      </c>
      <c r="AC139" s="125">
        <f t="shared" si="20"/>
        <v>0</v>
      </c>
      <c r="AD139" s="125">
        <f>Valores!$C$26</f>
        <v>1138.39</v>
      </c>
      <c r="AE139" s="192">
        <v>0</v>
      </c>
      <c r="AF139" s="125">
        <f>ROUND(AE139*Valores!$C$2,2)</f>
        <v>0</v>
      </c>
      <c r="AG139" s="125">
        <f>ROUND(IF($F$4="NO",Valores!$C$63,Valores!$C$63/2),2)</f>
        <v>13014.72</v>
      </c>
      <c r="AH139" s="125">
        <f t="shared" si="23"/>
        <v>271484.69</v>
      </c>
      <c r="AI139" s="125">
        <f>Valores!$C$31</f>
        <v>0</v>
      </c>
      <c r="AJ139" s="125">
        <f>Valores!$C$87</f>
        <v>0</v>
      </c>
      <c r="AK139" s="125">
        <f>Valores!C$38*B139</f>
        <v>0</v>
      </c>
      <c r="AL139" s="125">
        <f>(IF($F$3="NO",0,Valores!$C$58))</f>
        <v>155.18</v>
      </c>
      <c r="AM139" s="125">
        <f t="shared" si="21"/>
        <v>155.18</v>
      </c>
      <c r="AN139" s="125">
        <f>AH139*Valores!$C$71</f>
        <v>-29863.3159</v>
      </c>
      <c r="AO139" s="125">
        <f>AH139*-Valores!$C$72</f>
        <v>0</v>
      </c>
      <c r="AP139" s="125">
        <f>AH139*Valores!$C$73</f>
        <v>-12216.81105</v>
      </c>
      <c r="AQ139" s="125">
        <f>Valores!$C$100</f>
        <v>-554.86</v>
      </c>
      <c r="AR139" s="125">
        <f>IF($F$5=0,Valores!$C$101,(Valores!$C$101+$F$5*(Valores!$C$101)))</f>
        <v>-852</v>
      </c>
      <c r="AS139" s="125">
        <f t="shared" si="24"/>
        <v>228152.88305</v>
      </c>
      <c r="AT139" s="125">
        <f t="shared" si="18"/>
        <v>-29863.3159</v>
      </c>
      <c r="AU139" s="125">
        <f>AH139*Valores!$C$74</f>
        <v>-7330.08663</v>
      </c>
      <c r="AV139" s="125">
        <f>AH139*Valores!$C$75</f>
        <v>-814.45407</v>
      </c>
      <c r="AW139" s="125">
        <f t="shared" si="22"/>
        <v>233632.0134</v>
      </c>
      <c r="AX139" s="126">
        <v>12</v>
      </c>
      <c r="AY139" s="126">
        <v>15</v>
      </c>
      <c r="AZ139" s="123" t="s">
        <v>4</v>
      </c>
    </row>
    <row r="140" spans="1:52" s="110" customFormat="1" ht="11.25" customHeight="1">
      <c r="A140" s="123" t="s">
        <v>370</v>
      </c>
      <c r="B140" s="123">
        <v>1</v>
      </c>
      <c r="C140" s="126">
        <v>133</v>
      </c>
      <c r="D140" s="124" t="s">
        <v>371</v>
      </c>
      <c r="E140" s="192">
        <v>1983</v>
      </c>
      <c r="F140" s="125">
        <f>ROUND(E140*Valores!$C$2,2)</f>
        <v>107974.35</v>
      </c>
      <c r="G140" s="192">
        <v>0</v>
      </c>
      <c r="H140" s="125">
        <f>ROUND(G140*Valores!$C$2,2)</f>
        <v>0</v>
      </c>
      <c r="I140" s="192">
        <v>0</v>
      </c>
      <c r="J140" s="125">
        <f>ROUND(I140*Valores!$C$2,2)</f>
        <v>0</v>
      </c>
      <c r="K140" s="192">
        <v>0</v>
      </c>
      <c r="L140" s="125">
        <f>ROUND(K140*Valores!$C$2,2)</f>
        <v>0</v>
      </c>
      <c r="M140" s="125">
        <f>ROUND(IF($H$2=0,IF(AND(A140&lt;&gt;"13-930",A140&lt;&gt;"13-940"),(SUM(F140,H140,J140,L140,X140,T140,R140)*Valores!$C$4),0),0),2)</f>
        <v>38302.19</v>
      </c>
      <c r="N140" s="125">
        <f t="shared" si="19"/>
        <v>0</v>
      </c>
      <c r="O140" s="125">
        <f>Valores!$C$8</f>
        <v>68242.23</v>
      </c>
      <c r="P140" s="125">
        <f>Valores!$D$5</f>
        <v>27834.84</v>
      </c>
      <c r="Q140" s="125">
        <f>Valores!$C$22</f>
        <v>24831.49</v>
      </c>
      <c r="R140" s="125">
        <f>IF($F$4="NO",Valores!$C$44,Valores!$C$44/2)</f>
        <v>19335.33</v>
      </c>
      <c r="S140" s="125">
        <f>Valores!$C$19</f>
        <v>25899.06</v>
      </c>
      <c r="T140" s="125">
        <f t="shared" si="25"/>
        <v>25899.06</v>
      </c>
      <c r="U140" s="125">
        <v>0</v>
      </c>
      <c r="V140" s="125">
        <v>0</v>
      </c>
      <c r="W140" s="192">
        <v>0</v>
      </c>
      <c r="X140" s="125">
        <f>ROUND(W140*Valores!$C$2,2)</f>
        <v>0</v>
      </c>
      <c r="Y140" s="125">
        <v>0</v>
      </c>
      <c r="Z140" s="125">
        <f>Valores!$C$94</f>
        <v>38113.67</v>
      </c>
      <c r="AA140" s="125">
        <f>Valores!$C$25</f>
        <v>1138.39</v>
      </c>
      <c r="AB140" s="214">
        <v>0</v>
      </c>
      <c r="AC140" s="125">
        <f t="shared" si="20"/>
        <v>0</v>
      </c>
      <c r="AD140" s="125">
        <f>Valores!$C$26</f>
        <v>1138.39</v>
      </c>
      <c r="AE140" s="192">
        <v>94</v>
      </c>
      <c r="AF140" s="125">
        <f>ROUND(AE140*Valores!$C$2,2)</f>
        <v>5118.3</v>
      </c>
      <c r="AG140" s="125">
        <f>ROUND(IF($F$4="NO",Valores!$C$63,Valores!$C$63/2),2)</f>
        <v>13014.72</v>
      </c>
      <c r="AH140" s="125">
        <f t="shared" si="23"/>
        <v>370942.96</v>
      </c>
      <c r="AI140" s="125">
        <f>Valores!$C$31</f>
        <v>0</v>
      </c>
      <c r="AJ140" s="125">
        <f>Valores!$C$87</f>
        <v>0</v>
      </c>
      <c r="AK140" s="125">
        <f>Valores!C$38*B140</f>
        <v>0</v>
      </c>
      <c r="AL140" s="125">
        <f>IF($F$3="NO",0,Valores!$C$56)</f>
        <v>170.34</v>
      </c>
      <c r="AM140" s="125">
        <f t="shared" si="21"/>
        <v>170.34</v>
      </c>
      <c r="AN140" s="125">
        <f>AH140*Valores!$C$71</f>
        <v>-40803.725600000005</v>
      </c>
      <c r="AO140" s="125">
        <f>AH140*-Valores!$C$72</f>
        <v>0</v>
      </c>
      <c r="AP140" s="125">
        <f>AH140*Valores!$C$73</f>
        <v>-16692.4332</v>
      </c>
      <c r="AQ140" s="125">
        <f>Valores!$C$100</f>
        <v>-554.86</v>
      </c>
      <c r="AR140" s="125">
        <f>IF($F$5=0,Valores!$C$101,(Valores!$C$101+$F$5*(Valores!$C$101)))</f>
        <v>-852</v>
      </c>
      <c r="AS140" s="125">
        <f t="shared" si="24"/>
        <v>312210.2812</v>
      </c>
      <c r="AT140" s="125">
        <f t="shared" si="18"/>
        <v>-40803.725600000005</v>
      </c>
      <c r="AU140" s="125">
        <f>AH140*Valores!$C$74</f>
        <v>-10015.459920000001</v>
      </c>
      <c r="AV140" s="125">
        <f>AH140*Valores!$C$75</f>
        <v>-1112.82888</v>
      </c>
      <c r="AW140" s="125">
        <f t="shared" si="22"/>
        <v>319181.28560000006</v>
      </c>
      <c r="AX140" s="126"/>
      <c r="AY140" s="126"/>
      <c r="AZ140" s="123" t="s">
        <v>8</v>
      </c>
    </row>
    <row r="141" spans="1:52" s="110" customFormat="1" ht="11.25" customHeight="1">
      <c r="A141" s="123" t="s">
        <v>372</v>
      </c>
      <c r="B141" s="123">
        <v>1</v>
      </c>
      <c r="C141" s="126">
        <v>134</v>
      </c>
      <c r="D141" s="124" t="s">
        <v>373</v>
      </c>
      <c r="E141" s="192">
        <v>1378</v>
      </c>
      <c r="F141" s="125">
        <f>ROUND(E141*Valores!$C$2,2)</f>
        <v>75032.1</v>
      </c>
      <c r="G141" s="192">
        <v>0</v>
      </c>
      <c r="H141" s="125">
        <f>ROUND(G141*Valores!$C$2,2)</f>
        <v>0</v>
      </c>
      <c r="I141" s="192">
        <v>0</v>
      </c>
      <c r="J141" s="125">
        <f>ROUND(I141*Valores!$C$2,2)</f>
        <v>0</v>
      </c>
      <c r="K141" s="192">
        <v>0</v>
      </c>
      <c r="L141" s="125">
        <f>ROUND(K141*Valores!$C$2,2)</f>
        <v>0</v>
      </c>
      <c r="M141" s="125">
        <f>ROUND(IF($H$2=0,IF(AND(A141&lt;&gt;"13-930",A141&lt;&gt;"13-940"),(SUM(F141,H141,J141,L141,X141,T141,R141)*Valores!$C$4),0),0),2)</f>
        <v>30000.43</v>
      </c>
      <c r="N141" s="125">
        <f t="shared" si="19"/>
        <v>0</v>
      </c>
      <c r="O141" s="125">
        <f>Valores!$C$16</f>
        <v>47048.8</v>
      </c>
      <c r="P141" s="125">
        <f>Valores!$D$5</f>
        <v>27834.84</v>
      </c>
      <c r="Q141" s="125">
        <f>Valores!$C$22</f>
        <v>24831.49</v>
      </c>
      <c r="R141" s="125">
        <f>IF($F$4="NO",Valores!$C$44,Valores!$C$44/2)</f>
        <v>19335.33</v>
      </c>
      <c r="S141" s="125">
        <f>Valores!$C$20</f>
        <v>25634.272</v>
      </c>
      <c r="T141" s="125">
        <f t="shared" si="25"/>
        <v>25634.27</v>
      </c>
      <c r="U141" s="125">
        <v>0</v>
      </c>
      <c r="V141" s="125">
        <v>0</v>
      </c>
      <c r="W141" s="192">
        <v>0</v>
      </c>
      <c r="X141" s="125">
        <f>ROUND(W141*Valores!$C$2,2)</f>
        <v>0</v>
      </c>
      <c r="Y141" s="125">
        <v>0</v>
      </c>
      <c r="Z141" s="125">
        <f>Valores!$C$94</f>
        <v>38113.67</v>
      </c>
      <c r="AA141" s="125">
        <f>Valores!$C$25</f>
        <v>1138.39</v>
      </c>
      <c r="AB141" s="214">
        <v>0</v>
      </c>
      <c r="AC141" s="125">
        <f t="shared" si="20"/>
        <v>0</v>
      </c>
      <c r="AD141" s="125">
        <f>Valores!$C$26</f>
        <v>1138.39</v>
      </c>
      <c r="AE141" s="192">
        <v>0</v>
      </c>
      <c r="AF141" s="125">
        <f>ROUND(AE141*Valores!$C$2,2)</f>
        <v>0</v>
      </c>
      <c r="AG141" s="125">
        <f>ROUND(IF($F$4="NO",Valores!$C$63,Valores!$C$63/2),2)</f>
        <v>13014.72</v>
      </c>
      <c r="AH141" s="125">
        <f t="shared" si="23"/>
        <v>303122.43</v>
      </c>
      <c r="AI141" s="125">
        <f>Valores!$C$31</f>
        <v>0</v>
      </c>
      <c r="AJ141" s="125">
        <f>Valores!$C$87</f>
        <v>0</v>
      </c>
      <c r="AK141" s="125">
        <f>Valores!C$38*B141</f>
        <v>0</v>
      </c>
      <c r="AL141" s="125">
        <f>IF($F$3="NO",0,Valores!$C$56)</f>
        <v>170.34</v>
      </c>
      <c r="AM141" s="125">
        <f t="shared" si="21"/>
        <v>170.34</v>
      </c>
      <c r="AN141" s="125">
        <f>AH141*Valores!$C$71</f>
        <v>-33343.4673</v>
      </c>
      <c r="AO141" s="125">
        <f>AH141*-Valores!$C$72</f>
        <v>0</v>
      </c>
      <c r="AP141" s="125">
        <f>AH141*Valores!$C$73</f>
        <v>-13640.509349999998</v>
      </c>
      <c r="AQ141" s="125">
        <f>Valores!$C$100</f>
        <v>-554.86</v>
      </c>
      <c r="AR141" s="125">
        <f>IF($F$5=0,Valores!$C$101,(Valores!$C$101+$F$5*(Valores!$C$101)))</f>
        <v>-852</v>
      </c>
      <c r="AS141" s="125">
        <f t="shared" si="24"/>
        <v>254901.93335</v>
      </c>
      <c r="AT141" s="125">
        <f t="shared" si="18"/>
        <v>-33343.4673</v>
      </c>
      <c r="AU141" s="125">
        <f>AH141*Valores!$C$74</f>
        <v>-8184.305609999999</v>
      </c>
      <c r="AV141" s="125">
        <f>AH141*Valores!$C$75</f>
        <v>-909.36729</v>
      </c>
      <c r="AW141" s="125">
        <f t="shared" si="22"/>
        <v>260855.62980000002</v>
      </c>
      <c r="AX141" s="126"/>
      <c r="AY141" s="126">
        <v>22</v>
      </c>
      <c r="AZ141" s="123" t="s">
        <v>4</v>
      </c>
    </row>
    <row r="142" spans="1:52" s="110" customFormat="1" ht="11.25" customHeight="1">
      <c r="A142" s="123" t="s">
        <v>374</v>
      </c>
      <c r="B142" s="123">
        <v>1</v>
      </c>
      <c r="C142" s="126">
        <v>135</v>
      </c>
      <c r="D142" s="124" t="s">
        <v>375</v>
      </c>
      <c r="E142" s="192">
        <v>1278</v>
      </c>
      <c r="F142" s="125">
        <f>ROUND(E142*Valores!$C$2,2)</f>
        <v>69587.1</v>
      </c>
      <c r="G142" s="192">
        <v>0</v>
      </c>
      <c r="H142" s="125">
        <f>ROUND(G142*Valores!$C$2,2)</f>
        <v>0</v>
      </c>
      <c r="I142" s="192">
        <v>0</v>
      </c>
      <c r="J142" s="125">
        <f>ROUND(I142*Valores!$C$2,2)</f>
        <v>0</v>
      </c>
      <c r="K142" s="192">
        <v>0</v>
      </c>
      <c r="L142" s="125">
        <f>ROUND(K142*Valores!$C$2,2)</f>
        <v>0</v>
      </c>
      <c r="M142" s="125">
        <f>ROUND(IF($H$2=0,IF(AND(A142&lt;&gt;"13-930",A142&lt;&gt;"13-940"),(SUM(F142,H142,J142,L142,X142,T142,R142)*Valores!$C$4),0),0),2)</f>
        <v>28705.37</v>
      </c>
      <c r="N142" s="125">
        <f t="shared" si="19"/>
        <v>0</v>
      </c>
      <c r="O142" s="125">
        <f>Valores!$C$16</f>
        <v>47048.8</v>
      </c>
      <c r="P142" s="125">
        <f>Valores!$D$5</f>
        <v>27834.84</v>
      </c>
      <c r="Q142" s="125">
        <f>Valores!$C$22</f>
        <v>24831.49</v>
      </c>
      <c r="R142" s="125">
        <f>IF($F$4="NO",Valores!$C$44,Valores!$C$44/2)</f>
        <v>19335.33</v>
      </c>
      <c r="S142" s="125">
        <f>Valores!$C$19</f>
        <v>25899.06</v>
      </c>
      <c r="T142" s="125">
        <f t="shared" si="25"/>
        <v>25899.06</v>
      </c>
      <c r="U142" s="125">
        <v>0</v>
      </c>
      <c r="V142" s="125">
        <v>0</v>
      </c>
      <c r="W142" s="192">
        <v>0</v>
      </c>
      <c r="X142" s="125">
        <f>ROUND(W142*Valores!$C$2,2)</f>
        <v>0</v>
      </c>
      <c r="Y142" s="125">
        <v>0</v>
      </c>
      <c r="Z142" s="125">
        <f>Valores!$C$94</f>
        <v>38113.67</v>
      </c>
      <c r="AA142" s="125">
        <f>Valores!$C$25</f>
        <v>1138.39</v>
      </c>
      <c r="AB142" s="214">
        <v>0</v>
      </c>
      <c r="AC142" s="125">
        <f t="shared" si="20"/>
        <v>0</v>
      </c>
      <c r="AD142" s="125">
        <f>Valores!$C$26</f>
        <v>1138.39</v>
      </c>
      <c r="AE142" s="192">
        <v>0</v>
      </c>
      <c r="AF142" s="125">
        <f>ROUND(AE142*Valores!$C$2,2)</f>
        <v>0</v>
      </c>
      <c r="AG142" s="125">
        <f>ROUND(IF($F$4="NO",Valores!$C$63,Valores!$C$63/2),2)</f>
        <v>13014.72</v>
      </c>
      <c r="AH142" s="125">
        <f t="shared" si="23"/>
        <v>296647.16</v>
      </c>
      <c r="AI142" s="125">
        <f>Valores!$C$31</f>
        <v>0</v>
      </c>
      <c r="AJ142" s="125">
        <f>Valores!$C$87</f>
        <v>0</v>
      </c>
      <c r="AK142" s="125">
        <f>Valores!C$38*B142</f>
        <v>0</v>
      </c>
      <c r="AL142" s="125">
        <f>IF($F$3="NO",0,Valores!$C$56)</f>
        <v>170.34</v>
      </c>
      <c r="AM142" s="125">
        <f t="shared" si="21"/>
        <v>170.34</v>
      </c>
      <c r="AN142" s="125">
        <f>AH142*Valores!$C$71</f>
        <v>-32631.187599999997</v>
      </c>
      <c r="AO142" s="125">
        <f>AH142*-Valores!$C$72</f>
        <v>0</v>
      </c>
      <c r="AP142" s="125">
        <f>AH142*Valores!$C$73</f>
        <v>-13349.122199999998</v>
      </c>
      <c r="AQ142" s="125">
        <f>Valores!$C$100</f>
        <v>-554.86</v>
      </c>
      <c r="AR142" s="125">
        <f>IF($F$5=0,Valores!$C$101,(Valores!$C$101+$F$5*(Valores!$C$101)))</f>
        <v>-852</v>
      </c>
      <c r="AS142" s="125">
        <f t="shared" si="24"/>
        <v>249430.33019999997</v>
      </c>
      <c r="AT142" s="125">
        <f t="shared" si="18"/>
        <v>-32631.187599999997</v>
      </c>
      <c r="AU142" s="125">
        <f>AH142*Valores!$C$74</f>
        <v>-8009.473319999999</v>
      </c>
      <c r="AV142" s="125">
        <f>AH142*Valores!$C$75</f>
        <v>-889.94148</v>
      </c>
      <c r="AW142" s="125">
        <f t="shared" si="22"/>
        <v>255286.8976</v>
      </c>
      <c r="AX142" s="126"/>
      <c r="AY142" s="126">
        <v>22</v>
      </c>
      <c r="AZ142" s="123" t="s">
        <v>4</v>
      </c>
    </row>
    <row r="143" spans="1:52" s="110" customFormat="1" ht="11.25" customHeight="1">
      <c r="A143" s="123" t="s">
        <v>376</v>
      </c>
      <c r="B143" s="123">
        <v>1</v>
      </c>
      <c r="C143" s="126">
        <v>136</v>
      </c>
      <c r="D143" s="124" t="s">
        <v>377</v>
      </c>
      <c r="E143" s="192">
        <v>1278</v>
      </c>
      <c r="F143" s="125">
        <f>ROUND(E143*Valores!$C$2,2)</f>
        <v>69587.1</v>
      </c>
      <c r="G143" s="192">
        <v>0</v>
      </c>
      <c r="H143" s="125">
        <f>ROUND(G143*Valores!$C$2,2)</f>
        <v>0</v>
      </c>
      <c r="I143" s="192">
        <v>0</v>
      </c>
      <c r="J143" s="125">
        <f>ROUND(I143*Valores!$C$2,2)</f>
        <v>0</v>
      </c>
      <c r="K143" s="192">
        <v>0</v>
      </c>
      <c r="L143" s="125">
        <f>ROUND(K143*Valores!$C$2,2)</f>
        <v>0</v>
      </c>
      <c r="M143" s="125">
        <f>ROUND(IF($H$2=0,IF(AND(A143&lt;&gt;"13-930",A143&lt;&gt;"13-940"),(SUM(F143,H143,J143,L143,X143,T143,R143)*Valores!$C$4),0),0),2)</f>
        <v>28705.37</v>
      </c>
      <c r="N143" s="125">
        <f t="shared" si="19"/>
        <v>0</v>
      </c>
      <c r="O143" s="125">
        <f>Valores!$C$16</f>
        <v>47048.8</v>
      </c>
      <c r="P143" s="125">
        <f>Valores!$D$5</f>
        <v>27834.84</v>
      </c>
      <c r="Q143" s="125">
        <f>Valores!$C$22</f>
        <v>24831.49</v>
      </c>
      <c r="R143" s="125">
        <f>IF($F$4="NO",Valores!$C$44,Valores!$C$44/2)</f>
        <v>19335.33</v>
      </c>
      <c r="S143" s="125">
        <f>Valores!$C$19</f>
        <v>25899.06</v>
      </c>
      <c r="T143" s="125">
        <f t="shared" si="25"/>
        <v>25899.06</v>
      </c>
      <c r="U143" s="125">
        <v>0</v>
      </c>
      <c r="V143" s="125">
        <v>0</v>
      </c>
      <c r="W143" s="192">
        <v>0</v>
      </c>
      <c r="X143" s="125">
        <f>ROUND(W143*Valores!$C$2,2)</f>
        <v>0</v>
      </c>
      <c r="Y143" s="125">
        <v>0</v>
      </c>
      <c r="Z143" s="125">
        <f>Valores!$C$94</f>
        <v>38113.67</v>
      </c>
      <c r="AA143" s="125">
        <f>Valores!$C$25</f>
        <v>1138.39</v>
      </c>
      <c r="AB143" s="214">
        <v>0</v>
      </c>
      <c r="AC143" s="125">
        <f t="shared" si="20"/>
        <v>0</v>
      </c>
      <c r="AD143" s="125">
        <f>Valores!$C$26</f>
        <v>1138.39</v>
      </c>
      <c r="AE143" s="192">
        <v>0</v>
      </c>
      <c r="AF143" s="125">
        <f>ROUND(AE143*Valores!$C$2,2)</f>
        <v>0</v>
      </c>
      <c r="AG143" s="125">
        <f>ROUND(IF($F$4="NO",Valores!$C$63,Valores!$C$63/2),2)</f>
        <v>13014.72</v>
      </c>
      <c r="AH143" s="125">
        <f t="shared" si="23"/>
        <v>296647.16</v>
      </c>
      <c r="AI143" s="125">
        <f>Valores!$C$31</f>
        <v>0</v>
      </c>
      <c r="AJ143" s="125">
        <f>Valores!$C$87</f>
        <v>0</v>
      </c>
      <c r="AK143" s="125">
        <f>Valores!C$38*B143</f>
        <v>0</v>
      </c>
      <c r="AL143" s="125">
        <f>IF($F$3="NO",0,Valores!$C$56)</f>
        <v>170.34</v>
      </c>
      <c r="AM143" s="125">
        <f t="shared" si="21"/>
        <v>170.34</v>
      </c>
      <c r="AN143" s="125">
        <f>AH143*Valores!$C$71</f>
        <v>-32631.187599999997</v>
      </c>
      <c r="AO143" s="125">
        <f>AH143*-Valores!$C$72</f>
        <v>0</v>
      </c>
      <c r="AP143" s="125">
        <f>AH143*Valores!$C$73</f>
        <v>-13349.122199999998</v>
      </c>
      <c r="AQ143" s="125">
        <f>Valores!$C$100</f>
        <v>-554.86</v>
      </c>
      <c r="AR143" s="125">
        <f>IF($F$5=0,Valores!$C$101,(Valores!$C$101+$F$5*(Valores!$C$101)))</f>
        <v>-852</v>
      </c>
      <c r="AS143" s="125">
        <f t="shared" si="24"/>
        <v>249430.33019999997</v>
      </c>
      <c r="AT143" s="125">
        <f t="shared" si="18"/>
        <v>-32631.187599999997</v>
      </c>
      <c r="AU143" s="125">
        <f>AH143*Valores!$C$74</f>
        <v>-8009.473319999999</v>
      </c>
      <c r="AV143" s="125">
        <f>AH143*Valores!$C$75</f>
        <v>-889.94148</v>
      </c>
      <c r="AW143" s="125">
        <f t="shared" si="22"/>
        <v>255286.8976</v>
      </c>
      <c r="AX143" s="126"/>
      <c r="AY143" s="126"/>
      <c r="AZ143" s="123" t="s">
        <v>4</v>
      </c>
    </row>
    <row r="144" spans="1:52" s="110" customFormat="1" ht="11.25" customHeight="1">
      <c r="A144" s="123" t="s">
        <v>378</v>
      </c>
      <c r="B144" s="123">
        <v>1</v>
      </c>
      <c r="C144" s="126">
        <v>137</v>
      </c>
      <c r="D144" s="124" t="s">
        <v>379</v>
      </c>
      <c r="E144" s="192">
        <v>1278</v>
      </c>
      <c r="F144" s="125">
        <f>ROUND(E144*Valores!$C$2,2)</f>
        <v>69587.1</v>
      </c>
      <c r="G144" s="192">
        <v>0</v>
      </c>
      <c r="H144" s="125">
        <f>ROUND(G144*Valores!$C$2,2)</f>
        <v>0</v>
      </c>
      <c r="I144" s="192">
        <v>0</v>
      </c>
      <c r="J144" s="125">
        <f>ROUND(I144*Valores!$C$2,2)</f>
        <v>0</v>
      </c>
      <c r="K144" s="192">
        <v>0</v>
      </c>
      <c r="L144" s="125">
        <f>ROUND(K144*Valores!$C$2,2)</f>
        <v>0</v>
      </c>
      <c r="M144" s="125">
        <f>ROUND(IF($H$2=0,IF(AND(A144&lt;&gt;"13-930",A144&lt;&gt;"13-940"),(SUM(F144,H144,J144,L144,X144,T144,R144)*Valores!$C$4),0),0),2)</f>
        <v>28705.37</v>
      </c>
      <c r="N144" s="125">
        <f t="shared" si="19"/>
        <v>0</v>
      </c>
      <c r="O144" s="125">
        <f>Valores!$C$16</f>
        <v>47048.8</v>
      </c>
      <c r="P144" s="125">
        <f>Valores!$D$5</f>
        <v>27834.84</v>
      </c>
      <c r="Q144" s="125">
        <f>Valores!$C$22</f>
        <v>24831.49</v>
      </c>
      <c r="R144" s="125">
        <f>IF($F$4="NO",Valores!$C$44,Valores!$C$44/2)</f>
        <v>19335.33</v>
      </c>
      <c r="S144" s="125">
        <f>Valores!$C$19</f>
        <v>25899.06</v>
      </c>
      <c r="T144" s="125">
        <f t="shared" si="25"/>
        <v>25899.06</v>
      </c>
      <c r="U144" s="125">
        <v>0</v>
      </c>
      <c r="V144" s="125">
        <v>0</v>
      </c>
      <c r="W144" s="192">
        <v>0</v>
      </c>
      <c r="X144" s="125">
        <f>ROUND(W144*Valores!$C$2,2)</f>
        <v>0</v>
      </c>
      <c r="Y144" s="125">
        <v>0</v>
      </c>
      <c r="Z144" s="125">
        <f>Valores!$C$94</f>
        <v>38113.67</v>
      </c>
      <c r="AA144" s="125">
        <f>Valores!$C$25</f>
        <v>1138.39</v>
      </c>
      <c r="AB144" s="214">
        <v>0</v>
      </c>
      <c r="AC144" s="125">
        <f t="shared" si="20"/>
        <v>0</v>
      </c>
      <c r="AD144" s="125">
        <f>Valores!$C$26</f>
        <v>1138.39</v>
      </c>
      <c r="AE144" s="192">
        <v>0</v>
      </c>
      <c r="AF144" s="125">
        <f>ROUND(AE144*Valores!$C$2,2)</f>
        <v>0</v>
      </c>
      <c r="AG144" s="125">
        <f>ROUND(IF($F$4="NO",Valores!$C$63,Valores!$C$63/2),2)</f>
        <v>13014.72</v>
      </c>
      <c r="AH144" s="125">
        <f t="shared" si="23"/>
        <v>296647.16</v>
      </c>
      <c r="AI144" s="125">
        <f>Valores!$C$31</f>
        <v>0</v>
      </c>
      <c r="AJ144" s="125">
        <f>Valores!$C$87</f>
        <v>0</v>
      </c>
      <c r="AK144" s="125">
        <f>Valores!C$38*B144</f>
        <v>0</v>
      </c>
      <c r="AL144" s="125">
        <f>IF($F$3="NO",0,Valores!$C$56)</f>
        <v>170.34</v>
      </c>
      <c r="AM144" s="125">
        <f t="shared" si="21"/>
        <v>170.34</v>
      </c>
      <c r="AN144" s="125">
        <f>AH144*Valores!$C$71</f>
        <v>-32631.187599999997</v>
      </c>
      <c r="AO144" s="125">
        <f>AH144*-Valores!$C$72</f>
        <v>0</v>
      </c>
      <c r="AP144" s="125">
        <f>AH144*Valores!$C$73</f>
        <v>-13349.122199999998</v>
      </c>
      <c r="AQ144" s="125">
        <f>Valores!$C$100</f>
        <v>-554.86</v>
      </c>
      <c r="AR144" s="125">
        <f>IF($F$5=0,Valores!$C$101,(Valores!$C$101+$F$5*(Valores!$C$101)))</f>
        <v>-852</v>
      </c>
      <c r="AS144" s="125">
        <f t="shared" si="24"/>
        <v>249430.33019999997</v>
      </c>
      <c r="AT144" s="125">
        <f t="shared" si="18"/>
        <v>-32631.187599999997</v>
      </c>
      <c r="AU144" s="125">
        <f>AH144*Valores!$C$74</f>
        <v>-8009.473319999999</v>
      </c>
      <c r="AV144" s="125">
        <f>AH144*Valores!$C$75</f>
        <v>-889.94148</v>
      </c>
      <c r="AW144" s="125">
        <f t="shared" si="22"/>
        <v>255286.8976</v>
      </c>
      <c r="AX144" s="126"/>
      <c r="AY144" s="126">
        <v>20</v>
      </c>
      <c r="AZ144" s="123" t="s">
        <v>4</v>
      </c>
    </row>
    <row r="145" spans="1:52" s="110" customFormat="1" ht="11.25" customHeight="1">
      <c r="A145" s="123" t="s">
        <v>380</v>
      </c>
      <c r="B145" s="123">
        <v>1</v>
      </c>
      <c r="C145" s="126">
        <v>138</v>
      </c>
      <c r="D145" s="124" t="s">
        <v>381</v>
      </c>
      <c r="E145" s="192">
        <v>1278</v>
      </c>
      <c r="F145" s="125">
        <f>ROUND(E145*Valores!$C$2,2)</f>
        <v>69587.1</v>
      </c>
      <c r="G145" s="192">
        <v>0</v>
      </c>
      <c r="H145" s="125">
        <f>ROUND(G145*Valores!$C$2,2)</f>
        <v>0</v>
      </c>
      <c r="I145" s="192">
        <v>0</v>
      </c>
      <c r="J145" s="125">
        <f>ROUND(I145*Valores!$C$2,2)</f>
        <v>0</v>
      </c>
      <c r="K145" s="192">
        <v>0</v>
      </c>
      <c r="L145" s="125">
        <f>ROUND(K145*Valores!$C$2,2)</f>
        <v>0</v>
      </c>
      <c r="M145" s="125">
        <f>ROUND(IF($H$2=0,IF(AND(A145&lt;&gt;"13-930",A145&lt;&gt;"13-940"),(SUM(F145,H145,J145,L145,X145,T145,R145)*Valores!$C$4),0),0),2)</f>
        <v>28705.37</v>
      </c>
      <c r="N145" s="125">
        <f t="shared" si="19"/>
        <v>0</v>
      </c>
      <c r="O145" s="125">
        <f>Valores!$C$16</f>
        <v>47048.8</v>
      </c>
      <c r="P145" s="125">
        <f>Valores!$D$5</f>
        <v>27834.84</v>
      </c>
      <c r="Q145" s="125">
        <f>Valores!$C$22</f>
        <v>24831.49</v>
      </c>
      <c r="R145" s="125">
        <f>IF($F$4="NO",Valores!$C$44,Valores!$C$44/2)</f>
        <v>19335.33</v>
      </c>
      <c r="S145" s="125">
        <f>Valores!$C$19</f>
        <v>25899.06</v>
      </c>
      <c r="T145" s="125">
        <f t="shared" si="25"/>
        <v>25899.06</v>
      </c>
      <c r="U145" s="125">
        <v>0</v>
      </c>
      <c r="V145" s="125">
        <v>0</v>
      </c>
      <c r="W145" s="192">
        <v>0</v>
      </c>
      <c r="X145" s="125">
        <f>ROUND(W145*Valores!$C$2,2)</f>
        <v>0</v>
      </c>
      <c r="Y145" s="125">
        <v>0</v>
      </c>
      <c r="Z145" s="125">
        <f>Valores!$C$94</f>
        <v>38113.67</v>
      </c>
      <c r="AA145" s="125">
        <f>Valores!$C$25</f>
        <v>1138.39</v>
      </c>
      <c r="AB145" s="214">
        <v>0</v>
      </c>
      <c r="AC145" s="125">
        <f t="shared" si="20"/>
        <v>0</v>
      </c>
      <c r="AD145" s="125">
        <f>Valores!$C$26</f>
        <v>1138.39</v>
      </c>
      <c r="AE145" s="192">
        <v>94</v>
      </c>
      <c r="AF145" s="125">
        <f>ROUND(AE145*Valores!$C$2,2)</f>
        <v>5118.3</v>
      </c>
      <c r="AG145" s="125">
        <f>ROUND(IF($F$4="NO",Valores!$C$63,Valores!$C$63/2),2)</f>
        <v>13014.72</v>
      </c>
      <c r="AH145" s="125">
        <f t="shared" si="23"/>
        <v>301765.45999999996</v>
      </c>
      <c r="AI145" s="125">
        <f>Valores!$C$31</f>
        <v>0</v>
      </c>
      <c r="AJ145" s="125">
        <f>Valores!$C$87</f>
        <v>0</v>
      </c>
      <c r="AK145" s="125">
        <f>Valores!C$38*B145</f>
        <v>0</v>
      </c>
      <c r="AL145" s="125">
        <f>IF($F$3="NO",0,Valores!$C$56)</f>
        <v>170.34</v>
      </c>
      <c r="AM145" s="125">
        <f t="shared" si="21"/>
        <v>170.34</v>
      </c>
      <c r="AN145" s="125">
        <f>AH145*Valores!$C$71</f>
        <v>-33194.2006</v>
      </c>
      <c r="AO145" s="125">
        <f>AH145*-Valores!$C$72</f>
        <v>0</v>
      </c>
      <c r="AP145" s="125">
        <f>AH145*Valores!$C$73</f>
        <v>-13579.445699999998</v>
      </c>
      <c r="AQ145" s="125">
        <f>Valores!$C$100</f>
        <v>-554.86</v>
      </c>
      <c r="AR145" s="125">
        <f>IF($F$5=0,Valores!$C$101,(Valores!$C$101+$F$5*(Valores!$C$101)))</f>
        <v>-852</v>
      </c>
      <c r="AS145" s="125">
        <f t="shared" si="24"/>
        <v>253755.29369999998</v>
      </c>
      <c r="AT145" s="125">
        <f t="shared" si="18"/>
        <v>-33194.2006</v>
      </c>
      <c r="AU145" s="125">
        <f>AH145*Valores!$C$74</f>
        <v>-8147.667419999999</v>
      </c>
      <c r="AV145" s="125">
        <f>AH145*Valores!$C$75</f>
        <v>-905.2963799999999</v>
      </c>
      <c r="AW145" s="125">
        <f t="shared" si="22"/>
        <v>259688.63559999998</v>
      </c>
      <c r="AX145" s="126"/>
      <c r="AY145" s="126">
        <v>20</v>
      </c>
      <c r="AZ145" s="123" t="s">
        <v>4</v>
      </c>
    </row>
    <row r="146" spans="1:52" s="110" customFormat="1" ht="11.25" customHeight="1">
      <c r="A146" s="123" t="s">
        <v>382</v>
      </c>
      <c r="B146" s="123">
        <v>1</v>
      </c>
      <c r="C146" s="126">
        <v>139</v>
      </c>
      <c r="D146" s="124" t="s">
        <v>383</v>
      </c>
      <c r="E146" s="192">
        <v>1278</v>
      </c>
      <c r="F146" s="125">
        <f>ROUND(E146*Valores!$C$2,2)</f>
        <v>69587.1</v>
      </c>
      <c r="G146" s="192">
        <v>0</v>
      </c>
      <c r="H146" s="125">
        <f>ROUND(G146*Valores!$C$2,2)</f>
        <v>0</v>
      </c>
      <c r="I146" s="192">
        <v>0</v>
      </c>
      <c r="J146" s="125">
        <f>ROUND(I146*Valores!$C$2,2)</f>
        <v>0</v>
      </c>
      <c r="K146" s="192">
        <v>0</v>
      </c>
      <c r="L146" s="125">
        <f>ROUND(K146*Valores!$C$2,2)</f>
        <v>0</v>
      </c>
      <c r="M146" s="125">
        <f>ROUND(IF($H$2=0,IF(AND(A146&lt;&gt;"13-930",A146&lt;&gt;"13-940"),(SUM(F146,H146,J146,L146,X146,T146,R146)*Valores!$C$4),0),0),2)</f>
        <v>28705.37</v>
      </c>
      <c r="N146" s="125">
        <f t="shared" si="19"/>
        <v>0</v>
      </c>
      <c r="O146" s="125">
        <f>Valores!$C$16</f>
        <v>47048.8</v>
      </c>
      <c r="P146" s="125">
        <f>Valores!$D$5</f>
        <v>27834.84</v>
      </c>
      <c r="Q146" s="125">
        <f>Valores!$C$22</f>
        <v>24831.49</v>
      </c>
      <c r="R146" s="125">
        <f>IF($F$4="NO",Valores!$C$44,Valores!$C$44/2)</f>
        <v>19335.33</v>
      </c>
      <c r="S146" s="125">
        <f>Valores!$C$19</f>
        <v>25899.06</v>
      </c>
      <c r="T146" s="125">
        <f t="shared" si="25"/>
        <v>25899.06</v>
      </c>
      <c r="U146" s="125">
        <v>0</v>
      </c>
      <c r="V146" s="125">
        <v>0</v>
      </c>
      <c r="W146" s="192">
        <v>0</v>
      </c>
      <c r="X146" s="125">
        <f>ROUND(W146*Valores!$C$2,2)</f>
        <v>0</v>
      </c>
      <c r="Y146" s="125">
        <v>0</v>
      </c>
      <c r="Z146" s="125">
        <f>Valores!$C$94</f>
        <v>38113.67</v>
      </c>
      <c r="AA146" s="125">
        <f>Valores!$C$25</f>
        <v>1138.39</v>
      </c>
      <c r="AB146" s="214">
        <v>0</v>
      </c>
      <c r="AC146" s="125">
        <f t="shared" si="20"/>
        <v>0</v>
      </c>
      <c r="AD146" s="125">
        <f>Valores!$C$26</f>
        <v>1138.39</v>
      </c>
      <c r="AE146" s="192">
        <v>0</v>
      </c>
      <c r="AF146" s="125">
        <f>ROUND(AE146*Valores!$C$2,2)</f>
        <v>0</v>
      </c>
      <c r="AG146" s="125">
        <f>ROUND(IF($F$4="NO",Valores!$C$63,Valores!$C$63/2),2)</f>
        <v>13014.72</v>
      </c>
      <c r="AH146" s="125">
        <f t="shared" si="23"/>
        <v>296647.16</v>
      </c>
      <c r="AI146" s="125">
        <f>Valores!$C$31</f>
        <v>0</v>
      </c>
      <c r="AJ146" s="125">
        <f>Valores!$C$87</f>
        <v>0</v>
      </c>
      <c r="AK146" s="125">
        <f>Valores!C$38*B146</f>
        <v>0</v>
      </c>
      <c r="AL146" s="125">
        <f>IF($F$3="NO",0,Valores!$C$56)</f>
        <v>170.34</v>
      </c>
      <c r="AM146" s="125">
        <f t="shared" si="21"/>
        <v>170.34</v>
      </c>
      <c r="AN146" s="125">
        <f>AH146*Valores!$C$71</f>
        <v>-32631.187599999997</v>
      </c>
      <c r="AO146" s="125">
        <f>AH146*-Valores!$C$72</f>
        <v>0</v>
      </c>
      <c r="AP146" s="125">
        <f>AH146*Valores!$C$73</f>
        <v>-13349.122199999998</v>
      </c>
      <c r="AQ146" s="125">
        <f>Valores!$C$100</f>
        <v>-554.86</v>
      </c>
      <c r="AR146" s="125">
        <f>IF($F$5=0,Valores!$C$101,(Valores!$C$101+$F$5*(Valores!$C$101)))</f>
        <v>-852</v>
      </c>
      <c r="AS146" s="125">
        <f t="shared" si="24"/>
        <v>249430.33019999997</v>
      </c>
      <c r="AT146" s="125">
        <f t="shared" si="18"/>
        <v>-32631.187599999997</v>
      </c>
      <c r="AU146" s="125">
        <f>AH146*Valores!$C$74</f>
        <v>-8009.473319999999</v>
      </c>
      <c r="AV146" s="125">
        <f>AH146*Valores!$C$75</f>
        <v>-889.94148</v>
      </c>
      <c r="AW146" s="125">
        <f t="shared" si="22"/>
        <v>255286.8976</v>
      </c>
      <c r="AX146" s="126"/>
      <c r="AY146" s="126">
        <v>22</v>
      </c>
      <c r="AZ146" s="123" t="s">
        <v>4</v>
      </c>
    </row>
    <row r="147" spans="1:52" s="110" customFormat="1" ht="11.25" customHeight="1">
      <c r="A147" s="123" t="s">
        <v>384</v>
      </c>
      <c r="B147" s="123">
        <v>1</v>
      </c>
      <c r="C147" s="126">
        <v>140</v>
      </c>
      <c r="D147" s="124" t="s">
        <v>385</v>
      </c>
      <c r="E147" s="192">
        <v>1278</v>
      </c>
      <c r="F147" s="125">
        <f>ROUND(E147*Valores!$C$2,2)</f>
        <v>69587.1</v>
      </c>
      <c r="G147" s="192">
        <v>0</v>
      </c>
      <c r="H147" s="125">
        <f>ROUND(G147*Valores!$C$2,2)</f>
        <v>0</v>
      </c>
      <c r="I147" s="192">
        <v>0</v>
      </c>
      <c r="J147" s="125">
        <f>ROUND(I147*Valores!$C$2,2)</f>
        <v>0</v>
      </c>
      <c r="K147" s="192">
        <v>0</v>
      </c>
      <c r="L147" s="125">
        <f>ROUND(K147*Valores!$C$2,2)</f>
        <v>0</v>
      </c>
      <c r="M147" s="125">
        <f>ROUND(IF($H$2=0,IF(AND(A147&lt;&gt;"13-930",A147&lt;&gt;"13-940"),(SUM(F147,H147,J147,L147,X147,T147,R147)*Valores!$C$4),0),0),2)</f>
        <v>28639.18</v>
      </c>
      <c r="N147" s="125">
        <f t="shared" si="19"/>
        <v>0</v>
      </c>
      <c r="O147" s="125">
        <f>Valores!$C$16</f>
        <v>47048.8</v>
      </c>
      <c r="P147" s="125">
        <f>Valores!$D$5</f>
        <v>27834.84</v>
      </c>
      <c r="Q147" s="125">
        <v>0</v>
      </c>
      <c r="R147" s="125">
        <f>IF($F$4="NO",Valores!$C$44,Valores!$C$44/2)</f>
        <v>19335.33</v>
      </c>
      <c r="S147" s="125">
        <f>Valores!$C$20</f>
        <v>25634.272</v>
      </c>
      <c r="T147" s="125">
        <f t="shared" si="25"/>
        <v>25634.27</v>
      </c>
      <c r="U147" s="125">
        <v>0</v>
      </c>
      <c r="V147" s="125">
        <v>0</v>
      </c>
      <c r="W147" s="192">
        <v>0</v>
      </c>
      <c r="X147" s="125">
        <f>ROUND(W147*Valores!$C$2,2)</f>
        <v>0</v>
      </c>
      <c r="Y147" s="125">
        <v>0</v>
      </c>
      <c r="Z147" s="125">
        <f>Valores!$C$94</f>
        <v>38113.67</v>
      </c>
      <c r="AA147" s="125">
        <f>Valores!$C$25</f>
        <v>1138.39</v>
      </c>
      <c r="AB147" s="214">
        <v>0</v>
      </c>
      <c r="AC147" s="125">
        <f t="shared" si="20"/>
        <v>0</v>
      </c>
      <c r="AD147" s="125">
        <f>Valores!$C$26</f>
        <v>1138.39</v>
      </c>
      <c r="AE147" s="192">
        <v>0</v>
      </c>
      <c r="AF147" s="125">
        <f>ROUND(AE147*Valores!$C$2,2)</f>
        <v>0</v>
      </c>
      <c r="AG147" s="125">
        <f>ROUND(IF($F$4="NO",Valores!$C$63,Valores!$C$63/2),2)</f>
        <v>13014.72</v>
      </c>
      <c r="AH147" s="125">
        <f t="shared" si="23"/>
        <v>271484.69</v>
      </c>
      <c r="AI147" s="125">
        <f>Valores!$C$31</f>
        <v>0</v>
      </c>
      <c r="AJ147" s="125">
        <f>Valores!$C$87</f>
        <v>0</v>
      </c>
      <c r="AK147" s="125">
        <f>Valores!C$38*B147</f>
        <v>0</v>
      </c>
      <c r="AL147" s="125">
        <f>IF($F$3="NO",0,Valores!$C$56)</f>
        <v>170.34</v>
      </c>
      <c r="AM147" s="125">
        <f t="shared" si="21"/>
        <v>170.34</v>
      </c>
      <c r="AN147" s="125">
        <f>AH147*Valores!$C$71</f>
        <v>-29863.3159</v>
      </c>
      <c r="AO147" s="125">
        <f>AH147*-Valores!$C$72</f>
        <v>0</v>
      </c>
      <c r="AP147" s="125">
        <f>AH147*Valores!$C$73</f>
        <v>-12216.81105</v>
      </c>
      <c r="AQ147" s="125">
        <f>Valores!$C$100</f>
        <v>-554.86</v>
      </c>
      <c r="AR147" s="125">
        <f>IF($F$5=0,Valores!$C$101,(Valores!$C$101+$F$5*(Valores!$C$101)))</f>
        <v>-852</v>
      </c>
      <c r="AS147" s="125">
        <f t="shared" si="24"/>
        <v>228168.04305</v>
      </c>
      <c r="AT147" s="125">
        <f t="shared" si="18"/>
        <v>-29863.3159</v>
      </c>
      <c r="AU147" s="125">
        <f>AH147*Valores!$C$74</f>
        <v>-7330.08663</v>
      </c>
      <c r="AV147" s="125">
        <f>AH147*Valores!$C$75</f>
        <v>-814.45407</v>
      </c>
      <c r="AW147" s="125">
        <f t="shared" si="22"/>
        <v>233647.17340000003</v>
      </c>
      <c r="AX147" s="126"/>
      <c r="AY147" s="126"/>
      <c r="AZ147" s="123" t="s">
        <v>8</v>
      </c>
    </row>
    <row r="148" spans="1:52" s="110" customFormat="1" ht="11.25" customHeight="1">
      <c r="A148" s="123" t="s">
        <v>386</v>
      </c>
      <c r="B148" s="123">
        <v>1</v>
      </c>
      <c r="C148" s="126">
        <v>141</v>
      </c>
      <c r="D148" s="124" t="s">
        <v>387</v>
      </c>
      <c r="E148" s="192">
        <v>1278</v>
      </c>
      <c r="F148" s="125">
        <f>ROUND(E148*Valores!$C$2,2)</f>
        <v>69587.1</v>
      </c>
      <c r="G148" s="192">
        <v>0</v>
      </c>
      <c r="H148" s="125">
        <f>ROUND(G148*Valores!$C$2,2)</f>
        <v>0</v>
      </c>
      <c r="I148" s="192">
        <v>0</v>
      </c>
      <c r="J148" s="125">
        <f>ROUND(I148*Valores!$C$2,2)</f>
        <v>0</v>
      </c>
      <c r="K148" s="192">
        <v>0</v>
      </c>
      <c r="L148" s="125">
        <f>ROUND(K148*Valores!$C$2,2)</f>
        <v>0</v>
      </c>
      <c r="M148" s="125">
        <f>ROUND(IF($H$2=0,IF(AND(A148&lt;&gt;"13-930",A148&lt;&gt;"13-940"),(SUM(F148,H148,J148,L148,X148,T148,R148)*Valores!$C$4),0),0),2)</f>
        <v>28639.18</v>
      </c>
      <c r="N148" s="125">
        <f t="shared" si="19"/>
        <v>0</v>
      </c>
      <c r="O148" s="125">
        <f>Valores!$C$16</f>
        <v>47048.8</v>
      </c>
      <c r="P148" s="125">
        <f>Valores!$D$5</f>
        <v>27834.84</v>
      </c>
      <c r="Q148" s="125">
        <v>0</v>
      </c>
      <c r="R148" s="125">
        <f>IF($F$4="NO",Valores!$C$44,Valores!$C$44/2)</f>
        <v>19335.33</v>
      </c>
      <c r="S148" s="125">
        <f>Valores!$C$20</f>
        <v>25634.272</v>
      </c>
      <c r="T148" s="125">
        <f t="shared" si="25"/>
        <v>25634.27</v>
      </c>
      <c r="U148" s="125">
        <v>0</v>
      </c>
      <c r="V148" s="125">
        <v>0</v>
      </c>
      <c r="W148" s="192">
        <v>0</v>
      </c>
      <c r="X148" s="125">
        <f>ROUND(W148*Valores!$C$2,2)</f>
        <v>0</v>
      </c>
      <c r="Y148" s="125">
        <v>0</v>
      </c>
      <c r="Z148" s="125">
        <f>Valores!$C$94</f>
        <v>38113.67</v>
      </c>
      <c r="AA148" s="125">
        <f>Valores!$C$25</f>
        <v>1138.39</v>
      </c>
      <c r="AB148" s="214">
        <v>0</v>
      </c>
      <c r="AC148" s="125">
        <f t="shared" si="20"/>
        <v>0</v>
      </c>
      <c r="AD148" s="125">
        <f>Valores!$C$26</f>
        <v>1138.39</v>
      </c>
      <c r="AE148" s="192">
        <v>0</v>
      </c>
      <c r="AF148" s="125">
        <f>ROUND(AE148*Valores!$C$2,2)</f>
        <v>0</v>
      </c>
      <c r="AG148" s="125">
        <f>ROUND(IF($F$4="NO",Valores!$C$63,Valores!$C$63/2),2)</f>
        <v>13014.72</v>
      </c>
      <c r="AH148" s="125">
        <f t="shared" si="23"/>
        <v>271484.69</v>
      </c>
      <c r="AI148" s="125">
        <f>Valores!$C$31</f>
        <v>0</v>
      </c>
      <c r="AJ148" s="125">
        <f>Valores!$C$87</f>
        <v>0</v>
      </c>
      <c r="AK148" s="125">
        <f>Valores!C$38*B148</f>
        <v>0</v>
      </c>
      <c r="AL148" s="125">
        <f>IF($F$3="NO",0,Valores!$C$56)</f>
        <v>170.34</v>
      </c>
      <c r="AM148" s="125">
        <f t="shared" si="21"/>
        <v>170.34</v>
      </c>
      <c r="AN148" s="125">
        <f>AH148*Valores!$C$71</f>
        <v>-29863.3159</v>
      </c>
      <c r="AO148" s="125">
        <f>AH148*-Valores!$C$72</f>
        <v>0</v>
      </c>
      <c r="AP148" s="125">
        <f>AH148*Valores!$C$73</f>
        <v>-12216.81105</v>
      </c>
      <c r="AQ148" s="125">
        <f>Valores!$C$100</f>
        <v>-554.86</v>
      </c>
      <c r="AR148" s="125">
        <f>IF($F$5=0,Valores!$C$101,(Valores!$C$101+$F$5*(Valores!$C$101)))</f>
        <v>-852</v>
      </c>
      <c r="AS148" s="125">
        <f t="shared" si="24"/>
        <v>228168.04305</v>
      </c>
      <c r="AT148" s="125">
        <f t="shared" si="18"/>
        <v>-29863.3159</v>
      </c>
      <c r="AU148" s="125">
        <f>AH148*Valores!$C$74</f>
        <v>-7330.08663</v>
      </c>
      <c r="AV148" s="125">
        <f>AH148*Valores!$C$75</f>
        <v>-814.45407</v>
      </c>
      <c r="AW148" s="125">
        <f t="shared" si="22"/>
        <v>233647.17340000003</v>
      </c>
      <c r="AX148" s="126"/>
      <c r="AY148" s="126"/>
      <c r="AZ148" s="123" t="s">
        <v>8</v>
      </c>
    </row>
    <row r="149" spans="1:52" s="110" customFormat="1" ht="11.25" customHeight="1">
      <c r="A149" s="123" t="s">
        <v>388</v>
      </c>
      <c r="B149" s="123">
        <v>1</v>
      </c>
      <c r="C149" s="126">
        <v>142</v>
      </c>
      <c r="D149" s="124" t="s">
        <v>389</v>
      </c>
      <c r="E149" s="192">
        <v>1060</v>
      </c>
      <c r="F149" s="125">
        <f>ROUND(E149*Valores!$C$2,2)</f>
        <v>57717</v>
      </c>
      <c r="G149" s="192">
        <v>0</v>
      </c>
      <c r="H149" s="125">
        <f>ROUND(G149*Valores!$C$2,2)</f>
        <v>0</v>
      </c>
      <c r="I149" s="192">
        <v>0</v>
      </c>
      <c r="J149" s="125">
        <f>ROUND(I149*Valores!$C$2,2)</f>
        <v>0</v>
      </c>
      <c r="K149" s="192">
        <v>0</v>
      </c>
      <c r="L149" s="125">
        <f>ROUND(K149*Valores!$C$2,2)</f>
        <v>0</v>
      </c>
      <c r="M149" s="125">
        <f>ROUND(IF($H$2=0,IF(AND(A149&lt;&gt;"13-930",A149&lt;&gt;"13-940"),(SUM(F149,H149,J149,L149,X149,T149,R149)*Valores!$C$4),0),0),2)</f>
        <v>25737.85</v>
      </c>
      <c r="N149" s="125">
        <f t="shared" si="19"/>
        <v>0</v>
      </c>
      <c r="O149" s="125">
        <f>Valores!$C$16</f>
        <v>47048.8</v>
      </c>
      <c r="P149" s="125">
        <f>Valores!$D$5</f>
        <v>27834.84</v>
      </c>
      <c r="Q149" s="125">
        <f>Valores!$C$22</f>
        <v>24831.49</v>
      </c>
      <c r="R149" s="125">
        <f>IF($F$4="NO",Valores!$C$44,Valores!$C$44/2)</f>
        <v>19335.33</v>
      </c>
      <c r="S149" s="125">
        <f>Valores!$C$19</f>
        <v>25899.06</v>
      </c>
      <c r="T149" s="125">
        <f t="shared" si="25"/>
        <v>25899.06</v>
      </c>
      <c r="U149" s="125">
        <v>0</v>
      </c>
      <c r="V149" s="125">
        <v>0</v>
      </c>
      <c r="W149" s="192">
        <v>0</v>
      </c>
      <c r="X149" s="125">
        <f>ROUND(W149*Valores!$C$2,2)</f>
        <v>0</v>
      </c>
      <c r="Y149" s="125">
        <v>0</v>
      </c>
      <c r="Z149" s="125">
        <f>Valores!$C$94</f>
        <v>38113.67</v>
      </c>
      <c r="AA149" s="125">
        <f>Valores!$C$25</f>
        <v>1138.39</v>
      </c>
      <c r="AB149" s="214">
        <v>0</v>
      </c>
      <c r="AC149" s="125">
        <f t="shared" si="20"/>
        <v>0</v>
      </c>
      <c r="AD149" s="125">
        <f>Valores!$C$26</f>
        <v>1138.39</v>
      </c>
      <c r="AE149" s="192">
        <v>0</v>
      </c>
      <c r="AF149" s="125">
        <f>ROUND(AE149*Valores!$C$2,2)</f>
        <v>0</v>
      </c>
      <c r="AG149" s="125">
        <f>ROUND(IF($F$4="NO",Valores!$C$63,Valores!$C$63/2),2)</f>
        <v>13014.72</v>
      </c>
      <c r="AH149" s="125">
        <f t="shared" si="23"/>
        <v>281809.54</v>
      </c>
      <c r="AI149" s="125">
        <f>Valores!$C$31</f>
        <v>0</v>
      </c>
      <c r="AJ149" s="125">
        <f>Valores!$C$87</f>
        <v>0</v>
      </c>
      <c r="AK149" s="125">
        <f>Valores!C$38*B149</f>
        <v>0</v>
      </c>
      <c r="AL149" s="125">
        <f>IF($F$3="NO",0,Valores!$C$56)</f>
        <v>170.34</v>
      </c>
      <c r="AM149" s="125">
        <f t="shared" si="21"/>
        <v>170.34</v>
      </c>
      <c r="AN149" s="125">
        <f>AH149*Valores!$C$71</f>
        <v>-30999.049399999996</v>
      </c>
      <c r="AO149" s="125">
        <f>AH149*-Valores!$C$72</f>
        <v>0</v>
      </c>
      <c r="AP149" s="125">
        <f>AH149*Valores!$C$73</f>
        <v>-12681.429299999998</v>
      </c>
      <c r="AQ149" s="125">
        <f>Valores!$C$100</f>
        <v>-554.86</v>
      </c>
      <c r="AR149" s="125">
        <f>IF($F$5=0,Valores!$C$101,(Valores!$C$101+$F$5*(Valores!$C$101)))</f>
        <v>-852</v>
      </c>
      <c r="AS149" s="125">
        <f t="shared" si="24"/>
        <v>236892.54129999998</v>
      </c>
      <c r="AT149" s="125">
        <f t="shared" si="18"/>
        <v>-30999.049399999996</v>
      </c>
      <c r="AU149" s="125">
        <f>AH149*Valores!$C$74</f>
        <v>-7608.857579999999</v>
      </c>
      <c r="AV149" s="125">
        <f>AH149*Valores!$C$75</f>
        <v>-845.4286199999999</v>
      </c>
      <c r="AW149" s="125">
        <f t="shared" si="22"/>
        <v>242526.5444</v>
      </c>
      <c r="AX149" s="126"/>
      <c r="AY149" s="126"/>
      <c r="AZ149" s="123" t="s">
        <v>4</v>
      </c>
    </row>
    <row r="150" spans="1:52" s="110" customFormat="1" ht="11.25" customHeight="1">
      <c r="A150" s="123" t="s">
        <v>390</v>
      </c>
      <c r="B150" s="123">
        <v>1</v>
      </c>
      <c r="C150" s="126">
        <v>143</v>
      </c>
      <c r="D150" s="124" t="s">
        <v>391</v>
      </c>
      <c r="E150" s="192">
        <v>1278</v>
      </c>
      <c r="F150" s="125">
        <f>ROUND(E150*Valores!$C$2,2)</f>
        <v>69587.1</v>
      </c>
      <c r="G150" s="192">
        <v>0</v>
      </c>
      <c r="H150" s="125">
        <f>ROUND(G150*Valores!$C$2,2)</f>
        <v>0</v>
      </c>
      <c r="I150" s="192">
        <v>0</v>
      </c>
      <c r="J150" s="125">
        <f>ROUND(I150*Valores!$C$2,2)</f>
        <v>0</v>
      </c>
      <c r="K150" s="192">
        <v>0</v>
      </c>
      <c r="L150" s="125">
        <f>ROUND(K150*Valores!$C$2,2)</f>
        <v>0</v>
      </c>
      <c r="M150" s="125">
        <f>ROUND(IF($H$2=0,IF(AND(A150&lt;&gt;"13-930",A150&lt;&gt;"13-940"),(SUM(F150,H150,J150,L150,X150,T150,R150)*Valores!$C$4),0),0),2)</f>
        <v>28639.18</v>
      </c>
      <c r="N150" s="125">
        <f t="shared" si="19"/>
        <v>0</v>
      </c>
      <c r="O150" s="125">
        <f>Valores!$C$16</f>
        <v>47048.8</v>
      </c>
      <c r="P150" s="125">
        <f>Valores!$D$5</f>
        <v>27834.84</v>
      </c>
      <c r="Q150" s="125">
        <f>Valores!$C$22</f>
        <v>24831.49</v>
      </c>
      <c r="R150" s="125">
        <f>IF($F$4="NO",Valores!$C$44,Valores!$C$44/2)</f>
        <v>19335.33</v>
      </c>
      <c r="S150" s="125">
        <f>Valores!$C$20</f>
        <v>25634.272</v>
      </c>
      <c r="T150" s="125">
        <f t="shared" si="25"/>
        <v>25634.27</v>
      </c>
      <c r="U150" s="125">
        <v>0</v>
      </c>
      <c r="V150" s="125">
        <v>0</v>
      </c>
      <c r="W150" s="192">
        <v>0</v>
      </c>
      <c r="X150" s="125">
        <f>ROUND(W150*Valores!$C$2,2)</f>
        <v>0</v>
      </c>
      <c r="Y150" s="125">
        <v>0</v>
      </c>
      <c r="Z150" s="125">
        <f>Valores!$C$94</f>
        <v>38113.67</v>
      </c>
      <c r="AA150" s="125">
        <f>Valores!$C$25</f>
        <v>1138.39</v>
      </c>
      <c r="AB150" s="214">
        <v>0</v>
      </c>
      <c r="AC150" s="125">
        <f t="shared" si="20"/>
        <v>0</v>
      </c>
      <c r="AD150" s="125">
        <f>Valores!$C$26</f>
        <v>1138.39</v>
      </c>
      <c r="AE150" s="192">
        <v>0</v>
      </c>
      <c r="AF150" s="125">
        <f>ROUND(AE150*Valores!$C$2,2)</f>
        <v>0</v>
      </c>
      <c r="AG150" s="125">
        <f>ROUND(IF($F$4="NO",Valores!$C$63,Valores!$C$63/2),2)</f>
        <v>13014.72</v>
      </c>
      <c r="AH150" s="125">
        <f t="shared" si="23"/>
        <v>296316.18</v>
      </c>
      <c r="AI150" s="125">
        <f>Valores!$C$31</f>
        <v>0</v>
      </c>
      <c r="AJ150" s="125">
        <f>Valores!$C$87</f>
        <v>0</v>
      </c>
      <c r="AK150" s="125">
        <f>Valores!C$38*B150</f>
        <v>0</v>
      </c>
      <c r="AL150" s="125">
        <f>IF($F$3="NO",0,Valores!$C$56)</f>
        <v>170.34</v>
      </c>
      <c r="AM150" s="125">
        <f t="shared" si="21"/>
        <v>170.34</v>
      </c>
      <c r="AN150" s="125">
        <f>AH150*Valores!$C$71</f>
        <v>-32594.7798</v>
      </c>
      <c r="AO150" s="125">
        <f>AH150*-Valores!$C$72</f>
        <v>0</v>
      </c>
      <c r="AP150" s="125">
        <f>AH150*Valores!$C$73</f>
        <v>-13334.228099999998</v>
      </c>
      <c r="AQ150" s="125">
        <f>Valores!$C$100</f>
        <v>-554.86</v>
      </c>
      <c r="AR150" s="125">
        <f>IF($F$5=0,Valores!$C$101,(Valores!$C$101+$F$5*(Valores!$C$101)))</f>
        <v>-852</v>
      </c>
      <c r="AS150" s="125">
        <f t="shared" si="24"/>
        <v>249150.6521</v>
      </c>
      <c r="AT150" s="125">
        <f t="shared" si="18"/>
        <v>-32594.7798</v>
      </c>
      <c r="AU150" s="125">
        <f>AH150*Valores!$C$74</f>
        <v>-8000.53686</v>
      </c>
      <c r="AV150" s="125">
        <f>AH150*Valores!$C$75</f>
        <v>-888.94854</v>
      </c>
      <c r="AW150" s="125">
        <f t="shared" si="22"/>
        <v>255002.25480000002</v>
      </c>
      <c r="AX150" s="126"/>
      <c r="AY150" s="126">
        <v>22</v>
      </c>
      <c r="AZ150" s="123" t="s">
        <v>4</v>
      </c>
    </row>
    <row r="151" spans="1:52" s="110" customFormat="1" ht="11.25" customHeight="1">
      <c r="A151" s="123" t="s">
        <v>392</v>
      </c>
      <c r="B151" s="123">
        <v>1</v>
      </c>
      <c r="C151" s="126">
        <v>144</v>
      </c>
      <c r="D151" s="124" t="s">
        <v>393</v>
      </c>
      <c r="E151" s="192">
        <v>1278</v>
      </c>
      <c r="F151" s="125">
        <f>ROUND(E151*Valores!$C$2,2)</f>
        <v>69587.1</v>
      </c>
      <c r="G151" s="192">
        <v>0</v>
      </c>
      <c r="H151" s="125">
        <f>ROUND(G151*Valores!$C$2,2)</f>
        <v>0</v>
      </c>
      <c r="I151" s="192">
        <v>0</v>
      </c>
      <c r="J151" s="125">
        <f>ROUND(I151*Valores!$C$2,2)</f>
        <v>0</v>
      </c>
      <c r="K151" s="192">
        <v>0</v>
      </c>
      <c r="L151" s="125">
        <f>ROUND(K151*Valores!$C$2,2)</f>
        <v>0</v>
      </c>
      <c r="M151" s="125">
        <f>ROUND(IF($H$2=0,IF(AND(A151&lt;&gt;"13-930",A151&lt;&gt;"13-940"),(SUM(F151,H151,J151,L151,X151,T151,R151)*Valores!$C$4),0),0),2)</f>
        <v>28705.37</v>
      </c>
      <c r="N151" s="125">
        <f t="shared" si="19"/>
        <v>0</v>
      </c>
      <c r="O151" s="125">
        <f>Valores!$C$16</f>
        <v>47048.8</v>
      </c>
      <c r="P151" s="125">
        <f>Valores!$D$5</f>
        <v>27834.84</v>
      </c>
      <c r="Q151" s="125">
        <f>Valores!$C$22</f>
        <v>24831.49</v>
      </c>
      <c r="R151" s="125">
        <f>IF($F$4="NO",Valores!$C$44,Valores!$C$44/2)</f>
        <v>19335.33</v>
      </c>
      <c r="S151" s="125">
        <f>Valores!$C$19</f>
        <v>25899.06</v>
      </c>
      <c r="T151" s="125">
        <f t="shared" si="25"/>
        <v>25899.06</v>
      </c>
      <c r="U151" s="125">
        <v>0</v>
      </c>
      <c r="V151" s="125">
        <v>0</v>
      </c>
      <c r="W151" s="192">
        <v>0</v>
      </c>
      <c r="X151" s="125">
        <f>ROUND(W151*Valores!$C$2,2)</f>
        <v>0</v>
      </c>
      <c r="Y151" s="125">
        <v>0</v>
      </c>
      <c r="Z151" s="125">
        <f>Valores!$C$94</f>
        <v>38113.67</v>
      </c>
      <c r="AA151" s="125">
        <f>Valores!$C$25</f>
        <v>1138.39</v>
      </c>
      <c r="AB151" s="214">
        <v>0</v>
      </c>
      <c r="AC151" s="125">
        <f t="shared" si="20"/>
        <v>0</v>
      </c>
      <c r="AD151" s="125">
        <f>Valores!$C$26</f>
        <v>1138.39</v>
      </c>
      <c r="AE151" s="192">
        <v>0</v>
      </c>
      <c r="AF151" s="125">
        <f>ROUND(AE151*Valores!$C$2,2)</f>
        <v>0</v>
      </c>
      <c r="AG151" s="125">
        <f>ROUND(IF($F$4="NO",Valores!$C$63,Valores!$C$63/2),2)</f>
        <v>13014.72</v>
      </c>
      <c r="AH151" s="125">
        <f t="shared" si="23"/>
        <v>296647.16</v>
      </c>
      <c r="AI151" s="125">
        <f>Valores!$C$31</f>
        <v>0</v>
      </c>
      <c r="AJ151" s="125">
        <f>Valores!$C$87</f>
        <v>0</v>
      </c>
      <c r="AK151" s="125">
        <f>Valores!C$38*B151</f>
        <v>0</v>
      </c>
      <c r="AL151" s="125">
        <f>IF($F$3="NO",0,Valores!$C$56)</f>
        <v>170.34</v>
      </c>
      <c r="AM151" s="125">
        <f t="shared" si="21"/>
        <v>170.34</v>
      </c>
      <c r="AN151" s="125">
        <f>AH151*Valores!$C$71</f>
        <v>-32631.187599999997</v>
      </c>
      <c r="AO151" s="125">
        <f>AH151*-Valores!$C$72</f>
        <v>0</v>
      </c>
      <c r="AP151" s="125">
        <f>AH151*Valores!$C$73</f>
        <v>-13349.122199999998</v>
      </c>
      <c r="AQ151" s="125">
        <f>Valores!$C$100</f>
        <v>-554.86</v>
      </c>
      <c r="AR151" s="125">
        <f>IF($F$5=0,Valores!$C$101,(Valores!$C$101+$F$5*(Valores!$C$101)))</f>
        <v>-852</v>
      </c>
      <c r="AS151" s="125">
        <f t="shared" si="24"/>
        <v>249430.33019999997</v>
      </c>
      <c r="AT151" s="125">
        <f t="shared" si="18"/>
        <v>-32631.187599999997</v>
      </c>
      <c r="AU151" s="125">
        <f>AH151*Valores!$C$74</f>
        <v>-8009.473319999999</v>
      </c>
      <c r="AV151" s="125">
        <f>AH151*Valores!$C$75</f>
        <v>-889.94148</v>
      </c>
      <c r="AW151" s="125">
        <f t="shared" si="22"/>
        <v>255286.8976</v>
      </c>
      <c r="AX151" s="126"/>
      <c r="AY151" s="126">
        <v>25</v>
      </c>
      <c r="AZ151" s="123" t="s">
        <v>4</v>
      </c>
    </row>
    <row r="152" spans="1:52" s="110" customFormat="1" ht="11.25" customHeight="1">
      <c r="A152" s="123" t="s">
        <v>394</v>
      </c>
      <c r="B152" s="123">
        <v>1</v>
      </c>
      <c r="C152" s="126">
        <v>145</v>
      </c>
      <c r="D152" s="124" t="s">
        <v>395</v>
      </c>
      <c r="E152" s="192">
        <v>1065</v>
      </c>
      <c r="F152" s="125">
        <f>ROUND(E152*Valores!$C$2,2)</f>
        <v>57989.25</v>
      </c>
      <c r="G152" s="192">
        <v>0</v>
      </c>
      <c r="H152" s="125">
        <f>ROUND(G152*Valores!$C$2,2)</f>
        <v>0</v>
      </c>
      <c r="I152" s="192">
        <v>0</v>
      </c>
      <c r="J152" s="125">
        <f>ROUND(I152*Valores!$C$2,2)</f>
        <v>0</v>
      </c>
      <c r="K152" s="192">
        <v>0</v>
      </c>
      <c r="L152" s="125">
        <f>ROUND(K152*Valores!$C$2,2)</f>
        <v>0</v>
      </c>
      <c r="M152" s="125">
        <f>ROUND(IF($H$2=0,IF(AND(A152&lt;&gt;"13-930",A152&lt;&gt;"13-940"),(SUM(F152,H152,J152,L152,X152,T152,R152)*Valores!$C$4),0),0),2)</f>
        <v>25533.56</v>
      </c>
      <c r="N152" s="125">
        <f t="shared" si="19"/>
        <v>0</v>
      </c>
      <c r="O152" s="125">
        <f>Valores!$C$16</f>
        <v>47048.8</v>
      </c>
      <c r="P152" s="125">
        <f>Valores!$D$5</f>
        <v>27834.84</v>
      </c>
      <c r="Q152" s="125">
        <f>Valores!$C$23</f>
        <v>23111.51</v>
      </c>
      <c r="R152" s="125">
        <f>IF($F$4="NO",Valores!$C$43,Valores!$C$43/2)</f>
        <v>18245.91</v>
      </c>
      <c r="S152" s="125">
        <f>Valores!$C$19</f>
        <v>25899.06</v>
      </c>
      <c r="T152" s="125">
        <f t="shared" si="25"/>
        <v>25899.06</v>
      </c>
      <c r="U152" s="125">
        <v>0</v>
      </c>
      <c r="V152" s="125">
        <v>0</v>
      </c>
      <c r="W152" s="192">
        <v>0</v>
      </c>
      <c r="X152" s="125">
        <f>ROUND(W152*Valores!$C$2,2)</f>
        <v>0</v>
      </c>
      <c r="Y152" s="125">
        <v>0</v>
      </c>
      <c r="Z152" s="125">
        <f>Valores!$C$94</f>
        <v>38113.67</v>
      </c>
      <c r="AA152" s="125">
        <f>Valores!$C$25</f>
        <v>1138.39</v>
      </c>
      <c r="AB152" s="214">
        <v>0</v>
      </c>
      <c r="AC152" s="125">
        <f t="shared" si="20"/>
        <v>0</v>
      </c>
      <c r="AD152" s="125">
        <f>Valores!$C$26</f>
        <v>1138.39</v>
      </c>
      <c r="AE152" s="192">
        <v>0</v>
      </c>
      <c r="AF152" s="125">
        <f>ROUND(AE152*Valores!$C$2,2)</f>
        <v>0</v>
      </c>
      <c r="AG152" s="125">
        <f>ROUND(IF($F$4="NO",Valores!$C$63,Valores!$C$63/2),2)</f>
        <v>13014.72</v>
      </c>
      <c r="AH152" s="125">
        <f t="shared" si="23"/>
        <v>279068.10000000003</v>
      </c>
      <c r="AI152" s="125">
        <f>Valores!$C$31</f>
        <v>0</v>
      </c>
      <c r="AJ152" s="125">
        <f>Valores!$C$87</f>
        <v>0</v>
      </c>
      <c r="AK152" s="125">
        <f>Valores!C$38*B152</f>
        <v>0</v>
      </c>
      <c r="AL152" s="125">
        <f>IF($F$3="NO",0,Valores!$C$56)</f>
        <v>170.34</v>
      </c>
      <c r="AM152" s="125">
        <f t="shared" si="21"/>
        <v>170.34</v>
      </c>
      <c r="AN152" s="125">
        <f>AH152*Valores!$C$71</f>
        <v>-30697.491000000005</v>
      </c>
      <c r="AO152" s="125">
        <f>AH152*-Valores!$C$72</f>
        <v>0</v>
      </c>
      <c r="AP152" s="125">
        <f>AH152*Valores!$C$73</f>
        <v>-12558.0645</v>
      </c>
      <c r="AQ152" s="125">
        <f>Valores!$C$100</f>
        <v>-554.86</v>
      </c>
      <c r="AR152" s="125">
        <f>IF($F$5=0,Valores!$C$101,(Valores!$C$101+$F$5*(Valores!$C$101)))</f>
        <v>-852</v>
      </c>
      <c r="AS152" s="125">
        <f t="shared" si="24"/>
        <v>234576.02450000003</v>
      </c>
      <c r="AT152" s="125">
        <f t="shared" si="18"/>
        <v>-30697.491000000005</v>
      </c>
      <c r="AU152" s="125">
        <f>AH152*Valores!$C$74</f>
        <v>-7534.838700000001</v>
      </c>
      <c r="AV152" s="125">
        <f>AH152*Valores!$C$75</f>
        <v>-837.2043000000001</v>
      </c>
      <c r="AW152" s="125">
        <f t="shared" si="22"/>
        <v>240168.90600000005</v>
      </c>
      <c r="AX152" s="126"/>
      <c r="AY152" s="126">
        <v>25</v>
      </c>
      <c r="AZ152" s="123" t="s">
        <v>4</v>
      </c>
    </row>
    <row r="153" spans="1:52" s="110" customFormat="1" ht="11.25" customHeight="1">
      <c r="A153" s="123" t="s">
        <v>396</v>
      </c>
      <c r="B153" s="123">
        <v>1</v>
      </c>
      <c r="C153" s="126">
        <v>146</v>
      </c>
      <c r="D153" s="124" t="s">
        <v>397</v>
      </c>
      <c r="E153" s="192">
        <v>947</v>
      </c>
      <c r="F153" s="125">
        <f>ROUND(E153*Valores!$C$2,2)</f>
        <v>51564.15</v>
      </c>
      <c r="G153" s="192">
        <v>0</v>
      </c>
      <c r="H153" s="125">
        <f>ROUND(G153*Valores!$C$2,2)</f>
        <v>0</v>
      </c>
      <c r="I153" s="192">
        <v>0</v>
      </c>
      <c r="J153" s="125">
        <f>ROUND(I153*Valores!$C$2,2)</f>
        <v>0</v>
      </c>
      <c r="K153" s="192">
        <v>0</v>
      </c>
      <c r="L153" s="125">
        <f>ROUND(K153*Valores!$C$2,2)</f>
        <v>0</v>
      </c>
      <c r="M153" s="125">
        <f>ROUND(IF($H$2=0,IF(AND(A153&lt;&gt;"13-930",A153&lt;&gt;"13-940"),(SUM(F153,H153,J153,L153,X153,T153,R153)*Valores!$C$4),0),0),2)</f>
        <v>23927.28</v>
      </c>
      <c r="N153" s="125">
        <f t="shared" si="19"/>
        <v>0</v>
      </c>
      <c r="O153" s="125">
        <f>Valores!$C$16</f>
        <v>47048.8</v>
      </c>
      <c r="P153" s="125">
        <f>Valores!$D$5</f>
        <v>27834.84</v>
      </c>
      <c r="Q153" s="125">
        <f>Valores!$C$23</f>
        <v>23111.51</v>
      </c>
      <c r="R153" s="125">
        <f>IF($F$4="NO",Valores!$C$43,Valores!$C$43/2)</f>
        <v>18245.91</v>
      </c>
      <c r="S153" s="125">
        <f>Valores!$C$19</f>
        <v>25899.06</v>
      </c>
      <c r="T153" s="125">
        <f t="shared" si="25"/>
        <v>25899.06</v>
      </c>
      <c r="U153" s="125">
        <v>0</v>
      </c>
      <c r="V153" s="125">
        <v>0</v>
      </c>
      <c r="W153" s="192">
        <v>0</v>
      </c>
      <c r="X153" s="125">
        <f>ROUND(W153*Valores!$C$2,2)</f>
        <v>0</v>
      </c>
      <c r="Y153" s="125">
        <v>0</v>
      </c>
      <c r="Z153" s="125">
        <f>Valores!$C$94</f>
        <v>38113.67</v>
      </c>
      <c r="AA153" s="125">
        <f>Valores!$C$25</f>
        <v>1138.39</v>
      </c>
      <c r="AB153" s="214">
        <v>0</v>
      </c>
      <c r="AC153" s="125">
        <f t="shared" si="20"/>
        <v>0</v>
      </c>
      <c r="AD153" s="125">
        <f>Valores!$C$26</f>
        <v>1138.39</v>
      </c>
      <c r="AE153" s="192">
        <v>0</v>
      </c>
      <c r="AF153" s="125">
        <f>ROUND(AE153*Valores!$C$2,2)</f>
        <v>0</v>
      </c>
      <c r="AG153" s="125">
        <f>ROUND(IF($F$4="NO",Valores!$C$63,Valores!$C$63/2),2)</f>
        <v>13014.72</v>
      </c>
      <c r="AH153" s="125">
        <f t="shared" si="23"/>
        <v>271036.72000000003</v>
      </c>
      <c r="AI153" s="125">
        <f>Valores!$C$31</f>
        <v>0</v>
      </c>
      <c r="AJ153" s="125">
        <f>Valores!$C$87</f>
        <v>0</v>
      </c>
      <c r="AK153" s="125">
        <f>Valores!C$38*B153</f>
        <v>0</v>
      </c>
      <c r="AL153" s="125">
        <f>IF($F$3="NO",0,Valores!$C$56)</f>
        <v>170.34</v>
      </c>
      <c r="AM153" s="125">
        <f t="shared" si="21"/>
        <v>170.34</v>
      </c>
      <c r="AN153" s="125">
        <f>AH153*Valores!$C$71</f>
        <v>-29814.039200000003</v>
      </c>
      <c r="AO153" s="125">
        <f>AH153*-Valores!$C$72</f>
        <v>0</v>
      </c>
      <c r="AP153" s="125">
        <f>AH153*Valores!$C$73</f>
        <v>-12196.6524</v>
      </c>
      <c r="AQ153" s="125">
        <f>Valores!$C$100</f>
        <v>-554.86</v>
      </c>
      <c r="AR153" s="125">
        <f>IF($F$5=0,Valores!$C$101,(Valores!$C$101+$F$5*(Valores!$C$101)))</f>
        <v>-852</v>
      </c>
      <c r="AS153" s="125">
        <f t="shared" si="24"/>
        <v>227789.50840000002</v>
      </c>
      <c r="AT153" s="125">
        <f t="shared" si="18"/>
        <v>-29814.039200000003</v>
      </c>
      <c r="AU153" s="125">
        <f>AH153*Valores!$C$74</f>
        <v>-7317.991440000001</v>
      </c>
      <c r="AV153" s="125">
        <f>AH153*Valores!$C$75</f>
        <v>-813.1101600000001</v>
      </c>
      <c r="AW153" s="125">
        <f t="shared" si="22"/>
        <v>233261.91920000006</v>
      </c>
      <c r="AX153" s="126"/>
      <c r="AY153" s="126">
        <v>22</v>
      </c>
      <c r="AZ153" s="123" t="s">
        <v>4</v>
      </c>
    </row>
    <row r="154" spans="1:52" s="110" customFormat="1" ht="11.25" customHeight="1">
      <c r="A154" s="123" t="s">
        <v>398</v>
      </c>
      <c r="B154" s="123">
        <v>1</v>
      </c>
      <c r="C154" s="126">
        <v>147</v>
      </c>
      <c r="D154" s="124" t="s">
        <v>399</v>
      </c>
      <c r="E154" s="192">
        <v>1800</v>
      </c>
      <c r="F154" s="125">
        <f>ROUND(E154*Valores!$C$2,2)</f>
        <v>98010</v>
      </c>
      <c r="G154" s="192">
        <v>0</v>
      </c>
      <c r="H154" s="125">
        <f>ROUND(G154*Valores!$C$2,2)</f>
        <v>0</v>
      </c>
      <c r="I154" s="192">
        <v>0</v>
      </c>
      <c r="J154" s="125">
        <f>ROUND(I154*Valores!$C$2,2)</f>
        <v>0</v>
      </c>
      <c r="K154" s="192">
        <v>0</v>
      </c>
      <c r="L154" s="125">
        <f>ROUND(K154*Valores!$C$2,2)</f>
        <v>0</v>
      </c>
      <c r="M154" s="125">
        <f>ROUND(IF($H$2=0,IF(AND(A154&lt;&gt;"13-930",A154&lt;&gt;"13-940"),(SUM(F154,H154,J154,L154,X154,T154,R154)*Valores!$C$4),0),0),2)</f>
        <v>38251.45</v>
      </c>
      <c r="N154" s="125">
        <f t="shared" si="19"/>
        <v>0</v>
      </c>
      <c r="O154" s="125">
        <f>Valores!$C$8</f>
        <v>68242.23</v>
      </c>
      <c r="P154" s="125">
        <f>Valores!$D$5</f>
        <v>27834.84</v>
      </c>
      <c r="Q154" s="125">
        <f>Valores!$C$22</f>
        <v>24831.49</v>
      </c>
      <c r="R154" s="125">
        <f>IF($F$4="NO",Valores!$C$47,Valores!$C$47/2)</f>
        <v>29096.75</v>
      </c>
      <c r="S154" s="125">
        <f>Valores!$C$19</f>
        <v>25899.06</v>
      </c>
      <c r="T154" s="125">
        <f t="shared" si="25"/>
        <v>25899.06</v>
      </c>
      <c r="U154" s="125">
        <v>0</v>
      </c>
      <c r="V154" s="125">
        <v>0</v>
      </c>
      <c r="W154" s="192">
        <v>0</v>
      </c>
      <c r="X154" s="125">
        <f>ROUND(W154*Valores!$C$2,2)</f>
        <v>0</v>
      </c>
      <c r="Y154" s="125">
        <v>0</v>
      </c>
      <c r="Z154" s="125">
        <f>Valores!$C$96</f>
        <v>76227.32</v>
      </c>
      <c r="AA154" s="125">
        <f>Valores!$C$25</f>
        <v>1138.39</v>
      </c>
      <c r="AB154" s="214">
        <v>0</v>
      </c>
      <c r="AC154" s="125">
        <f t="shared" si="20"/>
        <v>0</v>
      </c>
      <c r="AD154" s="125">
        <f>Valores!$C$26</f>
        <v>1138.39</v>
      </c>
      <c r="AE154" s="192">
        <v>0</v>
      </c>
      <c r="AF154" s="125">
        <f>ROUND(AE154*Valores!$C$2,2)</f>
        <v>0</v>
      </c>
      <c r="AG154" s="125">
        <f>ROUND(IF($F$4="NO",Valores!$C$63,Valores!$C$63/2),2)</f>
        <v>13014.72</v>
      </c>
      <c r="AH154" s="125">
        <f t="shared" si="23"/>
        <v>403684.64</v>
      </c>
      <c r="AI154" s="125">
        <f>Valores!$C$31</f>
        <v>0</v>
      </c>
      <c r="AJ154" s="125">
        <f>Valores!$C$89</f>
        <v>0</v>
      </c>
      <c r="AK154" s="125">
        <f>Valores!C$38*B154</f>
        <v>0</v>
      </c>
      <c r="AL154" s="125">
        <f>IF($F$3="NO",0,Valores!$C$56)</f>
        <v>170.34</v>
      </c>
      <c r="AM154" s="125">
        <f t="shared" si="21"/>
        <v>170.34</v>
      </c>
      <c r="AN154" s="125">
        <f>AH154*Valores!$C$71</f>
        <v>-44405.3104</v>
      </c>
      <c r="AO154" s="125">
        <f>AH154*-Valores!$C$72</f>
        <v>0</v>
      </c>
      <c r="AP154" s="125">
        <f>AH154*Valores!$C$73</f>
        <v>-18165.8088</v>
      </c>
      <c r="AQ154" s="125">
        <f>Valores!$C$100</f>
        <v>-554.86</v>
      </c>
      <c r="AR154" s="125">
        <f>IF($F$5=0,Valores!$C$101,(Valores!$C$101+$F$5*(Valores!$C$101)))</f>
        <v>-852</v>
      </c>
      <c r="AS154" s="125">
        <f t="shared" si="24"/>
        <v>339877.00080000004</v>
      </c>
      <c r="AT154" s="125">
        <f t="shared" si="18"/>
        <v>-44405.3104</v>
      </c>
      <c r="AU154" s="125">
        <f>AH154*Valores!$C$74</f>
        <v>-10899.48528</v>
      </c>
      <c r="AV154" s="125">
        <f>AH154*Valores!$C$75</f>
        <v>-1211.05392</v>
      </c>
      <c r="AW154" s="125">
        <f t="shared" si="22"/>
        <v>347339.1304</v>
      </c>
      <c r="AX154" s="126"/>
      <c r="AY154" s="126"/>
      <c r="AZ154" s="123" t="s">
        <v>4</v>
      </c>
    </row>
    <row r="155" spans="1:52" s="110" customFormat="1" ht="11.25" customHeight="1">
      <c r="A155" s="123" t="s">
        <v>400</v>
      </c>
      <c r="B155" s="123">
        <v>1</v>
      </c>
      <c r="C155" s="126">
        <v>148</v>
      </c>
      <c r="D155" s="124" t="s">
        <v>401</v>
      </c>
      <c r="E155" s="192">
        <v>1278</v>
      </c>
      <c r="F155" s="125">
        <f>ROUND(E155*Valores!$C$2,2)</f>
        <v>69587.1</v>
      </c>
      <c r="G155" s="192">
        <v>0</v>
      </c>
      <c r="H155" s="125">
        <f>ROUND(G155*Valores!$C$2,2)</f>
        <v>0</v>
      </c>
      <c r="I155" s="192">
        <v>0</v>
      </c>
      <c r="J155" s="125">
        <f>ROUND(I155*Valores!$C$2,2)</f>
        <v>0</v>
      </c>
      <c r="K155" s="192">
        <v>0</v>
      </c>
      <c r="L155" s="125">
        <f>ROUND(K155*Valores!$C$2,2)</f>
        <v>0</v>
      </c>
      <c r="M155" s="125">
        <f>ROUND(IF($H$2=0,IF(AND(A155&lt;&gt;"13-930",A155&lt;&gt;"13-940"),(SUM(F155,H155,J155,L155,X155,T155,R155)*Valores!$C$4),0),0),2)</f>
        <v>28705.37</v>
      </c>
      <c r="N155" s="125">
        <f t="shared" si="19"/>
        <v>0</v>
      </c>
      <c r="O155" s="125">
        <f>Valores!$C$8</f>
        <v>68242.23</v>
      </c>
      <c r="P155" s="125">
        <f>Valores!$D$5</f>
        <v>27834.84</v>
      </c>
      <c r="Q155" s="125">
        <f>Valores!$C$22</f>
        <v>24831.49</v>
      </c>
      <c r="R155" s="125">
        <f>IF($F$4="NO",Valores!$C$44,Valores!$C$44/2)</f>
        <v>19335.33</v>
      </c>
      <c r="S155" s="125">
        <f>Valores!$C$19</f>
        <v>25899.06</v>
      </c>
      <c r="T155" s="125">
        <f t="shared" si="25"/>
        <v>25899.06</v>
      </c>
      <c r="U155" s="125">
        <v>0</v>
      </c>
      <c r="V155" s="125">
        <v>0</v>
      </c>
      <c r="W155" s="192">
        <v>0</v>
      </c>
      <c r="X155" s="125">
        <f>ROUND(W155*Valores!$C$2,2)</f>
        <v>0</v>
      </c>
      <c r="Y155" s="125">
        <v>0</v>
      </c>
      <c r="Z155" s="125">
        <f>Valores!$C$94</f>
        <v>38113.67</v>
      </c>
      <c r="AA155" s="125">
        <f>Valores!$C$25</f>
        <v>1138.39</v>
      </c>
      <c r="AB155" s="214">
        <v>0</v>
      </c>
      <c r="AC155" s="125">
        <f t="shared" si="20"/>
        <v>0</v>
      </c>
      <c r="AD155" s="125">
        <f>Valores!$C$26</f>
        <v>1138.39</v>
      </c>
      <c r="AE155" s="192">
        <v>0</v>
      </c>
      <c r="AF155" s="125">
        <f>ROUND(AE155*Valores!$C$2,2)</f>
        <v>0</v>
      </c>
      <c r="AG155" s="125">
        <f>ROUND(IF($F$4="NO",Valores!$C$63,Valores!$C$63/2),2)</f>
        <v>13014.72</v>
      </c>
      <c r="AH155" s="125">
        <f t="shared" si="23"/>
        <v>317840.58999999997</v>
      </c>
      <c r="AI155" s="125">
        <f>Valores!$C$31</f>
        <v>0</v>
      </c>
      <c r="AJ155" s="125">
        <f>Valores!$C$87</f>
        <v>0</v>
      </c>
      <c r="AK155" s="125">
        <f>Valores!C$38*B155</f>
        <v>0</v>
      </c>
      <c r="AL155" s="125">
        <f>IF($F$3="NO",0,Valores!$C$56)</f>
        <v>170.34</v>
      </c>
      <c r="AM155" s="125">
        <f t="shared" si="21"/>
        <v>170.34</v>
      </c>
      <c r="AN155" s="125">
        <f>AH155*Valores!$C$71</f>
        <v>-34962.4649</v>
      </c>
      <c r="AO155" s="125">
        <f>AH155*-Valores!$C$72</f>
        <v>0</v>
      </c>
      <c r="AP155" s="125">
        <f>AH155*Valores!$C$73</f>
        <v>-14302.826549999998</v>
      </c>
      <c r="AQ155" s="125">
        <f>Valores!$C$100</f>
        <v>-554.86</v>
      </c>
      <c r="AR155" s="125">
        <f>IF($F$5=0,Valores!$C$101,(Valores!$C$101+$F$5*(Valores!$C$101)))</f>
        <v>-852</v>
      </c>
      <c r="AS155" s="125">
        <f t="shared" si="24"/>
        <v>267338.77855</v>
      </c>
      <c r="AT155" s="125">
        <f t="shared" si="18"/>
        <v>-34962.4649</v>
      </c>
      <c r="AU155" s="125">
        <f>AH155*Valores!$C$74</f>
        <v>-8581.69593</v>
      </c>
      <c r="AV155" s="125">
        <f>AH155*Valores!$C$75</f>
        <v>-953.52177</v>
      </c>
      <c r="AW155" s="125">
        <f t="shared" si="22"/>
        <v>273513.2474</v>
      </c>
      <c r="AX155" s="126"/>
      <c r="AY155" s="126">
        <v>27</v>
      </c>
      <c r="AZ155" s="123" t="s">
        <v>4</v>
      </c>
    </row>
    <row r="156" spans="1:52" s="110" customFormat="1" ht="11.25" customHeight="1">
      <c r="A156" s="123" t="s">
        <v>402</v>
      </c>
      <c r="B156" s="123">
        <v>1</v>
      </c>
      <c r="C156" s="126">
        <v>149</v>
      </c>
      <c r="D156" s="124" t="s">
        <v>403</v>
      </c>
      <c r="E156" s="192">
        <v>1214</v>
      </c>
      <c r="F156" s="125">
        <f>ROUND(E156*Valores!$C$2,2)</f>
        <v>66102.3</v>
      </c>
      <c r="G156" s="192">
        <v>0</v>
      </c>
      <c r="H156" s="125">
        <f>ROUND(G156*Valores!$C$2,2)</f>
        <v>0</v>
      </c>
      <c r="I156" s="192">
        <v>0</v>
      </c>
      <c r="J156" s="125">
        <f>ROUND(I156*Valores!$C$2,2)</f>
        <v>0</v>
      </c>
      <c r="K156" s="192">
        <v>0</v>
      </c>
      <c r="L156" s="125">
        <f>ROUND(K156*Valores!$C$2,2)</f>
        <v>0</v>
      </c>
      <c r="M156" s="125">
        <f>ROUND(IF($H$2=0,IF(AND(A156&lt;&gt;"13-930",A156&lt;&gt;"13-940"),(SUM(F156,H156,J156,L156,X156,T156,R156)*Valores!$C$4),0),0),2)</f>
        <v>27834.17</v>
      </c>
      <c r="N156" s="125">
        <f t="shared" si="19"/>
        <v>0</v>
      </c>
      <c r="O156" s="125">
        <f>Valores!$C$16</f>
        <v>47048.8</v>
      </c>
      <c r="P156" s="125">
        <f>Valores!$D$5</f>
        <v>27834.84</v>
      </c>
      <c r="Q156" s="125">
        <f>Valores!$C$22</f>
        <v>24831.49</v>
      </c>
      <c r="R156" s="125">
        <f>IF($F$4="NO",Valores!$C$44,Valores!$C$44/2)</f>
        <v>19335.33</v>
      </c>
      <c r="S156" s="125">
        <f>Valores!$C$19</f>
        <v>25899.06</v>
      </c>
      <c r="T156" s="125">
        <f t="shared" si="25"/>
        <v>25899.06</v>
      </c>
      <c r="U156" s="125">
        <v>0</v>
      </c>
      <c r="V156" s="125">
        <v>0</v>
      </c>
      <c r="W156" s="192">
        <v>0</v>
      </c>
      <c r="X156" s="125">
        <f>ROUND(W156*Valores!$C$2,2)</f>
        <v>0</v>
      </c>
      <c r="Y156" s="125">
        <v>0</v>
      </c>
      <c r="Z156" s="125">
        <f>Valores!$C$94</f>
        <v>38113.67</v>
      </c>
      <c r="AA156" s="125">
        <f>Valores!$C$25</f>
        <v>1138.39</v>
      </c>
      <c r="AB156" s="214">
        <v>0</v>
      </c>
      <c r="AC156" s="125">
        <f t="shared" si="20"/>
        <v>0</v>
      </c>
      <c r="AD156" s="125">
        <f>Valores!$C$26</f>
        <v>1138.39</v>
      </c>
      <c r="AE156" s="192">
        <v>0</v>
      </c>
      <c r="AF156" s="125">
        <f>ROUND(AE156*Valores!$C$2,2)</f>
        <v>0</v>
      </c>
      <c r="AG156" s="125">
        <f>ROUND(IF($F$4="NO",Valores!$C$63,Valores!$C$63/2),2)</f>
        <v>13014.72</v>
      </c>
      <c r="AH156" s="125">
        <f t="shared" si="23"/>
        <v>292291.16</v>
      </c>
      <c r="AI156" s="125">
        <f>Valores!$C$31</f>
        <v>0</v>
      </c>
      <c r="AJ156" s="125">
        <f>Valores!$C$87</f>
        <v>0</v>
      </c>
      <c r="AK156" s="125">
        <f>Valores!C$38*B156</f>
        <v>0</v>
      </c>
      <c r="AL156" s="125">
        <f>IF($F$3="NO",0,Valores!$C$56)</f>
        <v>170.34</v>
      </c>
      <c r="AM156" s="125">
        <f t="shared" si="21"/>
        <v>170.34</v>
      </c>
      <c r="AN156" s="125">
        <f>AH156*Valores!$C$71</f>
        <v>-32152.027599999998</v>
      </c>
      <c r="AO156" s="125">
        <f>AH156*-Valores!$C$72</f>
        <v>0</v>
      </c>
      <c r="AP156" s="125">
        <f>AH156*Valores!$C$73</f>
        <v>-13153.102199999998</v>
      </c>
      <c r="AQ156" s="125">
        <f>Valores!$C$100</f>
        <v>-554.86</v>
      </c>
      <c r="AR156" s="125">
        <f>IF($F$5=0,Valores!$C$101,(Valores!$C$101+$F$5*(Valores!$C$101)))</f>
        <v>-852</v>
      </c>
      <c r="AS156" s="125">
        <f t="shared" si="24"/>
        <v>245749.51019999996</v>
      </c>
      <c r="AT156" s="125">
        <f t="shared" si="18"/>
        <v>-32152.027599999998</v>
      </c>
      <c r="AU156" s="125">
        <f>AH156*Valores!$C$74</f>
        <v>-7891.861319999999</v>
      </c>
      <c r="AV156" s="125">
        <f>AH156*Valores!$C$75</f>
        <v>-876.87348</v>
      </c>
      <c r="AW156" s="125">
        <f t="shared" si="22"/>
        <v>251540.7376</v>
      </c>
      <c r="AX156" s="126"/>
      <c r="AY156" s="126"/>
      <c r="AZ156" s="123" t="s">
        <v>4</v>
      </c>
    </row>
    <row r="157" spans="1:52" s="110" customFormat="1" ht="11.25" customHeight="1">
      <c r="A157" s="123" t="s">
        <v>404</v>
      </c>
      <c r="B157" s="123">
        <v>1</v>
      </c>
      <c r="C157" s="126">
        <v>150</v>
      </c>
      <c r="D157" s="124" t="s">
        <v>405</v>
      </c>
      <c r="E157" s="192">
        <f>1106+78</f>
        <v>1184</v>
      </c>
      <c r="F157" s="125">
        <f>ROUND(E157*Valores!$C$2,2)</f>
        <v>64468.8</v>
      </c>
      <c r="G157" s="192">
        <v>0</v>
      </c>
      <c r="H157" s="125">
        <f>ROUND(G157*Valores!$C$2,2)</f>
        <v>0</v>
      </c>
      <c r="I157" s="192">
        <v>0</v>
      </c>
      <c r="J157" s="125">
        <f>ROUND(I157*Valores!$C$2,2)</f>
        <v>0</v>
      </c>
      <c r="K157" s="192">
        <v>0</v>
      </c>
      <c r="L157" s="125">
        <f>ROUND(K157*Valores!$C$2,2)</f>
        <v>0</v>
      </c>
      <c r="M157" s="125">
        <f>ROUND(IF($H$2=0,IF(AND(A157&lt;&gt;"13-930",A157&lt;&gt;"13-940"),(SUM(F157,H157,J157,L157,X157,T157,R157)*Valores!$C$4),0),0),2)</f>
        <v>27359.6</v>
      </c>
      <c r="N157" s="125">
        <f t="shared" si="19"/>
        <v>0</v>
      </c>
      <c r="O157" s="125">
        <f>Valores!$C$16</f>
        <v>47048.8</v>
      </c>
      <c r="P157" s="125">
        <f>Valores!$D$5</f>
        <v>27834.84</v>
      </c>
      <c r="Q157" s="125">
        <v>0</v>
      </c>
      <c r="R157" s="125">
        <f>IF($F$4="NO",Valores!$C$44,Valores!$C$44/2)</f>
        <v>19335.33</v>
      </c>
      <c r="S157" s="125">
        <f>Valores!$C$20</f>
        <v>25634.272</v>
      </c>
      <c r="T157" s="125">
        <f t="shared" si="25"/>
        <v>25634.27</v>
      </c>
      <c r="U157" s="125">
        <v>0</v>
      </c>
      <c r="V157" s="125">
        <v>0</v>
      </c>
      <c r="W157" s="192">
        <v>0</v>
      </c>
      <c r="X157" s="125">
        <f>ROUND(W157*Valores!$C$2,2)</f>
        <v>0</v>
      </c>
      <c r="Y157" s="125">
        <v>0</v>
      </c>
      <c r="Z157" s="125">
        <f>Valores!$C$94</f>
        <v>38113.67</v>
      </c>
      <c r="AA157" s="125">
        <f>Valores!$C$25</f>
        <v>1138.39</v>
      </c>
      <c r="AB157" s="214">
        <v>0</v>
      </c>
      <c r="AC157" s="125">
        <f t="shared" si="20"/>
        <v>0</v>
      </c>
      <c r="AD157" s="125">
        <f>Valores!$C$26</f>
        <v>1138.39</v>
      </c>
      <c r="AE157" s="192">
        <v>0</v>
      </c>
      <c r="AF157" s="125">
        <f>ROUND(AE157*Valores!$C$2,2)</f>
        <v>0</v>
      </c>
      <c r="AG157" s="125">
        <f>ROUND(IF($F$4="NO",Valores!$C$63,Valores!$C$63/2),2)</f>
        <v>13014.72</v>
      </c>
      <c r="AH157" s="125">
        <f t="shared" si="23"/>
        <v>265086.81</v>
      </c>
      <c r="AI157" s="125">
        <f>Valores!$C$31</f>
        <v>0</v>
      </c>
      <c r="AJ157" s="125">
        <f>Valores!$C$87</f>
        <v>0</v>
      </c>
      <c r="AK157" s="125">
        <f>Valores!C$38*B157</f>
        <v>0</v>
      </c>
      <c r="AL157" s="125">
        <f>IF($F$3="NO",0,Valores!$C$56)</f>
        <v>170.34</v>
      </c>
      <c r="AM157" s="125">
        <f t="shared" si="21"/>
        <v>170.34</v>
      </c>
      <c r="AN157" s="125">
        <f>AH157*Valores!$C$71</f>
        <v>-29159.5491</v>
      </c>
      <c r="AO157" s="125">
        <f>AH157*-Valores!$C$72</f>
        <v>0</v>
      </c>
      <c r="AP157" s="125">
        <f>AH157*Valores!$C$73</f>
        <v>-11928.906449999999</v>
      </c>
      <c r="AQ157" s="125">
        <f>Valores!$C$100</f>
        <v>-554.86</v>
      </c>
      <c r="AR157" s="125">
        <f>IF($F$5=0,Valores!$C$101,(Valores!$C$101+$F$5*(Valores!$C$101)))</f>
        <v>-852</v>
      </c>
      <c r="AS157" s="125">
        <f t="shared" si="24"/>
        <v>222761.83445</v>
      </c>
      <c r="AT157" s="125">
        <f t="shared" si="18"/>
        <v>-29159.5491</v>
      </c>
      <c r="AU157" s="125">
        <f>AH157*Valores!$C$74</f>
        <v>-7157.34387</v>
      </c>
      <c r="AV157" s="125">
        <f>AH157*Valores!$C$75</f>
        <v>-795.26043</v>
      </c>
      <c r="AW157" s="125">
        <f t="shared" si="22"/>
        <v>228144.9966</v>
      </c>
      <c r="AX157" s="126"/>
      <c r="AY157" s="126"/>
      <c r="AZ157" s="123" t="s">
        <v>8</v>
      </c>
    </row>
    <row r="158" spans="1:52" s="110" customFormat="1" ht="11.25" customHeight="1">
      <c r="A158" s="123" t="s">
        <v>406</v>
      </c>
      <c r="B158" s="123">
        <v>1</v>
      </c>
      <c r="C158" s="126">
        <v>151</v>
      </c>
      <c r="D158" s="124" t="s">
        <v>407</v>
      </c>
      <c r="E158" s="192">
        <v>971</v>
      </c>
      <c r="F158" s="125">
        <f>ROUND(E158*Valores!$C$2,2)</f>
        <v>52870.95</v>
      </c>
      <c r="G158" s="192">
        <v>0</v>
      </c>
      <c r="H158" s="125">
        <f>ROUND(G158*Valores!$C$2,2)</f>
        <v>0</v>
      </c>
      <c r="I158" s="192">
        <v>0</v>
      </c>
      <c r="J158" s="125">
        <f>ROUND(I158*Valores!$C$2,2)</f>
        <v>0</v>
      </c>
      <c r="K158" s="192">
        <v>0</v>
      </c>
      <c r="L158" s="125">
        <f>ROUND(K158*Valores!$C$2,2)</f>
        <v>0</v>
      </c>
      <c r="M158" s="125">
        <f>ROUND(IF($H$2=0,IF(AND(A158&lt;&gt;"13-930",A158&lt;&gt;"13-940"),(SUM(F158,H158,J158,L158,X158,T158,R158)*Valores!$C$4),0),0),2)</f>
        <v>24253.98</v>
      </c>
      <c r="N158" s="125">
        <f t="shared" si="19"/>
        <v>0</v>
      </c>
      <c r="O158" s="125">
        <f>Valores!$C$16</f>
        <v>47048.8</v>
      </c>
      <c r="P158" s="125">
        <f>Valores!$D$5</f>
        <v>27834.84</v>
      </c>
      <c r="Q158" s="125">
        <f>Valores!$C$23</f>
        <v>23111.51</v>
      </c>
      <c r="R158" s="125">
        <f>IF($F$4="NO",Valores!$C$43,Valores!$C$43/2)</f>
        <v>18245.91</v>
      </c>
      <c r="S158" s="125">
        <f>Valores!$C$19</f>
        <v>25899.06</v>
      </c>
      <c r="T158" s="125">
        <f t="shared" si="25"/>
        <v>25899.06</v>
      </c>
      <c r="U158" s="125">
        <v>0</v>
      </c>
      <c r="V158" s="125">
        <v>0</v>
      </c>
      <c r="W158" s="192">
        <v>0</v>
      </c>
      <c r="X158" s="125">
        <f>ROUND(W158*Valores!$C$2,2)</f>
        <v>0</v>
      </c>
      <c r="Y158" s="125">
        <v>0</v>
      </c>
      <c r="Z158" s="125">
        <f>Valores!$C$94</f>
        <v>38113.67</v>
      </c>
      <c r="AA158" s="125">
        <f>Valores!$C$25</f>
        <v>1138.39</v>
      </c>
      <c r="AB158" s="214">
        <v>0</v>
      </c>
      <c r="AC158" s="125">
        <f t="shared" si="20"/>
        <v>0</v>
      </c>
      <c r="AD158" s="125">
        <f>Valores!$C$25</f>
        <v>1138.39</v>
      </c>
      <c r="AE158" s="192">
        <v>0</v>
      </c>
      <c r="AF158" s="125">
        <f>ROUND(AE158*Valores!$C$2,2)</f>
        <v>0</v>
      </c>
      <c r="AG158" s="125">
        <f>ROUND(IF($F$4="NO",Valores!$C$63,Valores!$C$63/2),2)</f>
        <v>13014.72</v>
      </c>
      <c r="AH158" s="125">
        <f t="shared" si="23"/>
        <v>272670.22000000003</v>
      </c>
      <c r="AI158" s="125">
        <f>Valores!$C$31</f>
        <v>0</v>
      </c>
      <c r="AJ158" s="125">
        <f>Valores!$C$87</f>
        <v>0</v>
      </c>
      <c r="AK158" s="125">
        <f>Valores!C$38*B158</f>
        <v>0</v>
      </c>
      <c r="AL158" s="125">
        <f>(IF($F$3="NO",0,Valores!$C$58))</f>
        <v>155.18</v>
      </c>
      <c r="AM158" s="125">
        <f t="shared" si="21"/>
        <v>155.18</v>
      </c>
      <c r="AN158" s="125">
        <f>AH158*Valores!$C$71</f>
        <v>-29993.724200000004</v>
      </c>
      <c r="AO158" s="125">
        <f>AH158*-Valores!$C$72</f>
        <v>0</v>
      </c>
      <c r="AP158" s="125">
        <f>AH158*Valores!$C$73</f>
        <v>-12270.1599</v>
      </c>
      <c r="AQ158" s="125">
        <f>Valores!$C$100</f>
        <v>-554.86</v>
      </c>
      <c r="AR158" s="125">
        <f>IF($F$5=0,Valores!$C$101,(Valores!$C$101+$F$5*(Valores!$C$101)))</f>
        <v>-852</v>
      </c>
      <c r="AS158" s="125">
        <f t="shared" si="24"/>
        <v>229154.6559</v>
      </c>
      <c r="AT158" s="125">
        <f t="shared" si="18"/>
        <v>-29993.724200000004</v>
      </c>
      <c r="AU158" s="125">
        <f>AH158*Valores!$C$74</f>
        <v>-7362.095940000001</v>
      </c>
      <c r="AV158" s="125">
        <f>AH158*Valores!$C$75</f>
        <v>-818.0106600000001</v>
      </c>
      <c r="AW158" s="125">
        <f t="shared" si="22"/>
        <v>234651.56920000003</v>
      </c>
      <c r="AX158" s="126">
        <v>12</v>
      </c>
      <c r="AY158" s="126">
        <v>12</v>
      </c>
      <c r="AZ158" s="123" t="s">
        <v>4</v>
      </c>
    </row>
    <row r="159" spans="1:52" s="110" customFormat="1" ht="11.25" customHeight="1">
      <c r="A159" s="123" t="s">
        <v>406</v>
      </c>
      <c r="B159" s="123">
        <v>1</v>
      </c>
      <c r="C159" s="126">
        <v>152</v>
      </c>
      <c r="D159" s="124" t="s">
        <v>408</v>
      </c>
      <c r="E159" s="192">
        <v>971</v>
      </c>
      <c r="F159" s="125">
        <f>ROUND(E159*Valores!$C$2,2)</f>
        <v>52870.95</v>
      </c>
      <c r="G159" s="192">
        <v>0</v>
      </c>
      <c r="H159" s="125">
        <f>ROUND(G159*Valores!$C$2,2)</f>
        <v>0</v>
      </c>
      <c r="I159" s="192">
        <v>0</v>
      </c>
      <c r="J159" s="125">
        <f>ROUND(I159*Valores!$C$2,2)</f>
        <v>0</v>
      </c>
      <c r="K159" s="192">
        <v>0</v>
      </c>
      <c r="L159" s="125">
        <f>ROUND(K159*Valores!$C$2,2)</f>
        <v>0</v>
      </c>
      <c r="M159" s="125">
        <f>ROUND(IF($H$2=0,IF(AND(A159&lt;&gt;"13-930",A159&lt;&gt;"13-940"),(SUM(F159,H159,J159,L159,X159,T159,R159)*Valores!$C$4),0),0),2)</f>
        <v>32411.69</v>
      </c>
      <c r="N159" s="125">
        <f t="shared" si="19"/>
        <v>0</v>
      </c>
      <c r="O159" s="125">
        <f>Valores!$C$16</f>
        <v>47048.8</v>
      </c>
      <c r="P159" s="125">
        <f>Valores!$D$5</f>
        <v>27834.84</v>
      </c>
      <c r="Q159" s="125">
        <f>Valores!$C$23</f>
        <v>23111.51</v>
      </c>
      <c r="R159" s="125">
        <f>IF($F$4="NO",Valores!$C$47,Valores!$C$47/2)</f>
        <v>29096.75</v>
      </c>
      <c r="S159" s="125">
        <f>Valores!$C$19</f>
        <v>25899.06</v>
      </c>
      <c r="T159" s="125">
        <f t="shared" si="25"/>
        <v>25899.06</v>
      </c>
      <c r="U159" s="125">
        <v>0</v>
      </c>
      <c r="V159" s="125">
        <v>0</v>
      </c>
      <c r="W159" s="192">
        <v>400</v>
      </c>
      <c r="X159" s="125">
        <f>ROUND(W159*Valores!$C$2,2)</f>
        <v>21780</v>
      </c>
      <c r="Y159" s="125">
        <f>ROUND(SUM(J159,H159,F159,R159)*Valores!$C$3,2)</f>
        <v>12295.16</v>
      </c>
      <c r="Z159" s="125">
        <f>Valores!$C$94</f>
        <v>38113.67</v>
      </c>
      <c r="AA159" s="125">
        <f>Valores!$C$25</f>
        <v>1138.39</v>
      </c>
      <c r="AB159" s="214">
        <v>0</v>
      </c>
      <c r="AC159" s="125">
        <f t="shared" si="20"/>
        <v>0</v>
      </c>
      <c r="AD159" s="125">
        <f>Valores!$C$25</f>
        <v>1138.39</v>
      </c>
      <c r="AE159" s="192">
        <v>94</v>
      </c>
      <c r="AF159" s="125">
        <f>ROUND(AE159*Valores!$C$2,2)</f>
        <v>5118.3</v>
      </c>
      <c r="AG159" s="125">
        <f>ROUND(IF($F$4="NO",Valores!$C$63,Valores!$C$63/2),2)</f>
        <v>13014.72</v>
      </c>
      <c r="AH159" s="125">
        <f t="shared" si="23"/>
        <v>330872.23</v>
      </c>
      <c r="AI159" s="125">
        <f>Valores!$C$31</f>
        <v>0</v>
      </c>
      <c r="AJ159" s="125">
        <f>Valores!$C$87</f>
        <v>0</v>
      </c>
      <c r="AK159" s="125">
        <f>Valores!C$38*B159</f>
        <v>0</v>
      </c>
      <c r="AL159" s="125">
        <f>(IF($F$3="NO",0,Valores!$C$58))</f>
        <v>155.18</v>
      </c>
      <c r="AM159" s="125">
        <f t="shared" si="21"/>
        <v>155.18</v>
      </c>
      <c r="AN159" s="125">
        <f>AH159*Valores!$C$71</f>
        <v>-36395.9453</v>
      </c>
      <c r="AO159" s="125">
        <f>AH159*-Valores!$C$72</f>
        <v>0</v>
      </c>
      <c r="AP159" s="125">
        <f>AH159*Valores!$C$73</f>
        <v>-14889.250349999998</v>
      </c>
      <c r="AQ159" s="125">
        <f>Valores!$C$100</f>
        <v>-554.86</v>
      </c>
      <c r="AR159" s="125">
        <f>IF($F$5=0,Valores!$C$101,(Valores!$C$101+$F$5*(Valores!$C$101)))</f>
        <v>-852</v>
      </c>
      <c r="AS159" s="125">
        <f t="shared" si="24"/>
        <v>278335.35435</v>
      </c>
      <c r="AT159" s="125">
        <f t="shared" si="18"/>
        <v>-36395.9453</v>
      </c>
      <c r="AU159" s="125">
        <f>AH159*Valores!$C$74</f>
        <v>-8933.55021</v>
      </c>
      <c r="AV159" s="125">
        <f>AH159*Valores!$C$75</f>
        <v>-992.61669</v>
      </c>
      <c r="AW159" s="125">
        <f t="shared" si="22"/>
        <v>284705.29779999994</v>
      </c>
      <c r="AX159" s="126">
        <v>12</v>
      </c>
      <c r="AY159" s="126">
        <v>18</v>
      </c>
      <c r="AZ159" s="123" t="s">
        <v>4</v>
      </c>
    </row>
    <row r="160" spans="1:52" s="110" customFormat="1" ht="11.25" customHeight="1">
      <c r="A160" s="123" t="s">
        <v>409</v>
      </c>
      <c r="B160" s="123">
        <v>1</v>
      </c>
      <c r="C160" s="126">
        <v>153</v>
      </c>
      <c r="D160" s="124" t="s">
        <v>410</v>
      </c>
      <c r="E160" s="192">
        <v>810</v>
      </c>
      <c r="F160" s="125">
        <f>ROUND(E160*Valores!$C$2,2)</f>
        <v>44104.5</v>
      </c>
      <c r="G160" s="192">
        <v>0</v>
      </c>
      <c r="H160" s="125">
        <f>ROUND(G160*Valores!$C$2,2)</f>
        <v>0</v>
      </c>
      <c r="I160" s="192">
        <v>0</v>
      </c>
      <c r="J160" s="125">
        <f>ROUND(I160*Valores!$C$2,2)</f>
        <v>0</v>
      </c>
      <c r="K160" s="192">
        <v>0</v>
      </c>
      <c r="L160" s="125">
        <f>ROUND(K160*Valores!$C$2,2)</f>
        <v>0</v>
      </c>
      <c r="M160" s="125">
        <f>ROUND(IF($H$2=0,IF(AND(A160&lt;&gt;"13-930",A160&lt;&gt;"13-940"),(SUM(F160,H160,J160,L160,X160,T160,R160)*Valores!$C$4),0),0),2)</f>
        <v>21996.17</v>
      </c>
      <c r="N160" s="125">
        <f t="shared" si="19"/>
        <v>0</v>
      </c>
      <c r="O160" s="125">
        <f>Valores!$C$16</f>
        <v>47048.8</v>
      </c>
      <c r="P160" s="125">
        <f>Valores!$D$5</f>
        <v>27834.84</v>
      </c>
      <c r="Q160" s="125">
        <f>Valores!$C$23</f>
        <v>23111.51</v>
      </c>
      <c r="R160" s="125">
        <f>IF($F$4="NO",Valores!$C$43,Valores!$C$43/2)</f>
        <v>18245.91</v>
      </c>
      <c r="S160" s="125">
        <f>Valores!$C$20</f>
        <v>25634.272</v>
      </c>
      <c r="T160" s="125">
        <f t="shared" si="25"/>
        <v>25634.27</v>
      </c>
      <c r="U160" s="125">
        <v>0</v>
      </c>
      <c r="V160" s="125">
        <v>0</v>
      </c>
      <c r="W160" s="192">
        <v>0</v>
      </c>
      <c r="X160" s="125">
        <f>ROUND(W160*Valores!$C$2,2)</f>
        <v>0</v>
      </c>
      <c r="Y160" s="125">
        <v>0</v>
      </c>
      <c r="Z160" s="125">
        <f>Valores!$C$94</f>
        <v>38113.67</v>
      </c>
      <c r="AA160" s="125">
        <f>Valores!$C$25</f>
        <v>1138.39</v>
      </c>
      <c r="AB160" s="214">
        <v>0</v>
      </c>
      <c r="AC160" s="125">
        <f t="shared" si="20"/>
        <v>0</v>
      </c>
      <c r="AD160" s="125">
        <f>Valores!$C$26</f>
        <v>1138.39</v>
      </c>
      <c r="AE160" s="192">
        <v>0</v>
      </c>
      <c r="AF160" s="125">
        <f>ROUND(AE160*Valores!$C$2,2)</f>
        <v>0</v>
      </c>
      <c r="AG160" s="125">
        <f>ROUND(IF($F$4="NO",Valores!$C$63,Valores!$C$63/2),2)</f>
        <v>13014.72</v>
      </c>
      <c r="AH160" s="125">
        <f t="shared" si="23"/>
        <v>261381.17</v>
      </c>
      <c r="AI160" s="125">
        <f>Valores!$C$31</f>
        <v>0</v>
      </c>
      <c r="AJ160" s="125">
        <f>Valores!$C$87</f>
        <v>0</v>
      </c>
      <c r="AK160" s="125">
        <f>Valores!C$38*B160</f>
        <v>0</v>
      </c>
      <c r="AL160" s="125">
        <f>IF($F$3="NO",0,Valores!$C$56)</f>
        <v>170.34</v>
      </c>
      <c r="AM160" s="125">
        <f t="shared" si="21"/>
        <v>170.34</v>
      </c>
      <c r="AN160" s="125">
        <f>AH160*Valores!$C$71</f>
        <v>-28751.9287</v>
      </c>
      <c r="AO160" s="125">
        <f>AH160*-Valores!$C$72</f>
        <v>0</v>
      </c>
      <c r="AP160" s="125">
        <f>AH160*Valores!$C$73</f>
        <v>-11762.15265</v>
      </c>
      <c r="AQ160" s="125">
        <f>Valores!$C$100</f>
        <v>-554.86</v>
      </c>
      <c r="AR160" s="125">
        <f>IF($F$5=0,Valores!$C$101,(Valores!$C$101+$F$5*(Valores!$C$101)))</f>
        <v>-852</v>
      </c>
      <c r="AS160" s="125">
        <f t="shared" si="24"/>
        <v>219630.56865000003</v>
      </c>
      <c r="AT160" s="125">
        <f t="shared" si="18"/>
        <v>-28751.9287</v>
      </c>
      <c r="AU160" s="125">
        <f>AH160*Valores!$C$74</f>
        <v>-7057.29159</v>
      </c>
      <c r="AV160" s="125">
        <f>AH160*Valores!$C$75</f>
        <v>-784.1435100000001</v>
      </c>
      <c r="AW160" s="125">
        <f t="shared" si="22"/>
        <v>224958.14620000002</v>
      </c>
      <c r="AX160" s="126"/>
      <c r="AY160" s="126"/>
      <c r="AZ160" s="123" t="s">
        <v>4</v>
      </c>
    </row>
    <row r="161" spans="1:52" s="110" customFormat="1" ht="11.25" customHeight="1">
      <c r="A161" s="123" t="s">
        <v>411</v>
      </c>
      <c r="B161" s="123">
        <v>1</v>
      </c>
      <c r="C161" s="126">
        <v>154</v>
      </c>
      <c r="D161" s="124" t="s">
        <v>412</v>
      </c>
      <c r="E161" s="192">
        <v>1065</v>
      </c>
      <c r="F161" s="125">
        <f>ROUND(E161*Valores!$C$2,2)</f>
        <v>57989.25</v>
      </c>
      <c r="G161" s="192">
        <v>0</v>
      </c>
      <c r="H161" s="125">
        <f>ROUND(G161*Valores!$C$2,2)</f>
        <v>0</v>
      </c>
      <c r="I161" s="192">
        <v>0</v>
      </c>
      <c r="J161" s="125">
        <f>ROUND(I161*Valores!$C$2,2)</f>
        <v>0</v>
      </c>
      <c r="K161" s="192">
        <v>0</v>
      </c>
      <c r="L161" s="125">
        <f>ROUND(K161*Valores!$C$2,2)</f>
        <v>0</v>
      </c>
      <c r="M161" s="125">
        <f>ROUND(IF($H$2=0,IF(AND(A161&lt;&gt;"13-930",A161&lt;&gt;"13-940"),(SUM(F161,H161,J161,L161,X161,T161,R161)*Valores!$C$4),0),0),2)</f>
        <v>25533.56</v>
      </c>
      <c r="N161" s="125">
        <f t="shared" si="19"/>
        <v>0</v>
      </c>
      <c r="O161" s="125">
        <f>Valores!$C$16</f>
        <v>47048.8</v>
      </c>
      <c r="P161" s="125">
        <f>Valores!$D$5</f>
        <v>27834.84</v>
      </c>
      <c r="Q161" s="125">
        <f>Valores!$C$23</f>
        <v>23111.51</v>
      </c>
      <c r="R161" s="125">
        <f>IF($F$4="NO",Valores!$C$43,Valores!$C$43/2)</f>
        <v>18245.91</v>
      </c>
      <c r="S161" s="125">
        <f>Valores!$C$19</f>
        <v>25899.06</v>
      </c>
      <c r="T161" s="125">
        <f t="shared" si="25"/>
        <v>25899.06</v>
      </c>
      <c r="U161" s="125">
        <v>0</v>
      </c>
      <c r="V161" s="125">
        <v>0</v>
      </c>
      <c r="W161" s="192">
        <v>0</v>
      </c>
      <c r="X161" s="125">
        <f>ROUND(W161*Valores!$C$2,2)</f>
        <v>0</v>
      </c>
      <c r="Y161" s="125">
        <v>0</v>
      </c>
      <c r="Z161" s="125">
        <f>Valores!$C$94</f>
        <v>38113.67</v>
      </c>
      <c r="AA161" s="125">
        <f>Valores!$C$25</f>
        <v>1138.39</v>
      </c>
      <c r="AB161" s="214">
        <v>0</v>
      </c>
      <c r="AC161" s="125">
        <f t="shared" si="20"/>
        <v>0</v>
      </c>
      <c r="AD161" s="125">
        <f>Valores!$C$26</f>
        <v>1138.39</v>
      </c>
      <c r="AE161" s="192">
        <v>0</v>
      </c>
      <c r="AF161" s="125">
        <f>ROUND(AE161*Valores!$C$2,2)</f>
        <v>0</v>
      </c>
      <c r="AG161" s="125">
        <f>ROUND(IF($F$4="NO",Valores!$C$63,Valores!$C$63/2),2)</f>
        <v>13014.72</v>
      </c>
      <c r="AH161" s="125">
        <f t="shared" si="23"/>
        <v>279068.10000000003</v>
      </c>
      <c r="AI161" s="125">
        <f>Valores!$C$31</f>
        <v>0</v>
      </c>
      <c r="AJ161" s="125">
        <f>Valores!$C$87</f>
        <v>0</v>
      </c>
      <c r="AK161" s="125">
        <f>Valores!C$38*B161</f>
        <v>0</v>
      </c>
      <c r="AL161" s="125">
        <f>IF($F$3="NO",0,Valores!$C$56)</f>
        <v>170.34</v>
      </c>
      <c r="AM161" s="125">
        <f t="shared" si="21"/>
        <v>170.34</v>
      </c>
      <c r="AN161" s="125">
        <f>AH161*Valores!$C$71</f>
        <v>-30697.491000000005</v>
      </c>
      <c r="AO161" s="125">
        <f>AH161*-Valores!$C$72</f>
        <v>0</v>
      </c>
      <c r="AP161" s="125">
        <f>AH161*Valores!$C$73</f>
        <v>-12558.0645</v>
      </c>
      <c r="AQ161" s="125">
        <f>Valores!$C$100</f>
        <v>-554.86</v>
      </c>
      <c r="AR161" s="125">
        <f>IF($F$5=0,Valores!$C$101,(Valores!$C$101+$F$5*(Valores!$C$101)))</f>
        <v>-852</v>
      </c>
      <c r="AS161" s="125">
        <f t="shared" si="24"/>
        <v>234576.02450000003</v>
      </c>
      <c r="AT161" s="125">
        <f t="shared" si="18"/>
        <v>-30697.491000000005</v>
      </c>
      <c r="AU161" s="125">
        <f>AH161*Valores!$C$74</f>
        <v>-7534.838700000001</v>
      </c>
      <c r="AV161" s="125">
        <f>AH161*Valores!$C$75</f>
        <v>-837.2043000000001</v>
      </c>
      <c r="AW161" s="125">
        <f t="shared" si="22"/>
        <v>240168.90600000005</v>
      </c>
      <c r="AX161" s="126"/>
      <c r="AY161" s="126">
        <v>27</v>
      </c>
      <c r="AZ161" s="123" t="s">
        <v>4</v>
      </c>
    </row>
    <row r="162" spans="1:52" s="110" customFormat="1" ht="11.25" customHeight="1">
      <c r="A162" s="123" t="s">
        <v>411</v>
      </c>
      <c r="B162" s="123">
        <v>1</v>
      </c>
      <c r="C162" s="126">
        <v>155</v>
      </c>
      <c r="D162" s="124" t="s">
        <v>413</v>
      </c>
      <c r="E162" s="192">
        <v>1065</v>
      </c>
      <c r="F162" s="125">
        <f>ROUND(E162*Valores!$C$2,2)</f>
        <v>57989.25</v>
      </c>
      <c r="G162" s="192">
        <v>0</v>
      </c>
      <c r="H162" s="125">
        <f>ROUND(G162*Valores!$C$2,2)</f>
        <v>0</v>
      </c>
      <c r="I162" s="192">
        <v>0</v>
      </c>
      <c r="J162" s="125">
        <f>ROUND(I162*Valores!$C$2,2)</f>
        <v>0</v>
      </c>
      <c r="K162" s="192">
        <v>0</v>
      </c>
      <c r="L162" s="125">
        <f>ROUND(K162*Valores!$C$2,2)</f>
        <v>0</v>
      </c>
      <c r="M162" s="125">
        <f>ROUND(IF($H$2=0,IF(AND(A162&lt;&gt;"13-930",A162&lt;&gt;"13-940"),(SUM(F162,H162,J162,L162,X162,T162,R162)*Valores!$C$4),0),0),2)</f>
        <v>25533.56</v>
      </c>
      <c r="N162" s="125">
        <f t="shared" si="19"/>
        <v>0</v>
      </c>
      <c r="O162" s="125">
        <f>Valores!$C$16</f>
        <v>47048.8</v>
      </c>
      <c r="P162" s="125">
        <f>Valores!$D$5</f>
        <v>27834.84</v>
      </c>
      <c r="Q162" s="125">
        <f>Valores!$C$23</f>
        <v>23111.51</v>
      </c>
      <c r="R162" s="125">
        <f>IF($F$4="NO",Valores!$C$43,Valores!$C$43/2)</f>
        <v>18245.91</v>
      </c>
      <c r="S162" s="125">
        <f>Valores!$C$19</f>
        <v>25899.06</v>
      </c>
      <c r="T162" s="125">
        <f t="shared" si="25"/>
        <v>25899.06</v>
      </c>
      <c r="U162" s="125">
        <v>0</v>
      </c>
      <c r="V162" s="125">
        <v>0</v>
      </c>
      <c r="W162" s="192">
        <v>0</v>
      </c>
      <c r="X162" s="125">
        <f>ROUND(W162*Valores!$C$2,2)</f>
        <v>0</v>
      </c>
      <c r="Y162" s="125">
        <v>0</v>
      </c>
      <c r="Z162" s="125">
        <f>Valores!$C$94</f>
        <v>38113.67</v>
      </c>
      <c r="AA162" s="125">
        <f>Valores!$C$25</f>
        <v>1138.39</v>
      </c>
      <c r="AB162" s="214">
        <v>0</v>
      </c>
      <c r="AC162" s="125">
        <f t="shared" si="20"/>
        <v>0</v>
      </c>
      <c r="AD162" s="125">
        <f>Valores!$C$26</f>
        <v>1138.39</v>
      </c>
      <c r="AE162" s="192">
        <v>94</v>
      </c>
      <c r="AF162" s="125">
        <f>ROUND(AE162*Valores!$C$2,2)</f>
        <v>5118.3</v>
      </c>
      <c r="AG162" s="125">
        <f>ROUND(IF($F$4="NO",Valores!$C$63,Valores!$C$63/2),2)</f>
        <v>13014.72</v>
      </c>
      <c r="AH162" s="125">
        <f t="shared" si="23"/>
        <v>284186.4</v>
      </c>
      <c r="AI162" s="125">
        <f>Valores!$C$31</f>
        <v>0</v>
      </c>
      <c r="AJ162" s="125">
        <f>Valores!$C$87</f>
        <v>0</v>
      </c>
      <c r="AK162" s="125">
        <f>Valores!C$38*B162</f>
        <v>0</v>
      </c>
      <c r="AL162" s="125">
        <f>IF($F$3="NO",0,Valores!$C$56)</f>
        <v>170.34</v>
      </c>
      <c r="AM162" s="125">
        <f t="shared" si="21"/>
        <v>170.34</v>
      </c>
      <c r="AN162" s="125">
        <f>AH162*Valores!$C$71</f>
        <v>-31260.504000000004</v>
      </c>
      <c r="AO162" s="125">
        <f>AH162*-Valores!$C$72</f>
        <v>0</v>
      </c>
      <c r="AP162" s="125">
        <f>AH162*Valores!$C$73</f>
        <v>-12788.388</v>
      </c>
      <c r="AQ162" s="125">
        <f>Valores!$C$100</f>
        <v>-554.86</v>
      </c>
      <c r="AR162" s="125">
        <f>IF($F$5=0,Valores!$C$101,(Valores!$C$101+$F$5*(Valores!$C$101)))</f>
        <v>-852</v>
      </c>
      <c r="AS162" s="125">
        <f t="shared" si="24"/>
        <v>238900.988</v>
      </c>
      <c r="AT162" s="125">
        <f t="shared" si="18"/>
        <v>-31260.504000000004</v>
      </c>
      <c r="AU162" s="125">
        <f>AH162*Valores!$C$74</f>
        <v>-7673.032800000001</v>
      </c>
      <c r="AV162" s="125">
        <f>AH162*Valores!$C$75</f>
        <v>-852.5592</v>
      </c>
      <c r="AW162" s="125">
        <f t="shared" si="22"/>
        <v>244570.64400000003</v>
      </c>
      <c r="AX162" s="126"/>
      <c r="AY162" s="126">
        <v>27</v>
      </c>
      <c r="AZ162" s="123" t="s">
        <v>4</v>
      </c>
    </row>
    <row r="163" spans="1:52" s="110" customFormat="1" ht="11.25" customHeight="1">
      <c r="A163" s="123" t="s">
        <v>414</v>
      </c>
      <c r="B163" s="123">
        <v>1</v>
      </c>
      <c r="C163" s="126">
        <v>156</v>
      </c>
      <c r="D163" s="124" t="s">
        <v>415</v>
      </c>
      <c r="E163" s="192">
        <v>98</v>
      </c>
      <c r="F163" s="125">
        <f>ROUND(E163*Valores!$C$2,2)</f>
        <v>5336.1</v>
      </c>
      <c r="G163" s="192">
        <v>2686</v>
      </c>
      <c r="H163" s="125">
        <f>ROUND(G163*Valores!$C$2,2)</f>
        <v>146252.7</v>
      </c>
      <c r="I163" s="192">
        <v>0</v>
      </c>
      <c r="J163" s="125">
        <f>ROUND(I163*Valores!$C$2,2)</f>
        <v>0</v>
      </c>
      <c r="K163" s="192">
        <v>0</v>
      </c>
      <c r="L163" s="125">
        <f>ROUND(K163*Valores!$C$2,2)</f>
        <v>0</v>
      </c>
      <c r="M163" s="125">
        <f>ROUND(IF($H$2=0,IF(AND(A163&lt;&gt;"13-930",A163&lt;&gt;"13-940"),(SUM(F163,H163,J163,L163,X163,T163,R163)*Valores!$C$4),0),0),2)</f>
        <v>61174.9</v>
      </c>
      <c r="N163" s="125">
        <f t="shared" si="19"/>
        <v>0</v>
      </c>
      <c r="O163" s="125">
        <f>Valores!$C$8</f>
        <v>68242.23</v>
      </c>
      <c r="P163" s="125">
        <f>Valores!$D$5</f>
        <v>27834.84</v>
      </c>
      <c r="Q163" s="125">
        <f>Valores!$C$22</f>
        <v>24831.49</v>
      </c>
      <c r="R163" s="125">
        <f>IF($F$4="NO",Valores!$C$47,Valores!$C$47/2)</f>
        <v>29096.75</v>
      </c>
      <c r="S163" s="125">
        <f>Valores!$C$19</f>
        <v>25899.06</v>
      </c>
      <c r="T163" s="125">
        <f t="shared" si="25"/>
        <v>25899.06</v>
      </c>
      <c r="U163" s="125">
        <v>0</v>
      </c>
      <c r="V163" s="125">
        <v>0</v>
      </c>
      <c r="W163" s="192">
        <v>700</v>
      </c>
      <c r="X163" s="125">
        <f>ROUND(W163*Valores!$C$2,2)</f>
        <v>38115</v>
      </c>
      <c r="Y163" s="125">
        <f>ROUND(SUM(J163,H163,F163,R163)*Valores!$C$3,2)</f>
        <v>27102.83</v>
      </c>
      <c r="Z163" s="125">
        <f>Valores!$C$96</f>
        <v>76227.32</v>
      </c>
      <c r="AA163" s="125">
        <f>Valores!$C$25</f>
        <v>1138.39</v>
      </c>
      <c r="AB163" s="214">
        <v>0</v>
      </c>
      <c r="AC163" s="125">
        <f t="shared" si="20"/>
        <v>0</v>
      </c>
      <c r="AD163" s="125">
        <f>Valores!$C$26</f>
        <v>1138.39</v>
      </c>
      <c r="AE163" s="192">
        <v>94</v>
      </c>
      <c r="AF163" s="125">
        <f>ROUND(AE163*Valores!$C$2,2)</f>
        <v>5118.3</v>
      </c>
      <c r="AG163" s="125">
        <f>ROUND(IF($F$4="NO",Valores!$C$63,Valores!$C$63/2),2)</f>
        <v>13014.72</v>
      </c>
      <c r="AH163" s="125">
        <f t="shared" si="23"/>
        <v>550523.02</v>
      </c>
      <c r="AI163" s="125">
        <f>Valores!$C$31</f>
        <v>0</v>
      </c>
      <c r="AJ163" s="125">
        <f>Valores!$C$89</f>
        <v>0</v>
      </c>
      <c r="AK163" s="125">
        <f>Valores!C$38*B163</f>
        <v>0</v>
      </c>
      <c r="AL163" s="125">
        <f>IF($F$3="NO",0,224.5)</f>
        <v>224.5</v>
      </c>
      <c r="AM163" s="125">
        <f t="shared" si="21"/>
        <v>224.5</v>
      </c>
      <c r="AN163" s="125">
        <f>AH163*Valores!$C$71</f>
        <v>-60557.5322</v>
      </c>
      <c r="AO163" s="125">
        <f>AH163*-Valores!$C$72</f>
        <v>0</v>
      </c>
      <c r="AP163" s="125">
        <f>AH163*Valores!$C$73</f>
        <v>-24773.5359</v>
      </c>
      <c r="AQ163" s="125">
        <f>Valores!$C$100</f>
        <v>-554.86</v>
      </c>
      <c r="AR163" s="125">
        <f>IF($F$5=0,Valores!$C$101,(Valores!$C$101+$F$5*(Valores!$C$101)))</f>
        <v>-852</v>
      </c>
      <c r="AS163" s="125">
        <f t="shared" si="24"/>
        <v>464009.5919</v>
      </c>
      <c r="AT163" s="125">
        <f t="shared" si="18"/>
        <v>-60557.5322</v>
      </c>
      <c r="AU163" s="125">
        <f>AH163*Valores!$C$74</f>
        <v>-14864.12154</v>
      </c>
      <c r="AV163" s="125">
        <f>AH163*Valores!$C$75</f>
        <v>-1651.56906</v>
      </c>
      <c r="AW163" s="125">
        <f t="shared" si="22"/>
        <v>473674.29720000003</v>
      </c>
      <c r="AX163" s="126"/>
      <c r="AY163" s="126">
        <v>45</v>
      </c>
      <c r="AZ163" s="123" t="s">
        <v>4</v>
      </c>
    </row>
    <row r="164" spans="1:52" s="110" customFormat="1" ht="11.25" customHeight="1">
      <c r="A164" s="123" t="s">
        <v>416</v>
      </c>
      <c r="B164" s="123">
        <v>1</v>
      </c>
      <c r="C164" s="126">
        <v>157</v>
      </c>
      <c r="D164" s="124" t="s">
        <v>417</v>
      </c>
      <c r="E164" s="192">
        <v>93</v>
      </c>
      <c r="F164" s="125">
        <f>ROUND(E164*Valores!$C$2,2)</f>
        <v>5063.85</v>
      </c>
      <c r="G164" s="192">
        <v>2547</v>
      </c>
      <c r="H164" s="125">
        <f>ROUND(G164*Valores!$C$2,2)</f>
        <v>138684.15</v>
      </c>
      <c r="I164" s="192">
        <v>0</v>
      </c>
      <c r="J164" s="125">
        <f>ROUND(I164*Valores!$C$2,2)</f>
        <v>0</v>
      </c>
      <c r="K164" s="192">
        <v>0</v>
      </c>
      <c r="L164" s="125">
        <f>ROUND(K164*Valores!$C$2,2)</f>
        <v>0</v>
      </c>
      <c r="M164" s="125">
        <f>ROUND(IF($H$2=0,IF(AND(A164&lt;&gt;"13-930",A164&lt;&gt;"13-940"),(SUM(F164,H164,J164,L164,X164,T164,R164)*Valores!$C$4),0),0),2)</f>
        <v>59214.7</v>
      </c>
      <c r="N164" s="125">
        <f t="shared" si="19"/>
        <v>0</v>
      </c>
      <c r="O164" s="125">
        <f>Valores!$C$16</f>
        <v>47048.8</v>
      </c>
      <c r="P164" s="125">
        <f>Valores!$D$5</f>
        <v>27834.84</v>
      </c>
      <c r="Q164" s="125">
        <f>Valores!$C$22</f>
        <v>24831.49</v>
      </c>
      <c r="R164" s="125">
        <f>IF($F$4="NO",Valores!$C$47,Valores!$C$47/2)</f>
        <v>29096.75</v>
      </c>
      <c r="S164" s="125">
        <f>Valores!$C$19</f>
        <v>25899.06</v>
      </c>
      <c r="T164" s="125">
        <f t="shared" si="25"/>
        <v>25899.06</v>
      </c>
      <c r="U164" s="125">
        <v>0</v>
      </c>
      <c r="V164" s="125">
        <v>0</v>
      </c>
      <c r="W164" s="192">
        <v>700</v>
      </c>
      <c r="X164" s="125">
        <f>ROUND(W164*Valores!$C$2,2)</f>
        <v>38115</v>
      </c>
      <c r="Y164" s="125">
        <f>ROUND(SUM(J164,H164,F164,R164)*Valores!$C$3,2)</f>
        <v>25926.71</v>
      </c>
      <c r="Z164" s="125">
        <f>Valores!$C$96</f>
        <v>76227.32</v>
      </c>
      <c r="AA164" s="125">
        <f>Valores!$C$25</f>
        <v>1138.39</v>
      </c>
      <c r="AB164" s="214">
        <v>0</v>
      </c>
      <c r="AC164" s="125">
        <f t="shared" si="20"/>
        <v>0</v>
      </c>
      <c r="AD164" s="125">
        <f>Valores!$C$26</f>
        <v>1138.39</v>
      </c>
      <c r="AE164" s="192">
        <v>94</v>
      </c>
      <c r="AF164" s="125">
        <f>ROUND(AE164*Valores!$C$2,2)</f>
        <v>5118.3</v>
      </c>
      <c r="AG164" s="125">
        <f>ROUND(IF($F$4="NO",Valores!$C$63,Valores!$C$63/2),2)</f>
        <v>13014.72</v>
      </c>
      <c r="AH164" s="125">
        <f t="shared" si="23"/>
        <v>518352.47000000003</v>
      </c>
      <c r="AI164" s="125">
        <f>Valores!$C$31</f>
        <v>0</v>
      </c>
      <c r="AJ164" s="125">
        <f>Valores!$C$89</f>
        <v>0</v>
      </c>
      <c r="AK164" s="125">
        <f>Valores!C$38*B164</f>
        <v>0</v>
      </c>
      <c r="AL164" s="125">
        <f>IF($F$3="NO",0,224.5)</f>
        <v>224.5</v>
      </c>
      <c r="AM164" s="125">
        <f t="shared" si="21"/>
        <v>224.5</v>
      </c>
      <c r="AN164" s="125">
        <f>AH164*Valores!$C$71</f>
        <v>-57018.771700000005</v>
      </c>
      <c r="AO164" s="125">
        <f>AH164*-Valores!$C$72</f>
        <v>0</v>
      </c>
      <c r="AP164" s="125">
        <f>AH164*Valores!$C$73</f>
        <v>-23325.86115</v>
      </c>
      <c r="AQ164" s="125">
        <f>Valores!$C$100</f>
        <v>-554.86</v>
      </c>
      <c r="AR164" s="125">
        <f>IF($F$5=0,Valores!$C$101,(Valores!$C$101+$F$5*(Valores!$C$101)))</f>
        <v>-852</v>
      </c>
      <c r="AS164" s="125">
        <f t="shared" si="24"/>
        <v>436825.47715000005</v>
      </c>
      <c r="AT164" s="125">
        <f t="shared" si="18"/>
        <v>-57018.771700000005</v>
      </c>
      <c r="AU164" s="125">
        <f>AH164*Valores!$C$74</f>
        <v>-13995.51669</v>
      </c>
      <c r="AV164" s="125">
        <f>AH164*Valores!$C$75</f>
        <v>-1555.0574100000001</v>
      </c>
      <c r="AW164" s="125">
        <f t="shared" si="22"/>
        <v>446007.6242</v>
      </c>
      <c r="AX164" s="126"/>
      <c r="AY164" s="126">
        <v>45</v>
      </c>
      <c r="AZ164" s="123" t="s">
        <v>4</v>
      </c>
    </row>
    <row r="165" spans="1:52" s="110" customFormat="1" ht="11.25" customHeight="1">
      <c r="A165" s="123" t="s">
        <v>418</v>
      </c>
      <c r="B165" s="123">
        <v>1</v>
      </c>
      <c r="C165" s="126">
        <v>158</v>
      </c>
      <c r="D165" s="124" t="s">
        <v>419</v>
      </c>
      <c r="E165" s="192">
        <v>89</v>
      </c>
      <c r="F165" s="125">
        <f>ROUND(E165*Valores!$C$2,2)</f>
        <v>4846.05</v>
      </c>
      <c r="G165" s="192">
        <v>2251</v>
      </c>
      <c r="H165" s="125">
        <f>ROUND(G165*Valores!$C$2,2)</f>
        <v>122566.95</v>
      </c>
      <c r="I165" s="192">
        <v>0</v>
      </c>
      <c r="J165" s="125">
        <f>ROUND(I165*Valores!$C$2,2)</f>
        <v>0</v>
      </c>
      <c r="K165" s="192">
        <v>0</v>
      </c>
      <c r="L165" s="125">
        <f>ROUND(K165*Valores!$C$2,2)</f>
        <v>0</v>
      </c>
      <c r="M165" s="125">
        <f>ROUND(IF($H$2=0,IF(AND(A165&lt;&gt;"13-930",A165&lt;&gt;"13-940"),(SUM(F165,H165,J165,L165,X165,T165,R165)*Valores!$C$4),0),0),2)</f>
        <v>55130.95</v>
      </c>
      <c r="N165" s="125">
        <f t="shared" si="19"/>
        <v>0</v>
      </c>
      <c r="O165" s="125">
        <f>Valores!$C$16</f>
        <v>47048.8</v>
      </c>
      <c r="P165" s="125">
        <f>Valores!$D$5</f>
        <v>27834.84</v>
      </c>
      <c r="Q165" s="125">
        <f>Valores!$C$22</f>
        <v>24831.49</v>
      </c>
      <c r="R165" s="125">
        <f>IF($F$4="NO",Valores!$C$47,Valores!$C$47/2)</f>
        <v>29096.75</v>
      </c>
      <c r="S165" s="125">
        <f>Valores!$C$19</f>
        <v>25899.06</v>
      </c>
      <c r="T165" s="125">
        <f t="shared" si="25"/>
        <v>25899.06</v>
      </c>
      <c r="U165" s="125">
        <v>0</v>
      </c>
      <c r="V165" s="125">
        <v>0</v>
      </c>
      <c r="W165" s="192">
        <v>700</v>
      </c>
      <c r="X165" s="125">
        <f>ROUND(W165*Valores!$C$2,2)</f>
        <v>38115</v>
      </c>
      <c r="Y165" s="125">
        <f>ROUND(SUM(J165,H165,F165,R165)*Valores!$C$3,2)</f>
        <v>23476.46</v>
      </c>
      <c r="Z165" s="125">
        <f>Valores!$C$96</f>
        <v>76227.32</v>
      </c>
      <c r="AA165" s="125">
        <f>Valores!$C$25</f>
        <v>1138.39</v>
      </c>
      <c r="AB165" s="214">
        <v>0</v>
      </c>
      <c r="AC165" s="125">
        <f t="shared" si="20"/>
        <v>0</v>
      </c>
      <c r="AD165" s="125">
        <f>Valores!$C$26</f>
        <v>1138.39</v>
      </c>
      <c r="AE165" s="192">
        <v>94</v>
      </c>
      <c r="AF165" s="125">
        <f>ROUND(AE165*Valores!$C$2,2)</f>
        <v>5118.3</v>
      </c>
      <c r="AG165" s="125">
        <f>ROUND(IF($F$4="NO",Valores!$C$63,Valores!$C$63/2),2)</f>
        <v>13014.72</v>
      </c>
      <c r="AH165" s="125">
        <f t="shared" si="23"/>
        <v>495483.47000000003</v>
      </c>
      <c r="AI165" s="125">
        <f>Valores!$C$31</f>
        <v>0</v>
      </c>
      <c r="AJ165" s="125">
        <f>Valores!$C$89</f>
        <v>0</v>
      </c>
      <c r="AK165" s="125">
        <f>Valores!C$38*B165</f>
        <v>0</v>
      </c>
      <c r="AL165" s="125">
        <f>IF($F$3="NO",0,224.5)</f>
        <v>224.5</v>
      </c>
      <c r="AM165" s="125">
        <f t="shared" si="21"/>
        <v>224.5</v>
      </c>
      <c r="AN165" s="125">
        <f>AH165*Valores!$C$71</f>
        <v>-54503.1817</v>
      </c>
      <c r="AO165" s="125">
        <f>AH165*-Valores!$C$72</f>
        <v>0</v>
      </c>
      <c r="AP165" s="125">
        <f>AH165*Valores!$C$73</f>
        <v>-22296.75615</v>
      </c>
      <c r="AQ165" s="125">
        <f>Valores!$C$100</f>
        <v>-554.86</v>
      </c>
      <c r="AR165" s="125">
        <f>IF($F$5=0,Valores!$C$101,(Valores!$C$101+$F$5*(Valores!$C$101)))</f>
        <v>-852</v>
      </c>
      <c r="AS165" s="125">
        <f t="shared" si="24"/>
        <v>417501.17215</v>
      </c>
      <c r="AT165" s="125">
        <f t="shared" si="18"/>
        <v>-54503.1817</v>
      </c>
      <c r="AU165" s="125">
        <f>AH165*Valores!$C$74</f>
        <v>-13378.05369</v>
      </c>
      <c r="AV165" s="125">
        <f>AH165*Valores!$C$75</f>
        <v>-1486.4504100000001</v>
      </c>
      <c r="AW165" s="125">
        <f t="shared" si="22"/>
        <v>426340.2842</v>
      </c>
      <c r="AX165" s="126"/>
      <c r="AY165" s="126">
        <v>45</v>
      </c>
      <c r="AZ165" s="123" t="s">
        <v>4</v>
      </c>
    </row>
    <row r="166" spans="1:52" s="110" customFormat="1" ht="11.25" customHeight="1">
      <c r="A166" s="123" t="s">
        <v>420</v>
      </c>
      <c r="B166" s="123">
        <v>1</v>
      </c>
      <c r="C166" s="126">
        <v>159</v>
      </c>
      <c r="D166" s="124" t="s">
        <v>421</v>
      </c>
      <c r="E166" s="192">
        <v>83</v>
      </c>
      <c r="F166" s="125">
        <f>ROUND(E166*Valores!$C$2,2)</f>
        <v>4519.35</v>
      </c>
      <c r="G166" s="192">
        <v>2352</v>
      </c>
      <c r="H166" s="125">
        <f>ROUND(G166*Valores!$C$2,2)</f>
        <v>128066.4</v>
      </c>
      <c r="I166" s="192">
        <v>0</v>
      </c>
      <c r="J166" s="125">
        <f>ROUND(I166*Valores!$C$2,2)</f>
        <v>0</v>
      </c>
      <c r="K166" s="192">
        <v>0</v>
      </c>
      <c r="L166" s="125">
        <f>ROUND(K166*Valores!$C$2,2)</f>
        <v>0</v>
      </c>
      <c r="M166" s="125">
        <f>ROUND(IF($H$2=0,IF(AND(A166&lt;&gt;"13-930",A166&lt;&gt;"13-940"),(SUM(F166,H166,J166,L166,X166,T166,R166)*Valores!$C$4),0),0),2)</f>
        <v>56424.14</v>
      </c>
      <c r="N166" s="125">
        <f t="shared" si="19"/>
        <v>0</v>
      </c>
      <c r="O166" s="125">
        <f>Valores!$C$16</f>
        <v>47048.8</v>
      </c>
      <c r="P166" s="125">
        <f>Valores!$D$5</f>
        <v>27834.84</v>
      </c>
      <c r="Q166" s="125">
        <v>0</v>
      </c>
      <c r="R166" s="125">
        <f>IF($F$4="NO",Valores!$C$47,Valores!$C$47/2)</f>
        <v>29096.75</v>
      </c>
      <c r="S166" s="125">
        <f>Valores!$C$19</f>
        <v>25899.06</v>
      </c>
      <c r="T166" s="125">
        <f t="shared" si="25"/>
        <v>25899.06</v>
      </c>
      <c r="U166" s="125">
        <v>0</v>
      </c>
      <c r="V166" s="125">
        <v>0</v>
      </c>
      <c r="W166" s="192">
        <v>700</v>
      </c>
      <c r="X166" s="125">
        <f>ROUND(W166*Valores!$C$2,2)</f>
        <v>38115</v>
      </c>
      <c r="Y166" s="125">
        <f>ROUND(SUM(J166,H166,F166,R166)*Valores!$C$3,2)</f>
        <v>24252.38</v>
      </c>
      <c r="Z166" s="125">
        <f>Valores!$C$96</f>
        <v>76227.32</v>
      </c>
      <c r="AA166" s="125">
        <f>Valores!$C$25</f>
        <v>1138.39</v>
      </c>
      <c r="AB166" s="214">
        <v>0</v>
      </c>
      <c r="AC166" s="125">
        <f t="shared" si="20"/>
        <v>0</v>
      </c>
      <c r="AD166" s="125">
        <f>Valores!$C$26</f>
        <v>1138.39</v>
      </c>
      <c r="AE166" s="192">
        <v>94</v>
      </c>
      <c r="AF166" s="125">
        <f>ROUND(AE166*Valores!$C$2,2)</f>
        <v>5118.3</v>
      </c>
      <c r="AG166" s="125">
        <f>ROUND(IF($F$4="NO",Valores!$C$63,Valores!$C$63/2),2)</f>
        <v>13014.72</v>
      </c>
      <c r="AH166" s="125">
        <f t="shared" si="23"/>
        <v>477893.84</v>
      </c>
      <c r="AI166" s="125">
        <f>Valores!$C$31</f>
        <v>0</v>
      </c>
      <c r="AJ166" s="125">
        <f>Valores!$C$89</f>
        <v>0</v>
      </c>
      <c r="AK166" s="125">
        <f>Valores!C$38*B166</f>
        <v>0</v>
      </c>
      <c r="AL166" s="125">
        <v>0</v>
      </c>
      <c r="AM166" s="125">
        <f t="shared" si="21"/>
        <v>0</v>
      </c>
      <c r="AN166" s="125">
        <f>AH166*Valores!$C$71</f>
        <v>-52568.322400000005</v>
      </c>
      <c r="AO166" s="125">
        <f>AH166*-Valores!$C$72</f>
        <v>0</v>
      </c>
      <c r="AP166" s="125">
        <f>AH166*Valores!$C$73</f>
        <v>-21505.2228</v>
      </c>
      <c r="AQ166" s="125">
        <f>Valores!$C$100</f>
        <v>-554.86</v>
      </c>
      <c r="AR166" s="125">
        <f>IF($F$5=0,Valores!$C$101,(Valores!$C$101+$F$5*(Valores!$C$101)))</f>
        <v>-852</v>
      </c>
      <c r="AS166" s="125">
        <f t="shared" si="24"/>
        <v>402413.43480000005</v>
      </c>
      <c r="AT166" s="125">
        <f t="shared" si="18"/>
        <v>-52568.322400000005</v>
      </c>
      <c r="AU166" s="125">
        <f>AH166*Valores!$C$74</f>
        <v>-12903.13368</v>
      </c>
      <c r="AV166" s="125">
        <f>AH166*Valores!$C$75</f>
        <v>-1433.68152</v>
      </c>
      <c r="AW166" s="125">
        <f t="shared" si="22"/>
        <v>410988.7024</v>
      </c>
      <c r="AX166" s="126"/>
      <c r="AY166" s="126">
        <v>45</v>
      </c>
      <c r="AZ166" s="123" t="s">
        <v>8</v>
      </c>
    </row>
    <row r="167" spans="1:52" s="110" customFormat="1" ht="11.25" customHeight="1">
      <c r="A167" s="123" t="s">
        <v>422</v>
      </c>
      <c r="B167" s="123">
        <v>1</v>
      </c>
      <c r="C167" s="126">
        <v>160</v>
      </c>
      <c r="D167" s="124" t="s">
        <v>423</v>
      </c>
      <c r="E167" s="192">
        <v>83</v>
      </c>
      <c r="F167" s="125">
        <f>ROUND(E167*Valores!$C$2,2)</f>
        <v>4519.35</v>
      </c>
      <c r="G167" s="192">
        <v>2092</v>
      </c>
      <c r="H167" s="125">
        <f>ROUND(G167*Valores!$C$2,2)</f>
        <v>113909.4</v>
      </c>
      <c r="I167" s="192">
        <v>0</v>
      </c>
      <c r="J167" s="125">
        <f>ROUND(I167*Valores!$C$2,2)</f>
        <v>0</v>
      </c>
      <c r="K167" s="192">
        <v>0</v>
      </c>
      <c r="L167" s="125">
        <f>ROUND(K167*Valores!$C$2,2)</f>
        <v>0</v>
      </c>
      <c r="M167" s="125">
        <f>ROUND(IF($H$2=0,IF(AND(A167&lt;&gt;"13-930",A167&lt;&gt;"13-940"),(SUM(F167,H167,J167,L167,X167,T167,R167)*Valores!$C$4),0),0),2)</f>
        <v>52884.89</v>
      </c>
      <c r="N167" s="125">
        <f t="shared" si="19"/>
        <v>0</v>
      </c>
      <c r="O167" s="125">
        <f>Valores!$C$16</f>
        <v>47048.8</v>
      </c>
      <c r="P167" s="125">
        <f>Valores!$D$5</f>
        <v>27834.84</v>
      </c>
      <c r="Q167" s="125">
        <v>0</v>
      </c>
      <c r="R167" s="125">
        <f>IF($F$4="NO",Valores!$C$47,Valores!$C$47/2)</f>
        <v>29096.75</v>
      </c>
      <c r="S167" s="125">
        <f>Valores!$C$19</f>
        <v>25899.06</v>
      </c>
      <c r="T167" s="125">
        <f t="shared" si="25"/>
        <v>25899.06</v>
      </c>
      <c r="U167" s="125">
        <v>0</v>
      </c>
      <c r="V167" s="125">
        <v>0</v>
      </c>
      <c r="W167" s="192">
        <v>700</v>
      </c>
      <c r="X167" s="125">
        <f>ROUND(W167*Valores!$C$2,2)</f>
        <v>38115</v>
      </c>
      <c r="Y167" s="125">
        <f>ROUND(SUM(J167,H167,F167,R167)*Valores!$C$3,2)</f>
        <v>22128.83</v>
      </c>
      <c r="Z167" s="125">
        <f>Valores!$C$96</f>
        <v>76227.32</v>
      </c>
      <c r="AA167" s="125">
        <f>Valores!$C$25</f>
        <v>1138.39</v>
      </c>
      <c r="AB167" s="214">
        <v>0</v>
      </c>
      <c r="AC167" s="125">
        <f t="shared" si="20"/>
        <v>0</v>
      </c>
      <c r="AD167" s="125">
        <f>Valores!$C$26</f>
        <v>1138.39</v>
      </c>
      <c r="AE167" s="192">
        <v>94</v>
      </c>
      <c r="AF167" s="125">
        <f>ROUND(AE167*Valores!$C$2,2)</f>
        <v>5118.3</v>
      </c>
      <c r="AG167" s="125">
        <f>ROUND(IF($F$4="NO",Valores!$C$63,Valores!$C$63/2),2)</f>
        <v>13014.72</v>
      </c>
      <c r="AH167" s="125">
        <f t="shared" si="23"/>
        <v>458074.04000000004</v>
      </c>
      <c r="AI167" s="125">
        <f>Valores!$C$31</f>
        <v>0</v>
      </c>
      <c r="AJ167" s="125">
        <f>Valores!$C$89</f>
        <v>0</v>
      </c>
      <c r="AK167" s="125">
        <f>Valores!C$38*B167</f>
        <v>0</v>
      </c>
      <c r="AL167" s="125">
        <v>0</v>
      </c>
      <c r="AM167" s="125">
        <f t="shared" si="21"/>
        <v>0</v>
      </c>
      <c r="AN167" s="125">
        <f>AH167*Valores!$C$71</f>
        <v>-50388.144400000005</v>
      </c>
      <c r="AO167" s="125">
        <f>AH167*-Valores!$C$72</f>
        <v>0</v>
      </c>
      <c r="AP167" s="125">
        <f>AH167*Valores!$C$73</f>
        <v>-20613.3318</v>
      </c>
      <c r="AQ167" s="125">
        <f>Valores!$C$100</f>
        <v>-554.86</v>
      </c>
      <c r="AR167" s="125">
        <f>IF($F$5=0,Valores!$C$101,(Valores!$C$101+$F$5*(Valores!$C$101)))</f>
        <v>-852</v>
      </c>
      <c r="AS167" s="125">
        <f t="shared" si="24"/>
        <v>385665.7038</v>
      </c>
      <c r="AT167" s="125">
        <f t="shared" si="18"/>
        <v>-50388.144400000005</v>
      </c>
      <c r="AU167" s="125">
        <f>AH167*Valores!$C$74</f>
        <v>-12367.999080000001</v>
      </c>
      <c r="AV167" s="125">
        <f>AH167*Valores!$C$75</f>
        <v>-1374.2221200000001</v>
      </c>
      <c r="AW167" s="125">
        <f t="shared" si="22"/>
        <v>393943.6744</v>
      </c>
      <c r="AX167" s="126"/>
      <c r="AY167" s="126">
        <v>45</v>
      </c>
      <c r="AZ167" s="123" t="s">
        <v>8</v>
      </c>
    </row>
    <row r="168" spans="1:52" s="110" customFormat="1" ht="11.25" customHeight="1">
      <c r="A168" s="123" t="s">
        <v>424</v>
      </c>
      <c r="B168" s="123">
        <v>1</v>
      </c>
      <c r="C168" s="126">
        <v>161</v>
      </c>
      <c r="D168" s="124" t="s">
        <v>425</v>
      </c>
      <c r="E168" s="192">
        <v>82</v>
      </c>
      <c r="F168" s="125">
        <f>ROUND(E168*Valores!$C$2,2)</f>
        <v>4464.9</v>
      </c>
      <c r="G168" s="192">
        <v>1941</v>
      </c>
      <c r="H168" s="125">
        <f>ROUND(G168*Valores!$C$2,2)</f>
        <v>105687.45</v>
      </c>
      <c r="I168" s="192">
        <v>0</v>
      </c>
      <c r="J168" s="125">
        <f>ROUND(I168*Valores!$C$2,2)</f>
        <v>0</v>
      </c>
      <c r="K168" s="192">
        <v>0</v>
      </c>
      <c r="L168" s="125">
        <f>ROUND(K168*Valores!$C$2,2)</f>
        <v>0</v>
      </c>
      <c r="M168" s="125">
        <f>ROUND(IF($H$2=0,IF(AND(A168&lt;&gt;"13-930",A168&lt;&gt;"13-940"),(SUM(F168,H168,J168,L168,X168,T168,R168)*Valores!$C$4),0),0),2)</f>
        <v>50815.79</v>
      </c>
      <c r="N168" s="125">
        <f t="shared" si="19"/>
        <v>0</v>
      </c>
      <c r="O168" s="125">
        <f>Valores!$C$16</f>
        <v>47048.8</v>
      </c>
      <c r="P168" s="125">
        <f>Valores!$D$5</f>
        <v>27834.84</v>
      </c>
      <c r="Q168" s="125">
        <v>0</v>
      </c>
      <c r="R168" s="125">
        <f>IF($F$4="NO",Valores!$C$47,Valores!$C$47/2)</f>
        <v>29096.75</v>
      </c>
      <c r="S168" s="125">
        <f>Valores!$C$19</f>
        <v>25899.06</v>
      </c>
      <c r="T168" s="125">
        <f t="shared" si="25"/>
        <v>25899.06</v>
      </c>
      <c r="U168" s="125">
        <v>0</v>
      </c>
      <c r="V168" s="125">
        <v>0</v>
      </c>
      <c r="W168" s="192">
        <v>700</v>
      </c>
      <c r="X168" s="125">
        <f>ROUND(W168*Valores!$C$2,2)</f>
        <v>38115</v>
      </c>
      <c r="Y168" s="125">
        <f>ROUND(SUM(J168,H168,F168,R168)*Valores!$C$3,2)</f>
        <v>20887.37</v>
      </c>
      <c r="Z168" s="125">
        <f>Valores!$C$96</f>
        <v>76227.32</v>
      </c>
      <c r="AA168" s="125">
        <f>Valores!$C$25</f>
        <v>1138.39</v>
      </c>
      <c r="AB168" s="214">
        <v>0</v>
      </c>
      <c r="AC168" s="125">
        <f t="shared" si="20"/>
        <v>0</v>
      </c>
      <c r="AD168" s="125">
        <f>Valores!$C$26</f>
        <v>1138.39</v>
      </c>
      <c r="AE168" s="192">
        <v>94</v>
      </c>
      <c r="AF168" s="125">
        <f>ROUND(AE168*Valores!$C$2,2)</f>
        <v>5118.3</v>
      </c>
      <c r="AG168" s="125">
        <f>ROUND(IF($F$4="NO",Valores!$C$63,Valores!$C$63/2),2)</f>
        <v>13014.72</v>
      </c>
      <c r="AH168" s="125">
        <f t="shared" si="23"/>
        <v>446487.08</v>
      </c>
      <c r="AI168" s="125">
        <f>Valores!$C$31</f>
        <v>0</v>
      </c>
      <c r="AJ168" s="125">
        <f>Valores!$C$89</f>
        <v>0</v>
      </c>
      <c r="AK168" s="125">
        <f>Valores!C$38*B168</f>
        <v>0</v>
      </c>
      <c r="AL168" s="125">
        <v>0</v>
      </c>
      <c r="AM168" s="125">
        <f t="shared" si="21"/>
        <v>0</v>
      </c>
      <c r="AN168" s="125">
        <f>AH168*Valores!$C$71</f>
        <v>-49113.5788</v>
      </c>
      <c r="AO168" s="125">
        <f>AH168*-Valores!$C$72</f>
        <v>0</v>
      </c>
      <c r="AP168" s="125">
        <f>AH168*Valores!$C$73</f>
        <v>-20091.9186</v>
      </c>
      <c r="AQ168" s="125">
        <f>Valores!$C$100</f>
        <v>-554.86</v>
      </c>
      <c r="AR168" s="125">
        <f>IF($F$5=0,Valores!$C$101,(Valores!$C$101+$F$5*(Valores!$C$101)))</f>
        <v>-852</v>
      </c>
      <c r="AS168" s="125">
        <f t="shared" si="24"/>
        <v>375874.7226</v>
      </c>
      <c r="AT168" s="125">
        <f t="shared" si="18"/>
        <v>-49113.5788</v>
      </c>
      <c r="AU168" s="125">
        <f>AH168*Valores!$C$74</f>
        <v>-12055.15116</v>
      </c>
      <c r="AV168" s="125">
        <f>AH168*Valores!$C$75</f>
        <v>-1339.46124</v>
      </c>
      <c r="AW168" s="125">
        <f t="shared" si="22"/>
        <v>383978.8888</v>
      </c>
      <c r="AX168" s="126"/>
      <c r="AY168" s="126">
        <v>45</v>
      </c>
      <c r="AZ168" s="123" t="s">
        <v>8</v>
      </c>
    </row>
    <row r="169" spans="1:52" s="110" customFormat="1" ht="11.25" customHeight="1">
      <c r="A169" s="123" t="s">
        <v>426</v>
      </c>
      <c r="B169" s="123">
        <v>1</v>
      </c>
      <c r="C169" s="126">
        <v>162</v>
      </c>
      <c r="D169" s="124" t="s">
        <v>427</v>
      </c>
      <c r="E169" s="192">
        <v>79</v>
      </c>
      <c r="F169" s="125">
        <f>ROUND(E169*Valores!$C$2,2)</f>
        <v>4301.55</v>
      </c>
      <c r="G169" s="192">
        <v>2161</v>
      </c>
      <c r="H169" s="125">
        <f>ROUND(G169*Valores!$C$2,2)</f>
        <v>117666.45</v>
      </c>
      <c r="I169" s="192">
        <v>0</v>
      </c>
      <c r="J169" s="125">
        <f>ROUND(I169*Valores!$C$2,2)</f>
        <v>0</v>
      </c>
      <c r="K169" s="192">
        <v>0</v>
      </c>
      <c r="L169" s="125">
        <f>ROUND(K169*Valores!$C$2,2)</f>
        <v>0</v>
      </c>
      <c r="M169" s="125">
        <f>ROUND(IF($H$2=0,IF(AND(A169&lt;&gt;"13-930",A169&lt;&gt;"13-940"),(SUM(F169,H169,J169,L169,X169,T169,R169)*Valores!$C$4),0),0),2)</f>
        <v>53769.7</v>
      </c>
      <c r="N169" s="125">
        <f t="shared" si="19"/>
        <v>0</v>
      </c>
      <c r="O169" s="125">
        <f>Valores!$C$16</f>
        <v>47048.8</v>
      </c>
      <c r="P169" s="125">
        <f>Valores!$D$5</f>
        <v>27834.84</v>
      </c>
      <c r="Q169" s="125">
        <v>0</v>
      </c>
      <c r="R169" s="125">
        <f>IF($F$4="NO",Valores!$C$47,Valores!$C$47/2)</f>
        <v>29096.75</v>
      </c>
      <c r="S169" s="125">
        <f>Valores!$C$19</f>
        <v>25899.06</v>
      </c>
      <c r="T169" s="125">
        <f t="shared" si="25"/>
        <v>25899.06</v>
      </c>
      <c r="U169" s="125">
        <v>0</v>
      </c>
      <c r="V169" s="125">
        <v>0</v>
      </c>
      <c r="W169" s="192">
        <v>700</v>
      </c>
      <c r="X169" s="125">
        <f>ROUND(W169*Valores!$C$2,2)</f>
        <v>38115</v>
      </c>
      <c r="Y169" s="125">
        <f>ROUND(SUM(J169,H169,F169,R169)*Valores!$C$3,2)</f>
        <v>22659.71</v>
      </c>
      <c r="Z169" s="125">
        <f>Valores!$C$96</f>
        <v>76227.32</v>
      </c>
      <c r="AA169" s="125">
        <f>Valores!$C$25</f>
        <v>1138.39</v>
      </c>
      <c r="AB169" s="214">
        <v>0</v>
      </c>
      <c r="AC169" s="125">
        <f t="shared" si="20"/>
        <v>0</v>
      </c>
      <c r="AD169" s="125">
        <f>Valores!$C$26</f>
        <v>1138.39</v>
      </c>
      <c r="AE169" s="192">
        <v>94</v>
      </c>
      <c r="AF169" s="125">
        <f>ROUND(AE169*Valores!$C$2,2)</f>
        <v>5118.3</v>
      </c>
      <c r="AG169" s="125">
        <f>ROUND(IF($F$4="NO",Valores!$C$63,Valores!$C$63/2),2)</f>
        <v>13014.72</v>
      </c>
      <c r="AH169" s="125">
        <f t="shared" si="23"/>
        <v>463028.98</v>
      </c>
      <c r="AI169" s="125">
        <f>Valores!$C$31</f>
        <v>0</v>
      </c>
      <c r="AJ169" s="125">
        <f>Valores!$C$89</f>
        <v>0</v>
      </c>
      <c r="AK169" s="125">
        <f>Valores!C$38*B169</f>
        <v>0</v>
      </c>
      <c r="AL169" s="125">
        <v>0</v>
      </c>
      <c r="AM169" s="125">
        <f t="shared" si="21"/>
        <v>0</v>
      </c>
      <c r="AN169" s="125">
        <f>AH169*Valores!$C$71</f>
        <v>-50933.1878</v>
      </c>
      <c r="AO169" s="125">
        <f>AH169*-Valores!$C$72</f>
        <v>0</v>
      </c>
      <c r="AP169" s="125">
        <f>AH169*Valores!$C$73</f>
        <v>-20836.304099999998</v>
      </c>
      <c r="AQ169" s="125">
        <f>Valores!$C$100</f>
        <v>-554.86</v>
      </c>
      <c r="AR169" s="125">
        <f>IF($F$5=0,Valores!$C$101,(Valores!$C$101+$F$5*(Valores!$C$101)))</f>
        <v>-852</v>
      </c>
      <c r="AS169" s="125">
        <f t="shared" si="24"/>
        <v>389852.6281</v>
      </c>
      <c r="AT169" s="125">
        <f t="shared" si="18"/>
        <v>-50933.1878</v>
      </c>
      <c r="AU169" s="125">
        <f>AH169*Valores!$C$74</f>
        <v>-12501.782459999999</v>
      </c>
      <c r="AV169" s="125">
        <f>AH169*Valores!$C$75</f>
        <v>-1389.08694</v>
      </c>
      <c r="AW169" s="125">
        <f t="shared" si="22"/>
        <v>398204.9228</v>
      </c>
      <c r="AX169" s="126"/>
      <c r="AY169" s="126">
        <v>45</v>
      </c>
      <c r="AZ169" s="123" t="s">
        <v>8</v>
      </c>
    </row>
    <row r="170" spans="1:52" s="110" customFormat="1" ht="11.25" customHeight="1">
      <c r="A170" s="123" t="s">
        <v>428</v>
      </c>
      <c r="B170" s="123">
        <v>1</v>
      </c>
      <c r="C170" s="126">
        <v>163</v>
      </c>
      <c r="D170" s="124" t="s">
        <v>429</v>
      </c>
      <c r="E170" s="192">
        <v>98</v>
      </c>
      <c r="F170" s="125">
        <f>ROUND(E170*Valores!$C$2,2)</f>
        <v>5336.1</v>
      </c>
      <c r="G170" s="192">
        <v>2686</v>
      </c>
      <c r="H170" s="125">
        <f>ROUND(G170*Valores!$C$2,2)</f>
        <v>146252.7</v>
      </c>
      <c r="I170" s="192">
        <v>0</v>
      </c>
      <c r="J170" s="125">
        <f>ROUND(I170*Valores!$C$2,2)</f>
        <v>0</v>
      </c>
      <c r="K170" s="192">
        <v>0</v>
      </c>
      <c r="L170" s="125">
        <f>ROUND(K170*Valores!$C$2,2)</f>
        <v>0</v>
      </c>
      <c r="M170" s="125">
        <f>ROUND(IF($H$2=0,IF(AND(A170&lt;&gt;"13-930",A170&lt;&gt;"13-940"),(SUM(F170,H170,J170,L170,X170,T170,R170)*Valores!$C$4),0),0),2)</f>
        <v>61174.9</v>
      </c>
      <c r="N170" s="125">
        <f t="shared" si="19"/>
        <v>0</v>
      </c>
      <c r="O170" s="125">
        <f>Valores!$C$16</f>
        <v>47048.8</v>
      </c>
      <c r="P170" s="125">
        <f>Valores!$D$5</f>
        <v>27834.84</v>
      </c>
      <c r="Q170" s="125">
        <v>0</v>
      </c>
      <c r="R170" s="125">
        <f>IF($F$4="NO",Valores!$C$47,Valores!$C$47/2)</f>
        <v>29096.75</v>
      </c>
      <c r="S170" s="125">
        <f>Valores!$C$19</f>
        <v>25899.06</v>
      </c>
      <c r="T170" s="125">
        <f t="shared" si="25"/>
        <v>25899.06</v>
      </c>
      <c r="U170" s="125">
        <v>0</v>
      </c>
      <c r="V170" s="125">
        <v>0</v>
      </c>
      <c r="W170" s="192">
        <v>700</v>
      </c>
      <c r="X170" s="125">
        <f>ROUND(W170*Valores!$C$2,2)</f>
        <v>38115</v>
      </c>
      <c r="Y170" s="125">
        <f>ROUND(SUM(J170,H170,F170,R170)*Valores!$C$3,2)</f>
        <v>27102.83</v>
      </c>
      <c r="Z170" s="125">
        <f>Valores!$C$96</f>
        <v>76227.32</v>
      </c>
      <c r="AA170" s="125">
        <f>Valores!$C$25</f>
        <v>1138.39</v>
      </c>
      <c r="AB170" s="214">
        <v>0</v>
      </c>
      <c r="AC170" s="125">
        <f t="shared" si="20"/>
        <v>0</v>
      </c>
      <c r="AD170" s="125">
        <f>Valores!$C$26</f>
        <v>1138.39</v>
      </c>
      <c r="AE170" s="192">
        <v>0</v>
      </c>
      <c r="AF170" s="125">
        <f>ROUND(AE170*Valores!$C$2,2)</f>
        <v>0</v>
      </c>
      <c r="AG170" s="125">
        <f>ROUND(IF($F$4="NO",Valores!$C$63,Valores!$C$63/2),2)</f>
        <v>13014.72</v>
      </c>
      <c r="AH170" s="125">
        <f t="shared" si="23"/>
        <v>499379.80000000005</v>
      </c>
      <c r="AI170" s="125">
        <f>Valores!$C$31</f>
        <v>0</v>
      </c>
      <c r="AJ170" s="125">
        <f>Valores!$C$89</f>
        <v>0</v>
      </c>
      <c r="AK170" s="125">
        <f>Valores!C$38*B170</f>
        <v>0</v>
      </c>
      <c r="AL170" s="125">
        <v>0</v>
      </c>
      <c r="AM170" s="125">
        <f t="shared" si="21"/>
        <v>0</v>
      </c>
      <c r="AN170" s="125">
        <f>AH170*Valores!$C$71</f>
        <v>-54931.778000000006</v>
      </c>
      <c r="AO170" s="125">
        <f>AH170*-Valores!$C$72</f>
        <v>0</v>
      </c>
      <c r="AP170" s="125">
        <f>AH170*Valores!$C$73</f>
        <v>-22472.091</v>
      </c>
      <c r="AQ170" s="125">
        <f>Valores!$C$100</f>
        <v>-554.86</v>
      </c>
      <c r="AR170" s="125">
        <f>IF($F$5=0,Valores!$C$101,(Valores!$C$101+$F$5*(Valores!$C$101)))</f>
        <v>-852</v>
      </c>
      <c r="AS170" s="125">
        <f t="shared" si="24"/>
        <v>420569.07100000005</v>
      </c>
      <c r="AT170" s="125">
        <f t="shared" si="18"/>
        <v>-54931.778000000006</v>
      </c>
      <c r="AU170" s="125">
        <f>AH170*Valores!$C$74</f>
        <v>-13483.2546</v>
      </c>
      <c r="AV170" s="125">
        <f>AH170*Valores!$C$75</f>
        <v>-1498.1394000000003</v>
      </c>
      <c r="AW170" s="125">
        <f t="shared" si="22"/>
        <v>429466.628</v>
      </c>
      <c r="AX170" s="126"/>
      <c r="AY170" s="126"/>
      <c r="AZ170" s="123" t="s">
        <v>8</v>
      </c>
    </row>
    <row r="171" spans="1:52" s="110" customFormat="1" ht="11.25" customHeight="1">
      <c r="A171" s="123" t="s">
        <v>430</v>
      </c>
      <c r="B171" s="123">
        <v>1</v>
      </c>
      <c r="C171" s="126">
        <v>164</v>
      </c>
      <c r="D171" s="124" t="s">
        <v>431</v>
      </c>
      <c r="E171" s="192">
        <v>93</v>
      </c>
      <c r="F171" s="125">
        <f>ROUND(E171*Valores!$C$2,2)</f>
        <v>5063.85</v>
      </c>
      <c r="G171" s="192">
        <v>2547</v>
      </c>
      <c r="H171" s="125">
        <f>ROUND(G171*Valores!$C$2,2)</f>
        <v>138684.15</v>
      </c>
      <c r="I171" s="192">
        <v>0</v>
      </c>
      <c r="J171" s="125">
        <f>ROUND(I171*Valores!$C$2,2)</f>
        <v>0</v>
      </c>
      <c r="K171" s="192">
        <v>0</v>
      </c>
      <c r="L171" s="125">
        <f>ROUND(K171*Valores!$C$2,2)</f>
        <v>0</v>
      </c>
      <c r="M171" s="125">
        <f>ROUND(IF($H$2=0,IF(AND(A171&lt;&gt;"13-930",A171&lt;&gt;"13-940"),(SUM(F171,H171,J171,L171,X171,T171,R171)*Valores!$C$4),0),0),2)</f>
        <v>59214.7</v>
      </c>
      <c r="N171" s="125">
        <f t="shared" si="19"/>
        <v>0</v>
      </c>
      <c r="O171" s="125">
        <f>Valores!$C$16</f>
        <v>47048.8</v>
      </c>
      <c r="P171" s="125">
        <f>Valores!$D$5</f>
        <v>27834.84</v>
      </c>
      <c r="Q171" s="125">
        <v>0</v>
      </c>
      <c r="R171" s="125">
        <f>IF($F$4="NO",Valores!$C$47,Valores!$C$47/2)</f>
        <v>29096.75</v>
      </c>
      <c r="S171" s="125">
        <f>Valores!$C$19</f>
        <v>25899.06</v>
      </c>
      <c r="T171" s="125">
        <f t="shared" si="25"/>
        <v>25899.06</v>
      </c>
      <c r="U171" s="125">
        <v>0</v>
      </c>
      <c r="V171" s="125">
        <v>0</v>
      </c>
      <c r="W171" s="192">
        <v>700</v>
      </c>
      <c r="X171" s="125">
        <f>ROUND(W171*Valores!$C$2,2)</f>
        <v>38115</v>
      </c>
      <c r="Y171" s="125">
        <f>ROUND(SUM(J171,H171,F171,R171)*Valores!$C$3,2)</f>
        <v>25926.71</v>
      </c>
      <c r="Z171" s="125">
        <f>Valores!$C$96</f>
        <v>76227.32</v>
      </c>
      <c r="AA171" s="125">
        <f>Valores!$C$25</f>
        <v>1138.39</v>
      </c>
      <c r="AB171" s="214">
        <v>0</v>
      </c>
      <c r="AC171" s="125">
        <f t="shared" si="20"/>
        <v>0</v>
      </c>
      <c r="AD171" s="125">
        <f>Valores!$C$26</f>
        <v>1138.39</v>
      </c>
      <c r="AE171" s="192">
        <v>0</v>
      </c>
      <c r="AF171" s="125">
        <f>ROUND(AE171*Valores!$C$2,2)</f>
        <v>0</v>
      </c>
      <c r="AG171" s="125">
        <f>ROUND(IF($F$4="NO",Valores!$C$63,Valores!$C$63/2),2)</f>
        <v>13014.72</v>
      </c>
      <c r="AH171" s="125">
        <f t="shared" si="23"/>
        <v>488402.68000000005</v>
      </c>
      <c r="AI171" s="125">
        <f>Valores!$C$31</f>
        <v>0</v>
      </c>
      <c r="AJ171" s="125">
        <f>Valores!$C$89</f>
        <v>0</v>
      </c>
      <c r="AK171" s="125">
        <f>Valores!C$38*B171</f>
        <v>0</v>
      </c>
      <c r="AL171" s="125">
        <v>0</v>
      </c>
      <c r="AM171" s="125">
        <f t="shared" si="21"/>
        <v>0</v>
      </c>
      <c r="AN171" s="125">
        <f>AH171*Valores!$C$71</f>
        <v>-53724.2948</v>
      </c>
      <c r="AO171" s="125">
        <f>AH171*-Valores!$C$72</f>
        <v>0</v>
      </c>
      <c r="AP171" s="125">
        <f>AH171*Valores!$C$73</f>
        <v>-21978.120600000002</v>
      </c>
      <c r="AQ171" s="125">
        <f>Valores!$C$100</f>
        <v>-554.86</v>
      </c>
      <c r="AR171" s="125">
        <f>IF($F$5=0,Valores!$C$101,(Valores!$C$101+$F$5*(Valores!$C$101)))</f>
        <v>-852</v>
      </c>
      <c r="AS171" s="125">
        <f t="shared" si="24"/>
        <v>411293.40460000007</v>
      </c>
      <c r="AT171" s="125">
        <f t="shared" si="18"/>
        <v>-53724.2948</v>
      </c>
      <c r="AU171" s="125">
        <f>AH171*Valores!$C$74</f>
        <v>-13186.872360000001</v>
      </c>
      <c r="AV171" s="125">
        <f>AH171*Valores!$C$75</f>
        <v>-1465.2080400000002</v>
      </c>
      <c r="AW171" s="125">
        <f t="shared" si="22"/>
        <v>420026.30480000004</v>
      </c>
      <c r="AX171" s="126"/>
      <c r="AY171" s="126"/>
      <c r="AZ171" s="123" t="s">
        <v>4</v>
      </c>
    </row>
    <row r="172" spans="1:52" s="110" customFormat="1" ht="11.25" customHeight="1">
      <c r="A172" s="123" t="s">
        <v>432</v>
      </c>
      <c r="B172" s="123">
        <v>1</v>
      </c>
      <c r="C172" s="126">
        <v>165</v>
      </c>
      <c r="D172" s="124" t="s">
        <v>433</v>
      </c>
      <c r="E172" s="192">
        <v>1278</v>
      </c>
      <c r="F172" s="125">
        <f>ROUND(E172*Valores!$C$2,2)</f>
        <v>69587.1</v>
      </c>
      <c r="G172" s="192">
        <v>0</v>
      </c>
      <c r="H172" s="125">
        <f>ROUND(G172*Valores!$C$2,2)</f>
        <v>0</v>
      </c>
      <c r="I172" s="192">
        <v>0</v>
      </c>
      <c r="J172" s="125">
        <f>ROUND(I172*Valores!$C$2,2)</f>
        <v>0</v>
      </c>
      <c r="K172" s="192">
        <v>0</v>
      </c>
      <c r="L172" s="125">
        <f>ROUND(K172*Valores!$C$2,2)</f>
        <v>0</v>
      </c>
      <c r="M172" s="125">
        <f>ROUND(IF($H$2=0,IF(AND(A172&lt;&gt;"13-930",A172&lt;&gt;"13-940"),(SUM(F172,H172,J172,L172,X172,T172,R172)*Valores!$C$4),0),0),2)</f>
        <v>43396.98</v>
      </c>
      <c r="N172" s="125">
        <f t="shared" si="19"/>
        <v>0</v>
      </c>
      <c r="O172" s="125">
        <f>Valores!$C$16</f>
        <v>47048.8</v>
      </c>
      <c r="P172" s="125">
        <f>Valores!$D$5</f>
        <v>27834.84</v>
      </c>
      <c r="Q172" s="125">
        <v>0</v>
      </c>
      <c r="R172" s="125">
        <f>IF($F$4="NO",Valores!$C$47,Valores!$C$47/2)</f>
        <v>29096.75</v>
      </c>
      <c r="S172" s="125">
        <f>Valores!$C$19</f>
        <v>25899.06</v>
      </c>
      <c r="T172" s="125">
        <f t="shared" si="25"/>
        <v>25899.06</v>
      </c>
      <c r="U172" s="125">
        <v>0</v>
      </c>
      <c r="V172" s="125">
        <v>0</v>
      </c>
      <c r="W172" s="192">
        <v>900</v>
      </c>
      <c r="X172" s="125">
        <f>ROUND(W172*Valores!$C$2,2)</f>
        <v>49005</v>
      </c>
      <c r="Y172" s="125">
        <f>ROUND(SUM(J172,H172,F172,R172)*Valores!$C$3,2)</f>
        <v>14802.58</v>
      </c>
      <c r="Z172" s="125">
        <f>Valores!$C$96</f>
        <v>76227.32</v>
      </c>
      <c r="AA172" s="125">
        <f>Valores!$C$25</f>
        <v>1138.39</v>
      </c>
      <c r="AB172" s="214">
        <v>0</v>
      </c>
      <c r="AC172" s="125">
        <f t="shared" si="20"/>
        <v>0</v>
      </c>
      <c r="AD172" s="125">
        <f>Valores!$C$26</f>
        <v>1138.39</v>
      </c>
      <c r="AE172" s="192">
        <v>94</v>
      </c>
      <c r="AF172" s="125">
        <f>ROUND(AE172*Valores!$C$2,2)</f>
        <v>5118.3</v>
      </c>
      <c r="AG172" s="125">
        <f>ROUND(IF($F$4="NO",Valores!$C$63,Valores!$C$63/2),2)</f>
        <v>13014.72</v>
      </c>
      <c r="AH172" s="125">
        <f t="shared" si="23"/>
        <v>403308.23000000004</v>
      </c>
      <c r="AI172" s="125">
        <f>Valores!$C$31</f>
        <v>0</v>
      </c>
      <c r="AJ172" s="125">
        <f>Valores!$C$89</f>
        <v>0</v>
      </c>
      <c r="AK172" s="125">
        <f>Valores!C$38*B172</f>
        <v>0</v>
      </c>
      <c r="AL172" s="125">
        <f>IF($F$3="NO",0,Valores!$C$55)</f>
        <v>327.6</v>
      </c>
      <c r="AM172" s="125">
        <f t="shared" si="21"/>
        <v>327.6</v>
      </c>
      <c r="AN172" s="125">
        <f>AH172*Valores!$C$71</f>
        <v>-44363.905300000006</v>
      </c>
      <c r="AO172" s="125">
        <f>AH172*-Valores!$C$72</f>
        <v>0</v>
      </c>
      <c r="AP172" s="125">
        <f>AH172*Valores!$C$73</f>
        <v>-18148.87035</v>
      </c>
      <c r="AQ172" s="125">
        <f>Valores!$C$100</f>
        <v>-554.86</v>
      </c>
      <c r="AR172" s="125">
        <f>IF($F$5=0,Valores!$C$101,(Valores!$C$101+$F$5*(Valores!$C$101)))</f>
        <v>-852</v>
      </c>
      <c r="AS172" s="125">
        <f t="shared" si="24"/>
        <v>339716.19435</v>
      </c>
      <c r="AT172" s="125">
        <f t="shared" si="18"/>
        <v>-44363.905300000006</v>
      </c>
      <c r="AU172" s="125">
        <f>AH172*Valores!$C$74</f>
        <v>-10889.32221</v>
      </c>
      <c r="AV172" s="125">
        <f>AH172*Valores!$C$75</f>
        <v>-1209.92469</v>
      </c>
      <c r="AW172" s="125">
        <f t="shared" si="22"/>
        <v>347172.6778</v>
      </c>
      <c r="AX172" s="126"/>
      <c r="AY172" s="126">
        <v>36</v>
      </c>
      <c r="AZ172" s="123" t="s">
        <v>4</v>
      </c>
    </row>
    <row r="173" spans="1:52" s="110" customFormat="1" ht="11.25" customHeight="1">
      <c r="A173" s="123" t="s">
        <v>434</v>
      </c>
      <c r="B173" s="123">
        <v>1</v>
      </c>
      <c r="C173" s="126">
        <v>166</v>
      </c>
      <c r="D173" s="124" t="s">
        <v>435</v>
      </c>
      <c r="E173" s="192">
        <v>217</v>
      </c>
      <c r="F173" s="125">
        <f>ROUND(E173*Valores!$C$2,2)</f>
        <v>11815.65</v>
      </c>
      <c r="G173" s="192">
        <f>2245</f>
        <v>2245</v>
      </c>
      <c r="H173" s="125">
        <f>ROUND(G173*Valores!$C$2,2)</f>
        <v>122240.25</v>
      </c>
      <c r="I173" s="192">
        <v>0</v>
      </c>
      <c r="J173" s="125">
        <f>ROUND(I173*Valores!$C$2,2)</f>
        <v>0</v>
      </c>
      <c r="K173" s="192">
        <v>1300</v>
      </c>
      <c r="L173" s="125">
        <f>ROUND(K173*Valores!$C$2,2)</f>
        <v>70785</v>
      </c>
      <c r="M173" s="125">
        <f>ROUND(IF($H$2=0,IF(AND(A173&lt;&gt;"13-930",A173&lt;&gt;"13-940"),(SUM(F173,H173,J173,L173,X173,T173,R173)*Valores!$C$4),0),0),2)</f>
        <v>64959.18</v>
      </c>
      <c r="N173" s="125">
        <f t="shared" si="19"/>
        <v>0</v>
      </c>
      <c r="O173" s="125">
        <f>Valores!$C$9</f>
        <v>68418.57</v>
      </c>
      <c r="P173" s="125">
        <f>Valores!$D$5</f>
        <v>27834.84</v>
      </c>
      <c r="Q173" s="125">
        <f>Valores!$C$22</f>
        <v>24831.49</v>
      </c>
      <c r="R173" s="125">
        <f>IF($F$4="NO",Valores!$C$47,Valores!$C$47/2)</f>
        <v>29096.75</v>
      </c>
      <c r="S173" s="125">
        <f>Valores!$C$19</f>
        <v>25899.06</v>
      </c>
      <c r="T173" s="125">
        <f t="shared" si="25"/>
        <v>25899.06</v>
      </c>
      <c r="U173" s="125">
        <v>0</v>
      </c>
      <c r="V173" s="125">
        <v>0</v>
      </c>
      <c r="W173" s="192">
        <v>0</v>
      </c>
      <c r="X173" s="125">
        <f>ROUND(W173*Valores!$C$2,2)</f>
        <v>0</v>
      </c>
      <c r="Y173" s="125">
        <v>0</v>
      </c>
      <c r="Z173" s="125">
        <f>Valores!$C$96</f>
        <v>76227.32</v>
      </c>
      <c r="AA173" s="125">
        <f>Valores!$C$25</f>
        <v>1138.39</v>
      </c>
      <c r="AB173" s="214">
        <v>0</v>
      </c>
      <c r="AC173" s="125">
        <f t="shared" si="20"/>
        <v>0</v>
      </c>
      <c r="AD173" s="125">
        <f>Valores!$C$26</f>
        <v>1138.39</v>
      </c>
      <c r="AE173" s="192">
        <v>0</v>
      </c>
      <c r="AF173" s="125">
        <f>ROUND(AE173*Valores!$C$2,2)</f>
        <v>0</v>
      </c>
      <c r="AG173" s="125">
        <f>ROUND(IF($F$4="NO",Valores!$C$63,Valores!$C$63/2),2)</f>
        <v>13014.72</v>
      </c>
      <c r="AH173" s="125">
        <f t="shared" si="23"/>
        <v>537399.61</v>
      </c>
      <c r="AI173" s="125">
        <f>Valores!$C$31</f>
        <v>0</v>
      </c>
      <c r="AJ173" s="125">
        <f>Valores!$C$89</f>
        <v>0</v>
      </c>
      <c r="AK173" s="125">
        <f>Valores!C$38*B173</f>
        <v>0</v>
      </c>
      <c r="AL173" s="125">
        <f>IF($F$3="NO",0,Valores!$C$55)</f>
        <v>327.6</v>
      </c>
      <c r="AM173" s="125">
        <f t="shared" si="21"/>
        <v>327.6</v>
      </c>
      <c r="AN173" s="125">
        <f>AH173*Valores!$C$71</f>
        <v>-59113.9571</v>
      </c>
      <c r="AO173" s="125">
        <f>AH173*-Valores!$C$72</f>
        <v>0</v>
      </c>
      <c r="AP173" s="125">
        <f>AH173*Valores!$C$73</f>
        <v>-24182.98245</v>
      </c>
      <c r="AQ173" s="125">
        <f>Valores!$C$100</f>
        <v>-554.86</v>
      </c>
      <c r="AR173" s="125">
        <f>IF($F$5=0,Valores!$C$101,(Valores!$C$101+$F$5*(Valores!$C$101)))</f>
        <v>-852</v>
      </c>
      <c r="AS173" s="125">
        <f t="shared" si="24"/>
        <v>453023.41044999997</v>
      </c>
      <c r="AT173" s="125">
        <f t="shared" si="18"/>
        <v>-59113.9571</v>
      </c>
      <c r="AU173" s="125">
        <f>AH173*Valores!$C$74</f>
        <v>-14509.78947</v>
      </c>
      <c r="AV173" s="125">
        <f>AH173*Valores!$C$75</f>
        <v>-1612.19883</v>
      </c>
      <c r="AW173" s="125">
        <f t="shared" si="22"/>
        <v>462491.2646</v>
      </c>
      <c r="AX173" s="126"/>
      <c r="AY173" s="126">
        <v>45</v>
      </c>
      <c r="AZ173" s="123" t="s">
        <v>4</v>
      </c>
    </row>
    <row r="174" spans="1:52" s="110" customFormat="1" ht="11.25" customHeight="1">
      <c r="A174" s="123" t="s">
        <v>436</v>
      </c>
      <c r="B174" s="123">
        <v>1</v>
      </c>
      <c r="C174" s="126">
        <v>167</v>
      </c>
      <c r="D174" s="124" t="s">
        <v>437</v>
      </c>
      <c r="E174" s="192">
        <v>185</v>
      </c>
      <c r="F174" s="125">
        <f>ROUND(E174*Valores!$C$2,2)</f>
        <v>10073.25</v>
      </c>
      <c r="G174" s="192">
        <f>1835</f>
        <v>1835</v>
      </c>
      <c r="H174" s="125">
        <f>ROUND(G174*Valores!$C$2,2)</f>
        <v>99915.75</v>
      </c>
      <c r="I174" s="192">
        <v>0</v>
      </c>
      <c r="J174" s="125">
        <f>ROUND(I174*Valores!$C$2,2)</f>
        <v>0</v>
      </c>
      <c r="K174" s="192">
        <v>1300</v>
      </c>
      <c r="L174" s="125">
        <f>ROUND(K174*Valores!$C$2,2)</f>
        <v>70785</v>
      </c>
      <c r="M174" s="125">
        <f>ROUND(IF($H$2=0,IF(AND(A174&lt;&gt;"13-930",A174&lt;&gt;"13-940"),(SUM(F174,H174,J174,L174,X174,T174,R174)*Valores!$C$4),0),0),2)</f>
        <v>58942.45</v>
      </c>
      <c r="N174" s="125">
        <f t="shared" si="19"/>
        <v>0</v>
      </c>
      <c r="O174" s="125">
        <f>Valores!$C$9</f>
        <v>68418.57</v>
      </c>
      <c r="P174" s="125">
        <f>Valores!$D$5</f>
        <v>27834.84</v>
      </c>
      <c r="Q174" s="125">
        <f>Valores!$C$22</f>
        <v>24831.49</v>
      </c>
      <c r="R174" s="125">
        <f>IF($F$4="NO",Valores!$C$47,Valores!$C$47/2)</f>
        <v>29096.75</v>
      </c>
      <c r="S174" s="125">
        <f>Valores!$C$19</f>
        <v>25899.06</v>
      </c>
      <c r="T174" s="125">
        <f t="shared" si="25"/>
        <v>25899.06</v>
      </c>
      <c r="U174" s="125">
        <v>0</v>
      </c>
      <c r="V174" s="125">
        <v>0</v>
      </c>
      <c r="W174" s="192">
        <v>0</v>
      </c>
      <c r="X174" s="125">
        <f>ROUND(W174*Valores!$C$2,2)</f>
        <v>0</v>
      </c>
      <c r="Y174" s="125">
        <v>0</v>
      </c>
      <c r="Z174" s="125">
        <f>Valores!$C$96</f>
        <v>76227.32</v>
      </c>
      <c r="AA174" s="125">
        <f>Valores!$C$25</f>
        <v>1138.39</v>
      </c>
      <c r="AB174" s="214">
        <v>0</v>
      </c>
      <c r="AC174" s="125">
        <f t="shared" si="20"/>
        <v>0</v>
      </c>
      <c r="AD174" s="125">
        <f>Valores!$C$26</f>
        <v>1138.39</v>
      </c>
      <c r="AE174" s="192">
        <v>0</v>
      </c>
      <c r="AF174" s="125">
        <f>ROUND(AE174*Valores!$C$2,2)</f>
        <v>0</v>
      </c>
      <c r="AG174" s="125">
        <f>ROUND(IF($F$4="NO",Valores!$C$63,Valores!$C$63/2),2)</f>
        <v>13014.72</v>
      </c>
      <c r="AH174" s="125">
        <f t="shared" si="23"/>
        <v>507315.98000000004</v>
      </c>
      <c r="AI174" s="125">
        <f>Valores!$C$31</f>
        <v>0</v>
      </c>
      <c r="AJ174" s="125">
        <f>Valores!$C$89</f>
        <v>0</v>
      </c>
      <c r="AK174" s="125">
        <f>Valores!C$38*B174</f>
        <v>0</v>
      </c>
      <c r="AL174" s="125">
        <f>IF($F$3="NO",0,Valores!$C$55)</f>
        <v>327.6</v>
      </c>
      <c r="AM174" s="125">
        <f t="shared" si="21"/>
        <v>327.6</v>
      </c>
      <c r="AN174" s="125">
        <f>AH174*Valores!$C$71</f>
        <v>-55804.75780000001</v>
      </c>
      <c r="AO174" s="125">
        <f>AH174*-Valores!$C$72</f>
        <v>0</v>
      </c>
      <c r="AP174" s="125">
        <f>AH174*Valores!$C$73</f>
        <v>-22829.219100000002</v>
      </c>
      <c r="AQ174" s="125">
        <f>Valores!$C$100</f>
        <v>-554.86</v>
      </c>
      <c r="AR174" s="125">
        <f>IF($F$5=0,Valores!$C$101,(Valores!$C$101+$F$5*(Valores!$C$101)))</f>
        <v>-852</v>
      </c>
      <c r="AS174" s="125">
        <f t="shared" si="24"/>
        <v>427602.7431</v>
      </c>
      <c r="AT174" s="125">
        <f t="shared" si="18"/>
        <v>-55804.75780000001</v>
      </c>
      <c r="AU174" s="125">
        <f>AH174*Valores!$C$74</f>
        <v>-13697.53146</v>
      </c>
      <c r="AV174" s="125">
        <f>AH174*Valores!$C$75</f>
        <v>-1521.9479400000002</v>
      </c>
      <c r="AW174" s="125">
        <f t="shared" si="22"/>
        <v>436619.3428</v>
      </c>
      <c r="AX174" s="126"/>
      <c r="AY174" s="126">
        <v>45</v>
      </c>
      <c r="AZ174" s="123" t="s">
        <v>4</v>
      </c>
    </row>
    <row r="175" spans="1:52" s="110" customFormat="1" ht="11.25" customHeight="1">
      <c r="A175" s="123" t="s">
        <v>438</v>
      </c>
      <c r="B175" s="123">
        <v>1</v>
      </c>
      <c r="C175" s="126">
        <v>168</v>
      </c>
      <c r="D175" s="124" t="s">
        <v>439</v>
      </c>
      <c r="E175" s="192">
        <v>160</v>
      </c>
      <c r="F175" s="125">
        <f>ROUND(E175*Valores!$C$2,2)</f>
        <v>8712</v>
      </c>
      <c r="G175" s="192">
        <f>1484</f>
        <v>1484</v>
      </c>
      <c r="H175" s="125">
        <f>ROUND(G175*Valores!$C$2,2)</f>
        <v>80803.8</v>
      </c>
      <c r="I175" s="192">
        <v>0</v>
      </c>
      <c r="J175" s="125">
        <f>ROUND(I175*Valores!$C$2,2)</f>
        <v>0</v>
      </c>
      <c r="K175" s="192">
        <v>1300</v>
      </c>
      <c r="L175" s="125">
        <f>ROUND(K175*Valores!$C$2,2)</f>
        <v>70785</v>
      </c>
      <c r="M175" s="125">
        <f>ROUND(IF($H$2=0,IF(AND(A175&lt;&gt;"13-930",A175&lt;&gt;"13-940"),(SUM(F175,H175,J175,L175,X175,T175,R175)*Valores!$C$4),0),0),2)</f>
        <v>53824.15</v>
      </c>
      <c r="N175" s="125">
        <f t="shared" si="19"/>
        <v>0</v>
      </c>
      <c r="O175" s="125">
        <f>Valores!$C$9</f>
        <v>68418.57</v>
      </c>
      <c r="P175" s="125">
        <f>Valores!$D$5</f>
        <v>27834.84</v>
      </c>
      <c r="Q175" s="125">
        <f>Valores!$C$22</f>
        <v>24831.49</v>
      </c>
      <c r="R175" s="125">
        <f>IF($F$4="NO",Valores!$C$47,Valores!$C$47/2)</f>
        <v>29096.75</v>
      </c>
      <c r="S175" s="125">
        <f>Valores!$C$19</f>
        <v>25899.06</v>
      </c>
      <c r="T175" s="125">
        <f t="shared" si="25"/>
        <v>25899.06</v>
      </c>
      <c r="U175" s="125">
        <v>0</v>
      </c>
      <c r="V175" s="125">
        <v>0</v>
      </c>
      <c r="W175" s="192">
        <v>0</v>
      </c>
      <c r="X175" s="125">
        <f>ROUND(W175*Valores!$C$2,2)</f>
        <v>0</v>
      </c>
      <c r="Y175" s="125">
        <v>0</v>
      </c>
      <c r="Z175" s="125">
        <f>Valores!$C$96</f>
        <v>76227.32</v>
      </c>
      <c r="AA175" s="125">
        <f>Valores!$C$25</f>
        <v>1138.39</v>
      </c>
      <c r="AB175" s="214">
        <v>0</v>
      </c>
      <c r="AC175" s="125">
        <f t="shared" si="20"/>
        <v>0</v>
      </c>
      <c r="AD175" s="125">
        <f>Valores!$C$26</f>
        <v>1138.39</v>
      </c>
      <c r="AE175" s="192">
        <v>0</v>
      </c>
      <c r="AF175" s="125">
        <f>ROUND(AE175*Valores!$C$2,2)</f>
        <v>0</v>
      </c>
      <c r="AG175" s="125">
        <f>ROUND(IF($F$4="NO",Valores!$C$63,Valores!$C$63/2),2)</f>
        <v>13014.72</v>
      </c>
      <c r="AH175" s="125">
        <f t="shared" si="23"/>
        <v>481724.48000000004</v>
      </c>
      <c r="AI175" s="125">
        <f>Valores!$C$31</f>
        <v>0</v>
      </c>
      <c r="AJ175" s="125">
        <f>Valores!$C$89</f>
        <v>0</v>
      </c>
      <c r="AK175" s="125">
        <f>Valores!C$38*B175</f>
        <v>0</v>
      </c>
      <c r="AL175" s="125">
        <f>IF($F$3="NO",0,Valores!$C$55)</f>
        <v>327.6</v>
      </c>
      <c r="AM175" s="125">
        <f t="shared" si="21"/>
        <v>327.6</v>
      </c>
      <c r="AN175" s="125">
        <f>AH175*Valores!$C$71</f>
        <v>-52989.692800000004</v>
      </c>
      <c r="AO175" s="125">
        <f>AH175*-Valores!$C$72</f>
        <v>0</v>
      </c>
      <c r="AP175" s="125">
        <f>AH175*Valores!$C$73</f>
        <v>-21677.6016</v>
      </c>
      <c r="AQ175" s="125">
        <f>Valores!$C$100</f>
        <v>-554.86</v>
      </c>
      <c r="AR175" s="125">
        <f>IF($F$5=0,Valores!$C$101,(Valores!$C$101+$F$5*(Valores!$C$101)))</f>
        <v>-852</v>
      </c>
      <c r="AS175" s="125">
        <f t="shared" si="24"/>
        <v>405977.9256</v>
      </c>
      <c r="AT175" s="125">
        <f t="shared" si="18"/>
        <v>-52989.692800000004</v>
      </c>
      <c r="AU175" s="125">
        <f>AH175*Valores!$C$74</f>
        <v>-13006.56096</v>
      </c>
      <c r="AV175" s="125">
        <f>AH175*Valores!$C$75</f>
        <v>-1445.1734400000003</v>
      </c>
      <c r="AW175" s="125">
        <f t="shared" si="22"/>
        <v>414610.65280000004</v>
      </c>
      <c r="AX175" s="126"/>
      <c r="AY175" s="126">
        <v>45</v>
      </c>
      <c r="AZ175" s="123" t="s">
        <v>4</v>
      </c>
    </row>
    <row r="176" spans="1:52" s="110" customFormat="1" ht="11.25" customHeight="1">
      <c r="A176" s="123" t="s">
        <v>440</v>
      </c>
      <c r="B176" s="123">
        <v>1</v>
      </c>
      <c r="C176" s="126">
        <v>169</v>
      </c>
      <c r="D176" s="124" t="s">
        <v>441</v>
      </c>
      <c r="E176" s="192">
        <v>178</v>
      </c>
      <c r="F176" s="125">
        <f>ROUND(E176*Valores!$C$2,2)</f>
        <v>9692.1</v>
      </c>
      <c r="G176" s="192">
        <f>1842</f>
        <v>1842</v>
      </c>
      <c r="H176" s="125">
        <f>ROUND(G176*Valores!$C$2,2)</f>
        <v>100296.9</v>
      </c>
      <c r="I176" s="192">
        <v>0</v>
      </c>
      <c r="J176" s="125">
        <f>ROUND(I176*Valores!$C$2,2)</f>
        <v>0</v>
      </c>
      <c r="K176" s="192">
        <v>1300</v>
      </c>
      <c r="L176" s="125">
        <f>ROUND(K176*Valores!$C$2,2)</f>
        <v>70785</v>
      </c>
      <c r="M176" s="125">
        <f>ROUND(IF($H$2=0,IF(AND(A176&lt;&gt;"13-930",A176&lt;&gt;"13-940"),(SUM(F176,H176,J176,L176,X176,T176,R176)*Valores!$C$4),0),0),2)</f>
        <v>58942.45</v>
      </c>
      <c r="N176" s="125">
        <f t="shared" si="19"/>
        <v>0</v>
      </c>
      <c r="O176" s="125">
        <f>Valores!$C$9</f>
        <v>68418.57</v>
      </c>
      <c r="P176" s="125">
        <f>Valores!$D$5</f>
        <v>27834.84</v>
      </c>
      <c r="Q176" s="125">
        <f>Valores!$C$22</f>
        <v>24831.49</v>
      </c>
      <c r="R176" s="125">
        <f>IF($F$4="NO",Valores!$C$47,Valores!$C$47/2)</f>
        <v>29096.75</v>
      </c>
      <c r="S176" s="125">
        <f>Valores!$C$19</f>
        <v>25899.06</v>
      </c>
      <c r="T176" s="125">
        <f t="shared" si="25"/>
        <v>25899.06</v>
      </c>
      <c r="U176" s="125">
        <v>0</v>
      </c>
      <c r="V176" s="125">
        <v>0</v>
      </c>
      <c r="W176" s="192">
        <v>0</v>
      </c>
      <c r="X176" s="125">
        <f>ROUND(W176*Valores!$C$2,2)</f>
        <v>0</v>
      </c>
      <c r="Y176" s="125">
        <v>0</v>
      </c>
      <c r="Z176" s="125">
        <f>Valores!$C$96</f>
        <v>76227.32</v>
      </c>
      <c r="AA176" s="125">
        <f>Valores!$C$25</f>
        <v>1138.39</v>
      </c>
      <c r="AB176" s="214">
        <v>0</v>
      </c>
      <c r="AC176" s="125">
        <f t="shared" si="20"/>
        <v>0</v>
      </c>
      <c r="AD176" s="125">
        <f>Valores!$C$26</f>
        <v>1138.39</v>
      </c>
      <c r="AE176" s="192">
        <v>0</v>
      </c>
      <c r="AF176" s="125">
        <f>ROUND(AE176*Valores!$C$2,2)</f>
        <v>0</v>
      </c>
      <c r="AG176" s="125">
        <f>ROUND(IF($F$4="NO",Valores!$C$63,Valores!$C$63/2),2)</f>
        <v>13014.72</v>
      </c>
      <c r="AH176" s="125">
        <f t="shared" si="23"/>
        <v>507315.98000000004</v>
      </c>
      <c r="AI176" s="125">
        <f>Valores!$C$31</f>
        <v>0</v>
      </c>
      <c r="AJ176" s="125">
        <f>Valores!$C$89</f>
        <v>0</v>
      </c>
      <c r="AK176" s="125">
        <f>Valores!C$38*B176</f>
        <v>0</v>
      </c>
      <c r="AL176" s="125">
        <f>IF($F$3="NO",0,Valores!$C$55)</f>
        <v>327.6</v>
      </c>
      <c r="AM176" s="125">
        <f t="shared" si="21"/>
        <v>327.6</v>
      </c>
      <c r="AN176" s="125">
        <f>AH176*Valores!$C$71</f>
        <v>-55804.75780000001</v>
      </c>
      <c r="AO176" s="125">
        <f>AH176*-Valores!$C$72</f>
        <v>0</v>
      </c>
      <c r="AP176" s="125">
        <f>AH176*Valores!$C$73</f>
        <v>-22829.219100000002</v>
      </c>
      <c r="AQ176" s="125">
        <f>Valores!$C$100</f>
        <v>-554.86</v>
      </c>
      <c r="AR176" s="125">
        <f>IF($F$5=0,Valores!$C$101,(Valores!$C$101+$F$5*(Valores!$C$101)))</f>
        <v>-852</v>
      </c>
      <c r="AS176" s="125">
        <f t="shared" si="24"/>
        <v>427602.7431</v>
      </c>
      <c r="AT176" s="125">
        <f t="shared" si="18"/>
        <v>-55804.75780000001</v>
      </c>
      <c r="AU176" s="125">
        <f>AH176*Valores!$C$74</f>
        <v>-13697.53146</v>
      </c>
      <c r="AV176" s="125">
        <f>AH176*Valores!$C$75</f>
        <v>-1521.9479400000002</v>
      </c>
      <c r="AW176" s="125">
        <f t="shared" si="22"/>
        <v>436619.3428</v>
      </c>
      <c r="AX176" s="126"/>
      <c r="AY176" s="126">
        <v>45</v>
      </c>
      <c r="AZ176" s="123" t="s">
        <v>4</v>
      </c>
    </row>
    <row r="177" spans="1:52" s="110" customFormat="1" ht="11.25" customHeight="1">
      <c r="A177" s="123" t="s">
        <v>442</v>
      </c>
      <c r="B177" s="123">
        <v>1</v>
      </c>
      <c r="C177" s="126">
        <v>170</v>
      </c>
      <c r="D177" s="124" t="s">
        <v>443</v>
      </c>
      <c r="E177" s="192">
        <v>1278</v>
      </c>
      <c r="F177" s="125">
        <f>ROUND(E177*Valores!$C$2,2)</f>
        <v>69587.1</v>
      </c>
      <c r="G177" s="192">
        <v>0</v>
      </c>
      <c r="H177" s="125">
        <f>ROUND(G177*Valores!$C$2,2)</f>
        <v>0</v>
      </c>
      <c r="I177" s="192">
        <v>0</v>
      </c>
      <c r="J177" s="125">
        <f>ROUND(I177*Valores!$C$2,2)</f>
        <v>0</v>
      </c>
      <c r="K177" s="192">
        <v>1200</v>
      </c>
      <c r="L177" s="125">
        <f>ROUND(K177*Valores!$C$2,2)</f>
        <v>65340</v>
      </c>
      <c r="M177" s="125">
        <f>ROUND(IF($H$2=0,IF(AND(A177&lt;&gt;"13-930",A177&lt;&gt;"13-940"),(SUM(F177,H177,J177,L177,X177,T177,R177)*Valores!$C$4),0),0),2)</f>
        <v>47480.73</v>
      </c>
      <c r="N177" s="125">
        <f t="shared" si="19"/>
        <v>0</v>
      </c>
      <c r="O177" s="125">
        <f>Valores!$C$16</f>
        <v>47048.8</v>
      </c>
      <c r="P177" s="125">
        <f>Valores!$D$5</f>
        <v>27834.84</v>
      </c>
      <c r="Q177" s="125">
        <f>Valores!$C$22</f>
        <v>24831.49</v>
      </c>
      <c r="R177" s="125">
        <f>IF($F$4="NO",Valores!$C$47,Valores!$C$47/2)</f>
        <v>29096.75</v>
      </c>
      <c r="S177" s="125">
        <f>Valores!$C$19</f>
        <v>25899.06</v>
      </c>
      <c r="T177" s="125">
        <f t="shared" si="25"/>
        <v>25899.06</v>
      </c>
      <c r="U177" s="125">
        <v>0</v>
      </c>
      <c r="V177" s="125">
        <v>0</v>
      </c>
      <c r="W177" s="192">
        <v>0</v>
      </c>
      <c r="X177" s="125">
        <f>ROUND(W177*Valores!$C$2,2)</f>
        <v>0</v>
      </c>
      <c r="Y177" s="125">
        <v>0</v>
      </c>
      <c r="Z177" s="125">
        <f>Valores!$C$96</f>
        <v>76227.32</v>
      </c>
      <c r="AA177" s="125">
        <f>Valores!$C$25</f>
        <v>1138.39</v>
      </c>
      <c r="AB177" s="214">
        <v>0</v>
      </c>
      <c r="AC177" s="125">
        <f t="shared" si="20"/>
        <v>0</v>
      </c>
      <c r="AD177" s="125">
        <f>Valores!$C$26</f>
        <v>1138.39</v>
      </c>
      <c r="AE177" s="192">
        <v>0</v>
      </c>
      <c r="AF177" s="125">
        <f>ROUND(AE177*Valores!$C$2,2)</f>
        <v>0</v>
      </c>
      <c r="AG177" s="125">
        <f>ROUND(IF($F$4="NO",Valores!$C$63,Valores!$C$63/2),2)</f>
        <v>13014.72</v>
      </c>
      <c r="AH177" s="125">
        <f t="shared" si="23"/>
        <v>428637.59</v>
      </c>
      <c r="AI177" s="125">
        <f>Valores!$C$31</f>
        <v>0</v>
      </c>
      <c r="AJ177" s="125">
        <f>Valores!$C$89</f>
        <v>0</v>
      </c>
      <c r="AK177" s="125">
        <f>Valores!C$38*B177</f>
        <v>0</v>
      </c>
      <c r="AL177" s="125">
        <f>IF($F$3="NO",0,Valores!$C$55)</f>
        <v>327.6</v>
      </c>
      <c r="AM177" s="125">
        <f t="shared" si="21"/>
        <v>327.6</v>
      </c>
      <c r="AN177" s="125">
        <f>AH177*Valores!$C$71</f>
        <v>-47150.134900000005</v>
      </c>
      <c r="AO177" s="125">
        <f>AH177*-Valores!$C$72</f>
        <v>0</v>
      </c>
      <c r="AP177" s="125">
        <f>AH177*Valores!$C$73</f>
        <v>-19288.69155</v>
      </c>
      <c r="AQ177" s="125">
        <f>Valores!$C$100</f>
        <v>-554.86</v>
      </c>
      <c r="AR177" s="125">
        <f>IF($F$5=0,Valores!$C$101,(Valores!$C$101+$F$5*(Valores!$C$101)))</f>
        <v>-852</v>
      </c>
      <c r="AS177" s="125">
        <f t="shared" si="24"/>
        <v>361119.50355</v>
      </c>
      <c r="AT177" s="125">
        <f t="shared" si="18"/>
        <v>-47150.134900000005</v>
      </c>
      <c r="AU177" s="125">
        <f>AH177*Valores!$C$74</f>
        <v>-11573.21493</v>
      </c>
      <c r="AV177" s="125">
        <f>AH177*Valores!$C$75</f>
        <v>-1285.9127700000001</v>
      </c>
      <c r="AW177" s="125">
        <f t="shared" si="22"/>
        <v>368955.9274</v>
      </c>
      <c r="AX177" s="126"/>
      <c r="AY177" s="126"/>
      <c r="AZ177" s="123" t="s">
        <v>4</v>
      </c>
    </row>
    <row r="178" spans="1:52" s="110" customFormat="1" ht="11.25" customHeight="1">
      <c r="A178" s="123" t="s">
        <v>444</v>
      </c>
      <c r="B178" s="123">
        <v>1</v>
      </c>
      <c r="C178" s="126">
        <v>171</v>
      </c>
      <c r="D178" s="124" t="s">
        <v>445</v>
      </c>
      <c r="E178" s="192">
        <v>971</v>
      </c>
      <c r="F178" s="125">
        <f>ROUND(E178*Valores!$C$2,2)</f>
        <v>52870.95</v>
      </c>
      <c r="G178" s="192">
        <v>0</v>
      </c>
      <c r="H178" s="125">
        <f>ROUND(G178*Valores!$C$2,2)</f>
        <v>0</v>
      </c>
      <c r="I178" s="192">
        <v>0</v>
      </c>
      <c r="J178" s="125">
        <f>ROUND(I178*Valores!$C$2,2)</f>
        <v>0</v>
      </c>
      <c r="K178" s="192">
        <v>660</v>
      </c>
      <c r="L178" s="125">
        <f>ROUND(K178*Valores!$C$2,2)</f>
        <v>35937</v>
      </c>
      <c r="M178" s="125">
        <f>ROUND(IF($H$2=0,IF(AND(A178&lt;&gt;"13-930",A178&lt;&gt;"13-940"),(SUM(F178,H178,J178,L178,X178,T178,R178)*Valores!$C$4),0),0),2)</f>
        <v>35950.94</v>
      </c>
      <c r="N178" s="125">
        <f t="shared" si="19"/>
        <v>0</v>
      </c>
      <c r="O178" s="125">
        <f>Valores!$C$16</f>
        <v>47048.8</v>
      </c>
      <c r="P178" s="125">
        <f>Valores!$D$5</f>
        <v>27834.84</v>
      </c>
      <c r="Q178" s="125">
        <f>Valores!$C$22</f>
        <v>24831.49</v>
      </c>
      <c r="R178" s="125">
        <f>IF($F$4="NO",Valores!$C$47,Valores!$C$47/2)</f>
        <v>29096.75</v>
      </c>
      <c r="S178" s="125">
        <f>Valores!$C$19</f>
        <v>25899.06</v>
      </c>
      <c r="T178" s="125">
        <f t="shared" si="25"/>
        <v>25899.06</v>
      </c>
      <c r="U178" s="125">
        <v>0</v>
      </c>
      <c r="V178" s="125">
        <v>0</v>
      </c>
      <c r="W178" s="192">
        <v>0</v>
      </c>
      <c r="X178" s="125">
        <f>ROUND(W178*Valores!$C$2,2)</f>
        <v>0</v>
      </c>
      <c r="Y178" s="125">
        <v>0</v>
      </c>
      <c r="Z178" s="125">
        <f>Valores!$C$96</f>
        <v>76227.32</v>
      </c>
      <c r="AA178" s="125">
        <f>Valores!$C$25</f>
        <v>1138.39</v>
      </c>
      <c r="AB178" s="214">
        <v>0</v>
      </c>
      <c r="AC178" s="125">
        <f t="shared" si="20"/>
        <v>0</v>
      </c>
      <c r="AD178" s="125">
        <f>Valores!$C$26</f>
        <v>1138.39</v>
      </c>
      <c r="AE178" s="192">
        <v>0</v>
      </c>
      <c r="AF178" s="125">
        <f>ROUND(AE178*Valores!$C$2,2)</f>
        <v>0</v>
      </c>
      <c r="AG178" s="125">
        <f>ROUND(IF($F$4="NO",Valores!$C$63,Valores!$C$63/2),2)</f>
        <v>13014.72</v>
      </c>
      <c r="AH178" s="125">
        <f t="shared" si="23"/>
        <v>370988.65</v>
      </c>
      <c r="AI178" s="125">
        <f>Valores!$C$31</f>
        <v>0</v>
      </c>
      <c r="AJ178" s="125">
        <f>Valores!$C$89</f>
        <v>0</v>
      </c>
      <c r="AK178" s="125">
        <f>Valores!C$38*B178</f>
        <v>0</v>
      </c>
      <c r="AL178" s="125">
        <f>IF($F$3="NO",0,Valores!$C$55)</f>
        <v>327.6</v>
      </c>
      <c r="AM178" s="125">
        <f t="shared" si="21"/>
        <v>327.6</v>
      </c>
      <c r="AN178" s="125">
        <f>AH178*Valores!$C$71</f>
        <v>-40808.751500000006</v>
      </c>
      <c r="AO178" s="125">
        <f>AH178*-Valores!$C$72</f>
        <v>0</v>
      </c>
      <c r="AP178" s="125">
        <f>AH178*Valores!$C$73</f>
        <v>-16694.48925</v>
      </c>
      <c r="AQ178" s="125">
        <f>Valores!$C$100</f>
        <v>-554.86</v>
      </c>
      <c r="AR178" s="125">
        <f>IF($F$5=0,Valores!$C$101,(Valores!$C$101+$F$5*(Valores!$C$101)))</f>
        <v>-852</v>
      </c>
      <c r="AS178" s="125">
        <f t="shared" si="24"/>
        <v>312406.14925</v>
      </c>
      <c r="AT178" s="125">
        <f t="shared" si="18"/>
        <v>-40808.751500000006</v>
      </c>
      <c r="AU178" s="125">
        <f>AH178*Valores!$C$74</f>
        <v>-10016.69355</v>
      </c>
      <c r="AV178" s="125">
        <f>AH178*Valores!$C$75</f>
        <v>-1112.96595</v>
      </c>
      <c r="AW178" s="125">
        <f t="shared" si="22"/>
        <v>319377.839</v>
      </c>
      <c r="AX178" s="126"/>
      <c r="AY178" s="126">
        <v>18</v>
      </c>
      <c r="AZ178" s="123" t="s">
        <v>4</v>
      </c>
    </row>
    <row r="179" spans="1:52" s="110" customFormat="1" ht="11.25" customHeight="1">
      <c r="A179" s="123" t="s">
        <v>446</v>
      </c>
      <c r="B179" s="123">
        <v>1</v>
      </c>
      <c r="C179" s="126">
        <v>172</v>
      </c>
      <c r="D179" s="124" t="s">
        <v>447</v>
      </c>
      <c r="E179" s="192">
        <v>213</v>
      </c>
      <c r="F179" s="125">
        <f>ROUND(E179*Valores!$C$2,2)</f>
        <v>11597.85</v>
      </c>
      <c r="G179" s="192">
        <f>1835</f>
        <v>1835</v>
      </c>
      <c r="H179" s="125">
        <f>ROUND(G179*Valores!$C$2,2)</f>
        <v>99915.75</v>
      </c>
      <c r="I179" s="192">
        <v>0</v>
      </c>
      <c r="J179" s="125">
        <f>ROUND(I179*Valores!$C$2,2)</f>
        <v>0</v>
      </c>
      <c r="K179" s="192">
        <v>1300</v>
      </c>
      <c r="L179" s="125">
        <f>ROUND(K179*Valores!$C$2,2)</f>
        <v>70785</v>
      </c>
      <c r="M179" s="125">
        <f>ROUND(IF($H$2=0,IF(AND(A179&lt;&gt;"13-930",A179&lt;&gt;"13-940"),(SUM(F179,H179,J179,L179,X179,T179,R179)*Valores!$C$4),0),0),2)</f>
        <v>59323.6</v>
      </c>
      <c r="N179" s="125">
        <f t="shared" si="19"/>
        <v>0</v>
      </c>
      <c r="O179" s="125">
        <f>Valores!$C$9</f>
        <v>68418.57</v>
      </c>
      <c r="P179" s="125">
        <f>Valores!$D$5</f>
        <v>27834.84</v>
      </c>
      <c r="Q179" s="125">
        <f>Valores!$C$22</f>
        <v>24831.49</v>
      </c>
      <c r="R179" s="125">
        <f>IF($F$4="NO",Valores!$C$47,Valores!$C$47/2)</f>
        <v>29096.75</v>
      </c>
      <c r="S179" s="125">
        <f>Valores!$C$19</f>
        <v>25899.06</v>
      </c>
      <c r="T179" s="125">
        <f t="shared" si="25"/>
        <v>25899.06</v>
      </c>
      <c r="U179" s="125">
        <v>0</v>
      </c>
      <c r="V179" s="125">
        <v>0</v>
      </c>
      <c r="W179" s="192">
        <v>0</v>
      </c>
      <c r="X179" s="125">
        <f>ROUND(W179*Valores!$C$2,2)</f>
        <v>0</v>
      </c>
      <c r="Y179" s="125">
        <v>0</v>
      </c>
      <c r="Z179" s="125">
        <f>Valores!$C$96</f>
        <v>76227.32</v>
      </c>
      <c r="AA179" s="125">
        <f>Valores!$C$25</f>
        <v>1138.39</v>
      </c>
      <c r="AB179" s="214">
        <v>0</v>
      </c>
      <c r="AC179" s="125">
        <f t="shared" si="20"/>
        <v>0</v>
      </c>
      <c r="AD179" s="125">
        <f>Valores!$C$26</f>
        <v>1138.39</v>
      </c>
      <c r="AE179" s="192">
        <v>0</v>
      </c>
      <c r="AF179" s="125">
        <f>ROUND(AE179*Valores!$C$2,2)</f>
        <v>0</v>
      </c>
      <c r="AG179" s="125">
        <f>ROUND(IF($F$4="NO",Valores!$C$63,Valores!$C$63/2),2)</f>
        <v>13014.72</v>
      </c>
      <c r="AH179" s="125">
        <f t="shared" si="23"/>
        <v>509221.73000000004</v>
      </c>
      <c r="AI179" s="125">
        <f>Valores!$C$31</f>
        <v>0</v>
      </c>
      <c r="AJ179" s="125">
        <f>Valores!$C$89</f>
        <v>0</v>
      </c>
      <c r="AK179" s="125">
        <f>Valores!C$38*B179</f>
        <v>0</v>
      </c>
      <c r="AL179" s="125">
        <f>IF($F$3="NO",0,Valores!$C$55)</f>
        <v>327.6</v>
      </c>
      <c r="AM179" s="125">
        <f t="shared" si="21"/>
        <v>327.6</v>
      </c>
      <c r="AN179" s="125">
        <f>AH179*Valores!$C$71</f>
        <v>-56014.39030000001</v>
      </c>
      <c r="AO179" s="125">
        <f>AH179*-Valores!$C$72</f>
        <v>0</v>
      </c>
      <c r="AP179" s="125">
        <f>AH179*Valores!$C$73</f>
        <v>-22914.97785</v>
      </c>
      <c r="AQ179" s="125">
        <f>Valores!$C$100</f>
        <v>-554.86</v>
      </c>
      <c r="AR179" s="125">
        <f>IF($F$5=0,Valores!$C$101,(Valores!$C$101+$F$5*(Valores!$C$101)))</f>
        <v>-852</v>
      </c>
      <c r="AS179" s="125">
        <f t="shared" si="24"/>
        <v>429213.10185000004</v>
      </c>
      <c r="AT179" s="125">
        <f t="shared" si="18"/>
        <v>-56014.39030000001</v>
      </c>
      <c r="AU179" s="125">
        <f>AH179*Valores!$C$74</f>
        <v>-13748.986710000001</v>
      </c>
      <c r="AV179" s="125">
        <f>AH179*Valores!$C$75</f>
        <v>-1527.6651900000002</v>
      </c>
      <c r="AW179" s="125">
        <f t="shared" si="22"/>
        <v>438258.2878</v>
      </c>
      <c r="AX179" s="126"/>
      <c r="AY179" s="126">
        <v>45</v>
      </c>
      <c r="AZ179" s="123" t="s">
        <v>4</v>
      </c>
    </row>
    <row r="180" spans="1:52" s="110" customFormat="1" ht="11.25" customHeight="1">
      <c r="A180" s="123" t="s">
        <v>448</v>
      </c>
      <c r="B180" s="123">
        <v>1</v>
      </c>
      <c r="C180" s="126">
        <v>173</v>
      </c>
      <c r="D180" s="124" t="s">
        <v>449</v>
      </c>
      <c r="E180" s="192">
        <v>185</v>
      </c>
      <c r="F180" s="125">
        <f>ROUND(E180*Valores!$C$2,2)</f>
        <v>10073.25</v>
      </c>
      <c r="G180" s="192">
        <f>1835</f>
        <v>1835</v>
      </c>
      <c r="H180" s="125">
        <f>ROUND(G180*Valores!$C$2,2)</f>
        <v>99915.75</v>
      </c>
      <c r="I180" s="192">
        <v>0</v>
      </c>
      <c r="J180" s="125">
        <f>ROUND(I180*Valores!$C$2,2)</f>
        <v>0</v>
      </c>
      <c r="K180" s="192">
        <v>1300</v>
      </c>
      <c r="L180" s="125">
        <f>ROUND(K180*Valores!$C$2,2)</f>
        <v>70785</v>
      </c>
      <c r="M180" s="125">
        <f>ROUND(IF($H$2=0,IF(AND(A180&lt;&gt;"13-930",A180&lt;&gt;"13-940"),(SUM(F180,H180,J180,L180,X180,T180,R180)*Valores!$C$4),0),0),2)</f>
        <v>58942.45</v>
      </c>
      <c r="N180" s="125">
        <f t="shared" si="19"/>
        <v>0</v>
      </c>
      <c r="O180" s="125">
        <f>Valores!$C$9</f>
        <v>68418.57</v>
      </c>
      <c r="P180" s="125">
        <f>Valores!$D$5</f>
        <v>27834.84</v>
      </c>
      <c r="Q180" s="125">
        <f>Valores!$C$22</f>
        <v>24831.49</v>
      </c>
      <c r="R180" s="125">
        <f>IF($F$4="NO",Valores!$C$47,Valores!$C$47/2)</f>
        <v>29096.75</v>
      </c>
      <c r="S180" s="125">
        <f>Valores!$C$19</f>
        <v>25899.06</v>
      </c>
      <c r="T180" s="125">
        <f t="shared" si="25"/>
        <v>25899.06</v>
      </c>
      <c r="U180" s="125">
        <v>0</v>
      </c>
      <c r="V180" s="125">
        <v>0</v>
      </c>
      <c r="W180" s="192">
        <v>0</v>
      </c>
      <c r="X180" s="125">
        <f>ROUND(W180*Valores!$C$2,2)</f>
        <v>0</v>
      </c>
      <c r="Y180" s="125">
        <v>0</v>
      </c>
      <c r="Z180" s="125">
        <f>Valores!$C$96</f>
        <v>76227.32</v>
      </c>
      <c r="AA180" s="125">
        <f>Valores!$C$25</f>
        <v>1138.39</v>
      </c>
      <c r="AB180" s="214">
        <v>0</v>
      </c>
      <c r="AC180" s="125">
        <f t="shared" si="20"/>
        <v>0</v>
      </c>
      <c r="AD180" s="125">
        <f>Valores!$C$26</f>
        <v>1138.39</v>
      </c>
      <c r="AE180" s="192">
        <v>0</v>
      </c>
      <c r="AF180" s="125">
        <f>ROUND(AE180*Valores!$C$2,2)</f>
        <v>0</v>
      </c>
      <c r="AG180" s="125">
        <f>ROUND(IF($F$4="NO",Valores!$C$63,Valores!$C$63/2),2)</f>
        <v>13014.72</v>
      </c>
      <c r="AH180" s="125">
        <f t="shared" si="23"/>
        <v>507315.98000000004</v>
      </c>
      <c r="AI180" s="125">
        <f>Valores!$C$31</f>
        <v>0</v>
      </c>
      <c r="AJ180" s="125">
        <f>Valores!$C$89</f>
        <v>0</v>
      </c>
      <c r="AK180" s="125">
        <f>Valores!C$38*B180</f>
        <v>0</v>
      </c>
      <c r="AL180" s="125">
        <f>IF($F$3="NO",0,Valores!$C$55)</f>
        <v>327.6</v>
      </c>
      <c r="AM180" s="125">
        <f t="shared" si="21"/>
        <v>327.6</v>
      </c>
      <c r="AN180" s="125">
        <f>AH180*Valores!$C$71</f>
        <v>-55804.75780000001</v>
      </c>
      <c r="AO180" s="125">
        <f>AH180*-Valores!$C$72</f>
        <v>0</v>
      </c>
      <c r="AP180" s="125">
        <f>AH180*Valores!$C$73</f>
        <v>-22829.219100000002</v>
      </c>
      <c r="AQ180" s="125">
        <f>Valores!$C$100</f>
        <v>-554.86</v>
      </c>
      <c r="AR180" s="125">
        <f>IF($F$5=0,Valores!$C$101,(Valores!$C$101+$F$5*(Valores!$C$101)))</f>
        <v>-852</v>
      </c>
      <c r="AS180" s="125">
        <f t="shared" si="24"/>
        <v>427602.7431</v>
      </c>
      <c r="AT180" s="125">
        <f t="shared" si="18"/>
        <v>-55804.75780000001</v>
      </c>
      <c r="AU180" s="125">
        <f>AH180*Valores!$C$74</f>
        <v>-13697.53146</v>
      </c>
      <c r="AV180" s="125">
        <f>AH180*Valores!$C$75</f>
        <v>-1521.9479400000002</v>
      </c>
      <c r="AW180" s="125">
        <f t="shared" si="22"/>
        <v>436619.3428</v>
      </c>
      <c r="AX180" s="126"/>
      <c r="AY180" s="126">
        <v>45</v>
      </c>
      <c r="AZ180" s="123" t="s">
        <v>4</v>
      </c>
    </row>
    <row r="181" spans="1:52" s="110" customFormat="1" ht="11.25" customHeight="1">
      <c r="A181" s="123" t="s">
        <v>450</v>
      </c>
      <c r="B181" s="123">
        <v>1</v>
      </c>
      <c r="C181" s="126">
        <v>174</v>
      </c>
      <c r="D181" s="124" t="s">
        <v>451</v>
      </c>
      <c r="E181" s="192">
        <v>160</v>
      </c>
      <c r="F181" s="125">
        <f>ROUND(E181*Valores!$C$2,2)</f>
        <v>8712</v>
      </c>
      <c r="G181" s="192">
        <f>1484</f>
        <v>1484</v>
      </c>
      <c r="H181" s="125">
        <f>ROUND(G181*Valores!$C$2,2)</f>
        <v>80803.8</v>
      </c>
      <c r="I181" s="192">
        <v>0</v>
      </c>
      <c r="J181" s="125">
        <f>ROUND(I181*Valores!$C$2,2)</f>
        <v>0</v>
      </c>
      <c r="K181" s="192">
        <v>1300</v>
      </c>
      <c r="L181" s="125">
        <f>ROUND(K181*Valores!$C$2,2)</f>
        <v>70785</v>
      </c>
      <c r="M181" s="125">
        <f>ROUND(IF($H$2=0,IF(AND(A181&lt;&gt;"13-930",A181&lt;&gt;"13-940"),(SUM(F181,H181,J181,L181,X181,T181,R181)*Valores!$C$4),0),0),2)</f>
        <v>53824.15</v>
      </c>
      <c r="N181" s="125">
        <f t="shared" si="19"/>
        <v>0</v>
      </c>
      <c r="O181" s="125">
        <f>Valores!$C$9</f>
        <v>68418.57</v>
      </c>
      <c r="P181" s="125">
        <f>Valores!$D$5</f>
        <v>27834.84</v>
      </c>
      <c r="Q181" s="125">
        <f>Valores!$C$22</f>
        <v>24831.49</v>
      </c>
      <c r="R181" s="125">
        <f>IF($F$4="NO",Valores!$C$47,Valores!$C$47/2)</f>
        <v>29096.75</v>
      </c>
      <c r="S181" s="125">
        <f>Valores!$C$19</f>
        <v>25899.06</v>
      </c>
      <c r="T181" s="125">
        <f t="shared" si="25"/>
        <v>25899.06</v>
      </c>
      <c r="U181" s="125">
        <v>0</v>
      </c>
      <c r="V181" s="125">
        <v>0</v>
      </c>
      <c r="W181" s="192">
        <v>0</v>
      </c>
      <c r="X181" s="125">
        <f>ROUND(W181*Valores!$C$2,2)</f>
        <v>0</v>
      </c>
      <c r="Y181" s="125">
        <v>0</v>
      </c>
      <c r="Z181" s="125">
        <f>Valores!$C$96</f>
        <v>76227.32</v>
      </c>
      <c r="AA181" s="125">
        <f>Valores!$C$25</f>
        <v>1138.39</v>
      </c>
      <c r="AB181" s="214">
        <v>0</v>
      </c>
      <c r="AC181" s="125">
        <f t="shared" si="20"/>
        <v>0</v>
      </c>
      <c r="AD181" s="125">
        <f>Valores!$C$26</f>
        <v>1138.39</v>
      </c>
      <c r="AE181" s="192">
        <v>0</v>
      </c>
      <c r="AF181" s="125">
        <f>ROUND(AE181*Valores!$C$2,2)</f>
        <v>0</v>
      </c>
      <c r="AG181" s="125">
        <f>ROUND(IF($F$4="NO",Valores!$C$63,Valores!$C$63/2),2)</f>
        <v>13014.72</v>
      </c>
      <c r="AH181" s="125">
        <f t="shared" si="23"/>
        <v>481724.48000000004</v>
      </c>
      <c r="AI181" s="125">
        <f>Valores!$C$31</f>
        <v>0</v>
      </c>
      <c r="AJ181" s="125">
        <f>Valores!$C$89</f>
        <v>0</v>
      </c>
      <c r="AK181" s="125">
        <f>Valores!C$38*B181</f>
        <v>0</v>
      </c>
      <c r="AL181" s="125">
        <f>IF($F$3="NO",0,Valores!$C$55)</f>
        <v>327.6</v>
      </c>
      <c r="AM181" s="125">
        <f t="shared" si="21"/>
        <v>327.6</v>
      </c>
      <c r="AN181" s="125">
        <f>AH181*Valores!$C$71</f>
        <v>-52989.692800000004</v>
      </c>
      <c r="AO181" s="125">
        <f>AH181*-Valores!$C$72</f>
        <v>0</v>
      </c>
      <c r="AP181" s="125">
        <f>AH181*Valores!$C$73</f>
        <v>-21677.6016</v>
      </c>
      <c r="AQ181" s="125">
        <f>Valores!$C$100</f>
        <v>-554.86</v>
      </c>
      <c r="AR181" s="125">
        <f>IF($F$5=0,Valores!$C$101,(Valores!$C$101+$F$5*(Valores!$C$101)))</f>
        <v>-852</v>
      </c>
      <c r="AS181" s="125">
        <f t="shared" si="24"/>
        <v>405977.9256</v>
      </c>
      <c r="AT181" s="125">
        <f t="shared" si="18"/>
        <v>-52989.692800000004</v>
      </c>
      <c r="AU181" s="125">
        <f>AH181*Valores!$C$74</f>
        <v>-13006.56096</v>
      </c>
      <c r="AV181" s="125">
        <f>AH181*Valores!$C$75</f>
        <v>-1445.1734400000003</v>
      </c>
      <c r="AW181" s="125">
        <f t="shared" si="22"/>
        <v>414610.65280000004</v>
      </c>
      <c r="AX181" s="126"/>
      <c r="AY181" s="126">
        <v>45</v>
      </c>
      <c r="AZ181" s="123" t="s">
        <v>4</v>
      </c>
    </row>
    <row r="182" spans="1:52" s="110" customFormat="1" ht="11.25" customHeight="1">
      <c r="A182" s="123" t="s">
        <v>452</v>
      </c>
      <c r="B182" s="123">
        <v>1</v>
      </c>
      <c r="C182" s="126">
        <v>175</v>
      </c>
      <c r="D182" s="124" t="s">
        <v>453</v>
      </c>
      <c r="E182" s="192">
        <v>1278</v>
      </c>
      <c r="F182" s="125">
        <f>ROUND(E182*Valores!$C$2,2)</f>
        <v>69587.1</v>
      </c>
      <c r="G182" s="192">
        <v>0</v>
      </c>
      <c r="H182" s="125">
        <f>ROUND(G182*Valores!$C$2,2)</f>
        <v>0</v>
      </c>
      <c r="I182" s="192">
        <v>0</v>
      </c>
      <c r="J182" s="125">
        <f>ROUND(I182*Valores!$C$2,2)</f>
        <v>0</v>
      </c>
      <c r="K182" s="192">
        <v>1200</v>
      </c>
      <c r="L182" s="125">
        <f>ROUND(K182*Valores!$C$2,2)</f>
        <v>65340</v>
      </c>
      <c r="M182" s="125">
        <f>ROUND(IF($H$2=0,IF(AND(A182&lt;&gt;"13-930",A182&lt;&gt;"13-940"),(SUM(F182,H182,J182,L182,X182,T182,R182)*Valores!$C$4),0),0),2)</f>
        <v>47480.73</v>
      </c>
      <c r="N182" s="125">
        <f t="shared" si="19"/>
        <v>0</v>
      </c>
      <c r="O182" s="125">
        <f>Valores!$C$16</f>
        <v>47048.8</v>
      </c>
      <c r="P182" s="125">
        <f>Valores!$D$5</f>
        <v>27834.84</v>
      </c>
      <c r="Q182" s="125">
        <f>Valores!$C$22</f>
        <v>24831.49</v>
      </c>
      <c r="R182" s="125">
        <f>IF($F$4="NO",Valores!$C$47,Valores!$C$47/2)</f>
        <v>29096.75</v>
      </c>
      <c r="S182" s="125">
        <f>Valores!$C$19</f>
        <v>25899.06</v>
      </c>
      <c r="T182" s="125">
        <f t="shared" si="25"/>
        <v>25899.06</v>
      </c>
      <c r="U182" s="125">
        <v>0</v>
      </c>
      <c r="V182" s="125">
        <v>0</v>
      </c>
      <c r="W182" s="192">
        <v>0</v>
      </c>
      <c r="X182" s="125">
        <f>ROUND(W182*Valores!$C$2,2)</f>
        <v>0</v>
      </c>
      <c r="Y182" s="125">
        <v>0</v>
      </c>
      <c r="Z182" s="125">
        <f>Valores!$C$96</f>
        <v>76227.32</v>
      </c>
      <c r="AA182" s="125">
        <f>Valores!$C$25</f>
        <v>1138.39</v>
      </c>
      <c r="AB182" s="214">
        <v>0</v>
      </c>
      <c r="AC182" s="125">
        <f t="shared" si="20"/>
        <v>0</v>
      </c>
      <c r="AD182" s="125">
        <f>Valores!$C$26</f>
        <v>1138.39</v>
      </c>
      <c r="AE182" s="192">
        <v>0</v>
      </c>
      <c r="AF182" s="125">
        <f>ROUND(AE182*Valores!$C$2,2)</f>
        <v>0</v>
      </c>
      <c r="AG182" s="125">
        <f>ROUND(IF($F$4="NO",Valores!$C$63,Valores!$C$63/2),2)</f>
        <v>13014.72</v>
      </c>
      <c r="AH182" s="125">
        <f t="shared" si="23"/>
        <v>428637.59</v>
      </c>
      <c r="AI182" s="125">
        <f>Valores!$C$31</f>
        <v>0</v>
      </c>
      <c r="AJ182" s="125">
        <f>Valores!$C$89</f>
        <v>0</v>
      </c>
      <c r="AK182" s="125">
        <f>Valores!C$38*B182</f>
        <v>0</v>
      </c>
      <c r="AL182" s="125">
        <f>IF($F$3="NO",0,Valores!$C$55)</f>
        <v>327.6</v>
      </c>
      <c r="AM182" s="125">
        <f t="shared" si="21"/>
        <v>327.6</v>
      </c>
      <c r="AN182" s="125">
        <f>AH182*Valores!$C$71</f>
        <v>-47150.134900000005</v>
      </c>
      <c r="AO182" s="125">
        <f>AH182*-Valores!$C$72</f>
        <v>0</v>
      </c>
      <c r="AP182" s="125">
        <f>AH182*Valores!$C$73</f>
        <v>-19288.69155</v>
      </c>
      <c r="AQ182" s="125">
        <f>Valores!$C$100</f>
        <v>-554.86</v>
      </c>
      <c r="AR182" s="125">
        <f>IF($F$5=0,Valores!$C$101,(Valores!$C$101+$F$5*(Valores!$C$101)))</f>
        <v>-852</v>
      </c>
      <c r="AS182" s="125">
        <f t="shared" si="24"/>
        <v>361119.50355</v>
      </c>
      <c r="AT182" s="125">
        <f t="shared" si="18"/>
        <v>-47150.134900000005</v>
      </c>
      <c r="AU182" s="125">
        <f>AH182*Valores!$C$74</f>
        <v>-11573.21493</v>
      </c>
      <c r="AV182" s="125">
        <f>AH182*Valores!$C$75</f>
        <v>-1285.9127700000001</v>
      </c>
      <c r="AW182" s="125">
        <f t="shared" si="22"/>
        <v>368955.9274</v>
      </c>
      <c r="AX182" s="126"/>
      <c r="AY182" s="126"/>
      <c r="AZ182" s="123" t="s">
        <v>4</v>
      </c>
    </row>
    <row r="183" spans="1:52" s="110" customFormat="1" ht="11.25" customHeight="1">
      <c r="A183" s="123" t="s">
        <v>454</v>
      </c>
      <c r="B183" s="123">
        <v>1</v>
      </c>
      <c r="C183" s="126">
        <v>176</v>
      </c>
      <c r="D183" s="124" t="s">
        <v>455</v>
      </c>
      <c r="E183" s="192">
        <v>971</v>
      </c>
      <c r="F183" s="125">
        <f>ROUND(E183*Valores!$C$2,2)</f>
        <v>52870.95</v>
      </c>
      <c r="G183" s="192">
        <v>0</v>
      </c>
      <c r="H183" s="125">
        <f>ROUND(G183*Valores!$C$2,2)</f>
        <v>0</v>
      </c>
      <c r="I183" s="192">
        <v>0</v>
      </c>
      <c r="J183" s="125">
        <f>ROUND(I183*Valores!$C$2,2)</f>
        <v>0</v>
      </c>
      <c r="K183" s="192">
        <v>660</v>
      </c>
      <c r="L183" s="125">
        <f>ROUND(K183*Valores!$C$2,2)</f>
        <v>35937</v>
      </c>
      <c r="M183" s="125">
        <f>ROUND(IF($H$2=0,IF(AND(A183&lt;&gt;"13-930",A183&lt;&gt;"13-940"),(SUM(F183,H183,J183,L183,X183,T183,R183)*Valores!$C$4),0),0),2)</f>
        <v>35950.94</v>
      </c>
      <c r="N183" s="125">
        <f t="shared" si="19"/>
        <v>0</v>
      </c>
      <c r="O183" s="125">
        <f>Valores!$C$16</f>
        <v>47048.8</v>
      </c>
      <c r="P183" s="125">
        <f>Valores!$D$5</f>
        <v>27834.84</v>
      </c>
      <c r="Q183" s="125">
        <f>Valores!$C$23</f>
        <v>23111.51</v>
      </c>
      <c r="R183" s="125">
        <f>IF($F$4="NO",Valores!$C$47,Valores!$C$47/2)</f>
        <v>29096.75</v>
      </c>
      <c r="S183" s="125">
        <f>Valores!$C$19</f>
        <v>25899.06</v>
      </c>
      <c r="T183" s="125">
        <f t="shared" si="25"/>
        <v>25899.06</v>
      </c>
      <c r="U183" s="125">
        <v>0</v>
      </c>
      <c r="V183" s="125">
        <v>0</v>
      </c>
      <c r="W183" s="192">
        <v>0</v>
      </c>
      <c r="X183" s="125">
        <f>ROUND(W183*Valores!$C$2,2)</f>
        <v>0</v>
      </c>
      <c r="Y183" s="125">
        <v>0</v>
      </c>
      <c r="Z183" s="125">
        <f>Valores!$C$96</f>
        <v>76227.32</v>
      </c>
      <c r="AA183" s="125">
        <f>Valores!$C$25</f>
        <v>1138.39</v>
      </c>
      <c r="AB183" s="214">
        <v>0</v>
      </c>
      <c r="AC183" s="125">
        <f t="shared" si="20"/>
        <v>0</v>
      </c>
      <c r="AD183" s="125">
        <f>Valores!$C$26</f>
        <v>1138.39</v>
      </c>
      <c r="AE183" s="192">
        <v>0</v>
      </c>
      <c r="AF183" s="125">
        <f>ROUND(AE183*Valores!$C$2,2)</f>
        <v>0</v>
      </c>
      <c r="AG183" s="125">
        <f>ROUND(IF($F$4="NO",Valores!$C$63,Valores!$C$63/2),2)</f>
        <v>13014.72</v>
      </c>
      <c r="AH183" s="125">
        <f t="shared" si="23"/>
        <v>369268.67000000004</v>
      </c>
      <c r="AI183" s="125">
        <f>Valores!$C$31</f>
        <v>0</v>
      </c>
      <c r="AJ183" s="125">
        <f>Valores!$C$89</f>
        <v>0</v>
      </c>
      <c r="AK183" s="125">
        <f>Valores!C$38*B183</f>
        <v>0</v>
      </c>
      <c r="AL183" s="125">
        <f>IF($F$3="NO",0,Valores!$C$55)</f>
        <v>327.6</v>
      </c>
      <c r="AM183" s="125">
        <f t="shared" si="21"/>
        <v>327.6</v>
      </c>
      <c r="AN183" s="125">
        <f>AH183*Valores!$C$71</f>
        <v>-40619.553700000004</v>
      </c>
      <c r="AO183" s="125">
        <f>AH183*-Valores!$C$72</f>
        <v>0</v>
      </c>
      <c r="AP183" s="125">
        <f>AH183*Valores!$C$73</f>
        <v>-16617.09015</v>
      </c>
      <c r="AQ183" s="125">
        <f>Valores!$C$100</f>
        <v>-554.86</v>
      </c>
      <c r="AR183" s="125">
        <f>IF($F$5=0,Valores!$C$101,(Valores!$C$101+$F$5*(Valores!$C$101)))</f>
        <v>-852</v>
      </c>
      <c r="AS183" s="125">
        <f t="shared" si="24"/>
        <v>310952.76615000004</v>
      </c>
      <c r="AT183" s="125">
        <f t="shared" si="18"/>
        <v>-40619.553700000004</v>
      </c>
      <c r="AU183" s="125">
        <f>AH183*Valores!$C$74</f>
        <v>-9970.25409</v>
      </c>
      <c r="AV183" s="125">
        <f>AH183*Valores!$C$75</f>
        <v>-1107.8060100000002</v>
      </c>
      <c r="AW183" s="125">
        <f t="shared" si="22"/>
        <v>317898.6562</v>
      </c>
      <c r="AX183" s="126"/>
      <c r="AY183" s="126">
        <v>18</v>
      </c>
      <c r="AZ183" s="123" t="s">
        <v>4</v>
      </c>
    </row>
    <row r="184" spans="1:52" s="110" customFormat="1" ht="11.25" customHeight="1">
      <c r="A184" s="123" t="s">
        <v>456</v>
      </c>
      <c r="B184" s="123">
        <v>1</v>
      </c>
      <c r="C184" s="126">
        <v>177</v>
      </c>
      <c r="D184" s="124" t="s">
        <v>457</v>
      </c>
      <c r="E184" s="192">
        <v>179</v>
      </c>
      <c r="F184" s="125">
        <f>ROUND(E184*Valores!$C$2,2)</f>
        <v>9746.55</v>
      </c>
      <c r="G184" s="192">
        <f>1323</f>
        <v>1323</v>
      </c>
      <c r="H184" s="125">
        <f>ROUND(G184*Valores!$C$2,2)</f>
        <v>72037.35</v>
      </c>
      <c r="I184" s="192">
        <v>0</v>
      </c>
      <c r="J184" s="125">
        <f>ROUND(I184*Valores!$C$2,2)</f>
        <v>0</v>
      </c>
      <c r="K184" s="192">
        <v>1300</v>
      </c>
      <c r="L184" s="125">
        <f>ROUND(K184*Valores!$C$2,2)</f>
        <v>70785</v>
      </c>
      <c r="M184" s="125">
        <f>ROUND(IF($H$2=0,IF(AND(A184&lt;&gt;"13-930",A184&lt;&gt;"13-940"),(SUM(F184,H184,J184,L184,X184,T184,R184)*Valores!$C$4),0),0),2)</f>
        <v>51891.18</v>
      </c>
      <c r="N184" s="125">
        <f t="shared" si="19"/>
        <v>0</v>
      </c>
      <c r="O184" s="125">
        <f>Valores!$C$9</f>
        <v>68418.57</v>
      </c>
      <c r="P184" s="125">
        <f>Valores!$D$5</f>
        <v>27834.84</v>
      </c>
      <c r="Q184" s="125">
        <f>Valores!$C$22</f>
        <v>24831.49</v>
      </c>
      <c r="R184" s="125">
        <f>IF($F$4="NO",Valores!$C$47,Valores!$C$47/2)</f>
        <v>29096.75</v>
      </c>
      <c r="S184" s="125">
        <f>Valores!$C$19</f>
        <v>25899.06</v>
      </c>
      <c r="T184" s="125">
        <f t="shared" si="25"/>
        <v>25899.06</v>
      </c>
      <c r="U184" s="125">
        <v>0</v>
      </c>
      <c r="V184" s="125">
        <v>0</v>
      </c>
      <c r="W184" s="192">
        <v>0</v>
      </c>
      <c r="X184" s="125">
        <f>ROUND(W184*Valores!$C$2,2)</f>
        <v>0</v>
      </c>
      <c r="Y184" s="125">
        <v>0</v>
      </c>
      <c r="Z184" s="125">
        <f>Valores!$C$96</f>
        <v>76227.32</v>
      </c>
      <c r="AA184" s="125">
        <f>Valores!$C$25</f>
        <v>1138.39</v>
      </c>
      <c r="AB184" s="214">
        <v>0</v>
      </c>
      <c r="AC184" s="125">
        <f t="shared" si="20"/>
        <v>0</v>
      </c>
      <c r="AD184" s="125">
        <f>Valores!$C$26</f>
        <v>1138.39</v>
      </c>
      <c r="AE184" s="192">
        <v>0</v>
      </c>
      <c r="AF184" s="125">
        <f>ROUND(AE184*Valores!$C$2,2)</f>
        <v>0</v>
      </c>
      <c r="AG184" s="125">
        <f>ROUND(IF($F$4="NO",Valores!$C$63,Valores!$C$63/2),2)</f>
        <v>13014.72</v>
      </c>
      <c r="AH184" s="125">
        <f t="shared" si="23"/>
        <v>472059.61000000004</v>
      </c>
      <c r="AI184" s="125">
        <f>Valores!$C$31</f>
        <v>0</v>
      </c>
      <c r="AJ184" s="125">
        <f>Valores!$C$89</f>
        <v>0</v>
      </c>
      <c r="AK184" s="125">
        <f>Valores!C$38*B184</f>
        <v>0</v>
      </c>
      <c r="AL184" s="125">
        <v>0</v>
      </c>
      <c r="AM184" s="125">
        <f t="shared" si="21"/>
        <v>0</v>
      </c>
      <c r="AN184" s="125">
        <f>AH184*Valores!$C$71</f>
        <v>-51926.557100000005</v>
      </c>
      <c r="AO184" s="125">
        <f>AH184*-Valores!$C$72</f>
        <v>0</v>
      </c>
      <c r="AP184" s="125">
        <f>AH184*Valores!$C$73</f>
        <v>-21242.68245</v>
      </c>
      <c r="AQ184" s="125">
        <f>Valores!$C$100</f>
        <v>-554.86</v>
      </c>
      <c r="AR184" s="125">
        <f>IF($F$5=0,Valores!$C$101,(Valores!$C$101+$F$5*(Valores!$C$101)))</f>
        <v>-852</v>
      </c>
      <c r="AS184" s="125">
        <f t="shared" si="24"/>
        <v>397483.51045000006</v>
      </c>
      <c r="AT184" s="125">
        <f t="shared" si="18"/>
        <v>-51926.557100000005</v>
      </c>
      <c r="AU184" s="125">
        <f>AH184*Valores!$C$74</f>
        <v>-12745.609470000001</v>
      </c>
      <c r="AV184" s="125">
        <f>AH184*Valores!$C$75</f>
        <v>-1416.17883</v>
      </c>
      <c r="AW184" s="125">
        <f t="shared" si="22"/>
        <v>405971.26460000005</v>
      </c>
      <c r="AX184" s="126"/>
      <c r="AY184" s="126">
        <v>45</v>
      </c>
      <c r="AZ184" s="123" t="s">
        <v>4</v>
      </c>
    </row>
    <row r="185" spans="1:52" s="110" customFormat="1" ht="11.25" customHeight="1">
      <c r="A185" s="123" t="s">
        <v>458</v>
      </c>
      <c r="B185" s="123">
        <v>1</v>
      </c>
      <c r="C185" s="126">
        <v>178</v>
      </c>
      <c r="D185" s="124" t="s">
        <v>459</v>
      </c>
      <c r="E185" s="192">
        <v>64</v>
      </c>
      <c r="F185" s="125">
        <f>ROUND(E185*Valores!$C$2,2)</f>
        <v>3484.8</v>
      </c>
      <c r="G185" s="192">
        <v>1354</v>
      </c>
      <c r="H185" s="125">
        <f>ROUND(G185*Valores!$C$2,2)</f>
        <v>73725.3</v>
      </c>
      <c r="I185" s="192">
        <v>0</v>
      </c>
      <c r="J185" s="125">
        <f>ROUND(I185*Valores!$C$2,2)</f>
        <v>0</v>
      </c>
      <c r="K185" s="192">
        <v>1200</v>
      </c>
      <c r="L185" s="125">
        <f>ROUND(K185*Valores!$C$2,2)</f>
        <v>65340</v>
      </c>
      <c r="M185" s="125">
        <f>ROUND(IF($H$2=0,IF(AND(A185&lt;&gt;"13-930",A185&lt;&gt;"13-940"),(SUM(F185,H185,J185,L185,X185,T185,R185)*Valores!$C$4),0),0),2)</f>
        <v>49320.28</v>
      </c>
      <c r="N185" s="125">
        <f t="shared" si="19"/>
        <v>0</v>
      </c>
      <c r="O185" s="125">
        <f>Valores!$C$14</f>
        <v>54217.67</v>
      </c>
      <c r="P185" s="125">
        <f>Valores!$D$5</f>
        <v>27834.84</v>
      </c>
      <c r="Q185" s="125">
        <v>0</v>
      </c>
      <c r="R185" s="125">
        <f>IF($F$4="NO",Valores!$C$47,Valores!$C$47/2)</f>
        <v>29096.75</v>
      </c>
      <c r="S185" s="125">
        <f>Valores!$C$20</f>
        <v>25634.272</v>
      </c>
      <c r="T185" s="125">
        <f t="shared" si="25"/>
        <v>25634.27</v>
      </c>
      <c r="U185" s="125">
        <v>0</v>
      </c>
      <c r="V185" s="125">
        <v>0</v>
      </c>
      <c r="W185" s="192">
        <v>0</v>
      </c>
      <c r="X185" s="125">
        <f>ROUND(W185*Valores!$C$2,2)</f>
        <v>0</v>
      </c>
      <c r="Y185" s="125">
        <v>0</v>
      </c>
      <c r="Z185" s="125">
        <f>Valores!$C$96</f>
        <v>76227.32</v>
      </c>
      <c r="AA185" s="125">
        <f>Valores!$C$25</f>
        <v>1138.39</v>
      </c>
      <c r="AB185" s="214">
        <v>0</v>
      </c>
      <c r="AC185" s="125">
        <f t="shared" si="20"/>
        <v>0</v>
      </c>
      <c r="AD185" s="125">
        <f>Valores!$C$26</f>
        <v>1138.39</v>
      </c>
      <c r="AE185" s="192">
        <v>0</v>
      </c>
      <c r="AF185" s="125">
        <f>ROUND(AE185*Valores!$C$2,2)</f>
        <v>0</v>
      </c>
      <c r="AG185" s="125">
        <f>ROUND(IF($F$4="NO",Valores!$C$63,Valores!$C$63/2),2)</f>
        <v>13014.72</v>
      </c>
      <c r="AH185" s="125">
        <f t="shared" si="23"/>
        <v>420172.73000000004</v>
      </c>
      <c r="AI185" s="125">
        <f>Valores!$C$31</f>
        <v>0</v>
      </c>
      <c r="AJ185" s="125">
        <f>Valores!$C$89</f>
        <v>0</v>
      </c>
      <c r="AK185" s="125">
        <f>Valores!C$38*B185</f>
        <v>0</v>
      </c>
      <c r="AL185" s="125">
        <v>0</v>
      </c>
      <c r="AM185" s="125">
        <f t="shared" si="21"/>
        <v>0</v>
      </c>
      <c r="AN185" s="125">
        <f>AH185*Valores!$C$71</f>
        <v>-46219.00030000001</v>
      </c>
      <c r="AO185" s="125">
        <f>AH185*-Valores!$C$72</f>
        <v>0</v>
      </c>
      <c r="AP185" s="125">
        <f>AH185*Valores!$C$73</f>
        <v>-18907.77285</v>
      </c>
      <c r="AQ185" s="125">
        <f>Valores!$C$100</f>
        <v>-554.86</v>
      </c>
      <c r="AR185" s="125">
        <f>IF($F$5=0,Valores!$C$101,(Valores!$C$101+$F$5*(Valores!$C$101)))</f>
        <v>-852</v>
      </c>
      <c r="AS185" s="125">
        <f t="shared" si="24"/>
        <v>353639.09685000003</v>
      </c>
      <c r="AT185" s="125">
        <f t="shared" si="18"/>
        <v>-46219.00030000001</v>
      </c>
      <c r="AU185" s="125">
        <f>AH185*Valores!$C$74</f>
        <v>-11344.66371</v>
      </c>
      <c r="AV185" s="125">
        <f>AH185*Valores!$C$75</f>
        <v>-1260.5181900000002</v>
      </c>
      <c r="AW185" s="125">
        <f t="shared" si="22"/>
        <v>361348.54780000006</v>
      </c>
      <c r="AX185" s="126"/>
      <c r="AY185" s="126">
        <v>30</v>
      </c>
      <c r="AZ185" s="123" t="s">
        <v>8</v>
      </c>
    </row>
    <row r="186" spans="1:52" s="110" customFormat="1" ht="11.25" customHeight="1">
      <c r="A186" s="123" t="s">
        <v>460</v>
      </c>
      <c r="B186" s="123">
        <v>1</v>
      </c>
      <c r="C186" s="126">
        <v>179</v>
      </c>
      <c r="D186" s="124" t="s">
        <v>461</v>
      </c>
      <c r="E186" s="192">
        <v>55</v>
      </c>
      <c r="F186" s="125">
        <f>ROUND(E186*Valores!$C$2,2)</f>
        <v>2994.75</v>
      </c>
      <c r="G186" s="192">
        <v>1279</v>
      </c>
      <c r="H186" s="125">
        <f>ROUND(G186*Valores!$C$2,2)</f>
        <v>69641.55</v>
      </c>
      <c r="I186" s="192">
        <v>0</v>
      </c>
      <c r="J186" s="125">
        <f>ROUND(I186*Valores!$C$2,2)</f>
        <v>0</v>
      </c>
      <c r="K186" s="192">
        <v>1200</v>
      </c>
      <c r="L186" s="125">
        <f>ROUND(K186*Valores!$C$2,2)</f>
        <v>65340</v>
      </c>
      <c r="M186" s="125">
        <f>ROUND(IF($H$2=0,IF(AND(A186&lt;&gt;"13-930",A186&lt;&gt;"13-940"),(SUM(F186,H186,J186,L186,X186,T186,R186)*Valores!$C$4),0),0),2)</f>
        <v>48243.03</v>
      </c>
      <c r="N186" s="125">
        <f t="shared" si="19"/>
        <v>0</v>
      </c>
      <c r="O186" s="125">
        <f>Valores!$C$16</f>
        <v>47048.8</v>
      </c>
      <c r="P186" s="125">
        <f>Valores!$D$5</f>
        <v>27834.84</v>
      </c>
      <c r="Q186" s="125">
        <v>0</v>
      </c>
      <c r="R186" s="125">
        <f>IF($F$4="NO",Valores!$C$47,Valores!$C$47/2)</f>
        <v>29096.75</v>
      </c>
      <c r="S186" s="125">
        <f>Valores!$C$19</f>
        <v>25899.06</v>
      </c>
      <c r="T186" s="125">
        <f t="shared" si="25"/>
        <v>25899.06</v>
      </c>
      <c r="U186" s="125">
        <v>0</v>
      </c>
      <c r="V186" s="125">
        <v>0</v>
      </c>
      <c r="W186" s="192">
        <v>0</v>
      </c>
      <c r="X186" s="125">
        <f>ROUND(W186*Valores!$C$2,2)</f>
        <v>0</v>
      </c>
      <c r="Y186" s="125">
        <v>0</v>
      </c>
      <c r="Z186" s="125">
        <f>Valores!$C$96</f>
        <v>76227.32</v>
      </c>
      <c r="AA186" s="125">
        <f>Valores!$C$25</f>
        <v>1138.39</v>
      </c>
      <c r="AB186" s="214">
        <v>0</v>
      </c>
      <c r="AC186" s="125">
        <f t="shared" si="20"/>
        <v>0</v>
      </c>
      <c r="AD186" s="125">
        <f>Valores!$C$26</f>
        <v>1138.39</v>
      </c>
      <c r="AE186" s="192">
        <v>0</v>
      </c>
      <c r="AF186" s="125">
        <f>ROUND(AE186*Valores!$C$2,2)</f>
        <v>0</v>
      </c>
      <c r="AG186" s="125">
        <f>ROUND(IF($F$4="NO",Valores!$C$63,Valores!$C$63/2),2)</f>
        <v>13014.72</v>
      </c>
      <c r="AH186" s="125">
        <f t="shared" si="23"/>
        <v>407617.6</v>
      </c>
      <c r="AI186" s="125">
        <f>Valores!$C$31</f>
        <v>0</v>
      </c>
      <c r="AJ186" s="125">
        <f>Valores!$C$89</f>
        <v>0</v>
      </c>
      <c r="AK186" s="125">
        <f>Valores!C$38*B186</f>
        <v>0</v>
      </c>
      <c r="AL186" s="125">
        <v>0</v>
      </c>
      <c r="AM186" s="125">
        <f t="shared" si="21"/>
        <v>0</v>
      </c>
      <c r="AN186" s="125">
        <f>AH186*Valores!$C$71</f>
        <v>-44837.935999999994</v>
      </c>
      <c r="AO186" s="125">
        <f>AH186*-Valores!$C$72</f>
        <v>0</v>
      </c>
      <c r="AP186" s="125">
        <f>AH186*Valores!$C$73</f>
        <v>-18342.791999999998</v>
      </c>
      <c r="AQ186" s="125">
        <f>Valores!$C$100</f>
        <v>-554.86</v>
      </c>
      <c r="AR186" s="125">
        <f>IF($F$5=0,Valores!$C$101,(Valores!$C$101+$F$5*(Valores!$C$101)))</f>
        <v>-852</v>
      </c>
      <c r="AS186" s="125">
        <f t="shared" si="24"/>
        <v>343030.012</v>
      </c>
      <c r="AT186" s="125">
        <f t="shared" si="18"/>
        <v>-44837.935999999994</v>
      </c>
      <c r="AU186" s="125">
        <f>AH186*Valores!$C$74</f>
        <v>-11005.6752</v>
      </c>
      <c r="AV186" s="125">
        <f>AH186*Valores!$C$75</f>
        <v>-1222.8528</v>
      </c>
      <c r="AW186" s="125">
        <f t="shared" si="22"/>
        <v>350551.136</v>
      </c>
      <c r="AX186" s="126"/>
      <c r="AY186" s="126">
        <v>30</v>
      </c>
      <c r="AZ186" s="123" t="s">
        <v>8</v>
      </c>
    </row>
    <row r="187" spans="1:52" s="110" customFormat="1" ht="11.25" customHeight="1">
      <c r="A187" s="123" t="s">
        <v>462</v>
      </c>
      <c r="B187" s="123">
        <v>1</v>
      </c>
      <c r="C187" s="126">
        <v>180</v>
      </c>
      <c r="D187" s="124" t="s">
        <v>463</v>
      </c>
      <c r="E187" s="192">
        <v>1027</v>
      </c>
      <c r="F187" s="125">
        <f>ROUND(E187*Valores!$C$2,2)</f>
        <v>55920.15</v>
      </c>
      <c r="G187" s="192">
        <v>0</v>
      </c>
      <c r="H187" s="125">
        <f>ROUND(G187*Valores!$C$2,2)</f>
        <v>0</v>
      </c>
      <c r="I187" s="192">
        <v>0</v>
      </c>
      <c r="J187" s="125">
        <f>ROUND(I187*Valores!$C$2,2)</f>
        <v>0</v>
      </c>
      <c r="K187" s="192">
        <v>1200</v>
      </c>
      <c r="L187" s="125">
        <f>ROUND(K187*Valores!$C$2,2)</f>
        <v>65340</v>
      </c>
      <c r="M187" s="125">
        <f>ROUND(IF($H$2=0,IF(AND(A187&lt;&gt;"13-930",A187&lt;&gt;"13-940"),(SUM(F187,H187,J187,L187,X187,T187,R187)*Valores!$C$4),0),0),2)</f>
        <v>43997.79</v>
      </c>
      <c r="N187" s="125">
        <f t="shared" si="19"/>
        <v>0</v>
      </c>
      <c r="O187" s="125">
        <f>Valores!$C$16</f>
        <v>47048.8</v>
      </c>
      <c r="P187" s="125">
        <f>Valores!$D$5</f>
        <v>27834.84</v>
      </c>
      <c r="Q187" s="125">
        <v>0</v>
      </c>
      <c r="R187" s="125">
        <f>IF($F$4="NO",Valores!$C$47,Valores!$C$47/2)</f>
        <v>29096.75</v>
      </c>
      <c r="S187" s="125">
        <f>Valores!$C$20</f>
        <v>25634.272</v>
      </c>
      <c r="T187" s="125">
        <f t="shared" si="25"/>
        <v>25634.27</v>
      </c>
      <c r="U187" s="125">
        <v>0</v>
      </c>
      <c r="V187" s="125">
        <v>0</v>
      </c>
      <c r="W187" s="192">
        <v>0</v>
      </c>
      <c r="X187" s="125">
        <f>ROUND(W187*Valores!$C$2,2)</f>
        <v>0</v>
      </c>
      <c r="Y187" s="125">
        <v>0</v>
      </c>
      <c r="Z187" s="125">
        <f>Valores!$C$96</f>
        <v>76227.32</v>
      </c>
      <c r="AA187" s="125">
        <f>Valores!$C$25</f>
        <v>1138.39</v>
      </c>
      <c r="AB187" s="214">
        <v>0</v>
      </c>
      <c r="AC187" s="125">
        <f t="shared" si="20"/>
        <v>0</v>
      </c>
      <c r="AD187" s="125">
        <f>Valores!$C$26</f>
        <v>1138.39</v>
      </c>
      <c r="AE187" s="192">
        <v>0</v>
      </c>
      <c r="AF187" s="125">
        <f>ROUND(AE187*Valores!$C$2,2)</f>
        <v>0</v>
      </c>
      <c r="AG187" s="125">
        <f>ROUND(IF($F$4="NO",Valores!$C$63,Valores!$C$63/2),2)</f>
        <v>13014.72</v>
      </c>
      <c r="AH187" s="125">
        <f t="shared" si="23"/>
        <v>386391.42</v>
      </c>
      <c r="AI187" s="125">
        <f>Valores!$C$31</f>
        <v>0</v>
      </c>
      <c r="AJ187" s="125">
        <f>Valores!$C$89</f>
        <v>0</v>
      </c>
      <c r="AK187" s="125">
        <f>Valores!C$38*B187</f>
        <v>0</v>
      </c>
      <c r="AL187" s="125">
        <v>0</v>
      </c>
      <c r="AM187" s="125">
        <f t="shared" si="21"/>
        <v>0</v>
      </c>
      <c r="AN187" s="125">
        <f>AH187*Valores!$C$71</f>
        <v>-42503.0562</v>
      </c>
      <c r="AO187" s="125">
        <f>AH187*-Valores!$C$72</f>
        <v>0</v>
      </c>
      <c r="AP187" s="125">
        <f>AH187*Valores!$C$73</f>
        <v>-17387.6139</v>
      </c>
      <c r="AQ187" s="125">
        <f>Valores!$C$100</f>
        <v>-554.86</v>
      </c>
      <c r="AR187" s="125">
        <f>IF($F$5=0,Valores!$C$101,(Valores!$C$101+$F$5*(Valores!$C$101)))</f>
        <v>-852</v>
      </c>
      <c r="AS187" s="125">
        <f t="shared" si="24"/>
        <v>325093.88989999995</v>
      </c>
      <c r="AT187" s="125">
        <f t="shared" si="18"/>
        <v>-42503.0562</v>
      </c>
      <c r="AU187" s="125">
        <f>AH187*Valores!$C$74</f>
        <v>-10432.56834</v>
      </c>
      <c r="AV187" s="125">
        <f>AH187*Valores!$C$75</f>
        <v>-1159.17426</v>
      </c>
      <c r="AW187" s="125">
        <f t="shared" si="22"/>
        <v>332296.6212</v>
      </c>
      <c r="AX187" s="126"/>
      <c r="AY187" s="126">
        <v>30</v>
      </c>
      <c r="AZ187" s="123" t="s">
        <v>8</v>
      </c>
    </row>
    <row r="188" spans="1:52" s="110" customFormat="1" ht="11.25" customHeight="1">
      <c r="A188" s="123" t="s">
        <v>464</v>
      </c>
      <c r="B188" s="123">
        <v>1</v>
      </c>
      <c r="C188" s="126">
        <v>181</v>
      </c>
      <c r="D188" s="124" t="s">
        <v>465</v>
      </c>
      <c r="E188" s="192">
        <v>1278</v>
      </c>
      <c r="F188" s="125">
        <f>ROUND(E188*Valores!$C$2,2)</f>
        <v>69587.1</v>
      </c>
      <c r="G188" s="192">
        <v>0</v>
      </c>
      <c r="H188" s="125">
        <f>ROUND(G188*Valores!$C$2,2)</f>
        <v>0</v>
      </c>
      <c r="I188" s="192">
        <v>0</v>
      </c>
      <c r="J188" s="125">
        <f>ROUND(I188*Valores!$C$2,2)</f>
        <v>0</v>
      </c>
      <c r="K188" s="192">
        <v>1200</v>
      </c>
      <c r="L188" s="125">
        <f>ROUND(K188*Valores!$C$2,2)</f>
        <v>65340</v>
      </c>
      <c r="M188" s="125">
        <f>ROUND(IF($H$2=0,IF(AND(A188&lt;&gt;"13-930",A188&lt;&gt;"13-940"),(SUM(F188,H188,J188,L188,X188,T188,R188)*Valores!$C$4),0),0),2)</f>
        <v>47480.73</v>
      </c>
      <c r="N188" s="125">
        <f t="shared" si="19"/>
        <v>0</v>
      </c>
      <c r="O188" s="125">
        <f>Valores!$C$16</f>
        <v>47048.8</v>
      </c>
      <c r="P188" s="125">
        <f>Valores!$D$5</f>
        <v>27834.84</v>
      </c>
      <c r="Q188" s="125">
        <f>Valores!$C$22</f>
        <v>24831.49</v>
      </c>
      <c r="R188" s="125">
        <f>IF($F$4="NO",Valores!$C$47,Valores!$C$47/2)</f>
        <v>29096.75</v>
      </c>
      <c r="S188" s="125">
        <f>Valores!$C$19</f>
        <v>25899.06</v>
      </c>
      <c r="T188" s="125">
        <f t="shared" si="25"/>
        <v>25899.06</v>
      </c>
      <c r="U188" s="125">
        <v>0</v>
      </c>
      <c r="V188" s="125">
        <v>0</v>
      </c>
      <c r="W188" s="192">
        <v>0</v>
      </c>
      <c r="X188" s="125">
        <f>ROUND(W188*Valores!$C$2,2)</f>
        <v>0</v>
      </c>
      <c r="Y188" s="125">
        <v>0</v>
      </c>
      <c r="Z188" s="125">
        <f>Valores!$C$96</f>
        <v>76227.32</v>
      </c>
      <c r="AA188" s="125">
        <f>Valores!$C$25</f>
        <v>1138.39</v>
      </c>
      <c r="AB188" s="214">
        <v>0</v>
      </c>
      <c r="AC188" s="125">
        <f t="shared" si="20"/>
        <v>0</v>
      </c>
      <c r="AD188" s="125">
        <f>Valores!$C$26</f>
        <v>1138.39</v>
      </c>
      <c r="AE188" s="192">
        <v>0</v>
      </c>
      <c r="AF188" s="125">
        <f>ROUND(AE188*Valores!$C$2,2)</f>
        <v>0</v>
      </c>
      <c r="AG188" s="125">
        <f>ROUND(IF($F$4="NO",Valores!$C$63,Valores!$C$63/2),2)</f>
        <v>13014.72</v>
      </c>
      <c r="AH188" s="125">
        <f t="shared" si="23"/>
        <v>428637.59</v>
      </c>
      <c r="AI188" s="125">
        <f>Valores!$C$31</f>
        <v>0</v>
      </c>
      <c r="AJ188" s="125">
        <f>Valores!$C$89</f>
        <v>0</v>
      </c>
      <c r="AK188" s="125">
        <f>Valores!C$38*B188</f>
        <v>0</v>
      </c>
      <c r="AL188" s="125">
        <f>IF($F$3="NO",0,Valores!$C$55)</f>
        <v>327.6</v>
      </c>
      <c r="AM188" s="125">
        <f t="shared" si="21"/>
        <v>327.6</v>
      </c>
      <c r="AN188" s="125">
        <f>AH188*Valores!$C$71</f>
        <v>-47150.134900000005</v>
      </c>
      <c r="AO188" s="125">
        <f>AH188*-Valores!$C$72</f>
        <v>0</v>
      </c>
      <c r="AP188" s="125">
        <f>AH188*Valores!$C$73</f>
        <v>-19288.69155</v>
      </c>
      <c r="AQ188" s="125">
        <f>Valores!$C$100</f>
        <v>-554.86</v>
      </c>
      <c r="AR188" s="125">
        <f>IF($F$5=0,Valores!$C$101,(Valores!$C$101+$F$5*(Valores!$C$101)))</f>
        <v>-852</v>
      </c>
      <c r="AS188" s="125">
        <f t="shared" si="24"/>
        <v>361119.50355</v>
      </c>
      <c r="AT188" s="125">
        <f t="shared" si="18"/>
        <v>-47150.134900000005</v>
      </c>
      <c r="AU188" s="125">
        <f>AH188*Valores!$C$74</f>
        <v>-11573.21493</v>
      </c>
      <c r="AV188" s="125">
        <f>AH188*Valores!$C$75</f>
        <v>-1285.9127700000001</v>
      </c>
      <c r="AW188" s="125">
        <f t="shared" si="22"/>
        <v>368955.9274</v>
      </c>
      <c r="AX188" s="126"/>
      <c r="AY188" s="126">
        <v>36</v>
      </c>
      <c r="AZ188" s="123" t="s">
        <v>4</v>
      </c>
    </row>
    <row r="189" spans="1:52" s="110" customFormat="1" ht="11.25" customHeight="1">
      <c r="A189" s="123" t="s">
        <v>466</v>
      </c>
      <c r="B189" s="123">
        <v>1</v>
      </c>
      <c r="C189" s="126">
        <v>182</v>
      </c>
      <c r="D189" s="124" t="s">
        <v>467</v>
      </c>
      <c r="E189" s="192">
        <v>1065</v>
      </c>
      <c r="F189" s="125">
        <f>ROUND(E189*Valores!$C$2,2)</f>
        <v>57989.25</v>
      </c>
      <c r="G189" s="192">
        <v>0</v>
      </c>
      <c r="H189" s="125">
        <f>ROUND(G189*Valores!$C$2,2)</f>
        <v>0</v>
      </c>
      <c r="I189" s="192">
        <v>0</v>
      </c>
      <c r="J189" s="125">
        <f>ROUND(I189*Valores!$C$2,2)</f>
        <v>0</v>
      </c>
      <c r="K189" s="192">
        <v>600</v>
      </c>
      <c r="L189" s="125">
        <f>ROUND(K189*Valores!$C$2,2)</f>
        <v>32670</v>
      </c>
      <c r="M189" s="125">
        <f>ROUND(IF($H$2=0,IF(AND(A189&lt;&gt;"13-930",A189&lt;&gt;"13-940"),(SUM(F189,H189,J189,L189,X189,T189,R189)*Valores!$C$4),0),0),2)</f>
        <v>36413.77</v>
      </c>
      <c r="N189" s="125">
        <f t="shared" si="19"/>
        <v>0</v>
      </c>
      <c r="O189" s="125">
        <f>Valores!$C$16</f>
        <v>47048.8</v>
      </c>
      <c r="P189" s="125">
        <f>Valores!$D$5</f>
        <v>27834.84</v>
      </c>
      <c r="Q189" s="125">
        <v>0</v>
      </c>
      <c r="R189" s="125">
        <f>IF($F$4="NO",Valores!$C$47,Valores!$C$47/2)</f>
        <v>29096.75</v>
      </c>
      <c r="S189" s="125">
        <f>Valores!$C$19</f>
        <v>25899.06</v>
      </c>
      <c r="T189" s="125">
        <f t="shared" si="25"/>
        <v>25899.06</v>
      </c>
      <c r="U189" s="125">
        <v>0</v>
      </c>
      <c r="V189" s="125">
        <v>0</v>
      </c>
      <c r="W189" s="192">
        <v>0</v>
      </c>
      <c r="X189" s="125">
        <f>ROUND(W189*Valores!$C$2,2)</f>
        <v>0</v>
      </c>
      <c r="Y189" s="125">
        <v>0</v>
      </c>
      <c r="Z189" s="125">
        <f>Valores!$C$96</f>
        <v>76227.32</v>
      </c>
      <c r="AA189" s="125">
        <f>Valores!$C$25</f>
        <v>1138.39</v>
      </c>
      <c r="AB189" s="214">
        <v>0</v>
      </c>
      <c r="AC189" s="125">
        <f t="shared" si="20"/>
        <v>0</v>
      </c>
      <c r="AD189" s="125">
        <f>Valores!$C$26</f>
        <v>1138.39</v>
      </c>
      <c r="AE189" s="192">
        <v>0</v>
      </c>
      <c r="AF189" s="125">
        <f>ROUND(AE189*Valores!$C$2,2)</f>
        <v>0</v>
      </c>
      <c r="AG189" s="125">
        <f>ROUND(IF($F$4="NO",Valores!$C$63,Valores!$C$63/2),2)</f>
        <v>13014.72</v>
      </c>
      <c r="AH189" s="125">
        <f t="shared" si="23"/>
        <v>348471.29000000004</v>
      </c>
      <c r="AI189" s="125">
        <f>Valores!$C$31</f>
        <v>0</v>
      </c>
      <c r="AJ189" s="125">
        <f>Valores!$C$89</f>
        <v>0</v>
      </c>
      <c r="AK189" s="125">
        <f>Valores!C$38*B189</f>
        <v>0</v>
      </c>
      <c r="AL189" s="125">
        <f>IF($F$3="NO",0,Valores!$C$55)</f>
        <v>327.6</v>
      </c>
      <c r="AM189" s="125">
        <f t="shared" si="21"/>
        <v>327.6</v>
      </c>
      <c r="AN189" s="125">
        <f>AH189*Valores!$C$71</f>
        <v>-38331.84190000001</v>
      </c>
      <c r="AO189" s="125">
        <f>AH189*-Valores!$C$72</f>
        <v>0</v>
      </c>
      <c r="AP189" s="125">
        <f>AH189*Valores!$C$73</f>
        <v>-15681.208050000001</v>
      </c>
      <c r="AQ189" s="125">
        <f>Valores!$C$100</f>
        <v>-554.86</v>
      </c>
      <c r="AR189" s="125">
        <f>IF($F$5=0,Valores!$C$101,(Valores!$C$101+$F$5*(Valores!$C$101)))</f>
        <v>-852</v>
      </c>
      <c r="AS189" s="125">
        <f t="shared" si="24"/>
        <v>293378.98005</v>
      </c>
      <c r="AT189" s="125">
        <f t="shared" si="18"/>
        <v>-38331.84190000001</v>
      </c>
      <c r="AU189" s="125">
        <f>AH189*Valores!$C$74</f>
        <v>-9408.724830000001</v>
      </c>
      <c r="AV189" s="125">
        <f>AH189*Valores!$C$75</f>
        <v>-1045.41387</v>
      </c>
      <c r="AW189" s="125">
        <f t="shared" si="22"/>
        <v>300012.9094</v>
      </c>
      <c r="AX189" s="126"/>
      <c r="AY189" s="126"/>
      <c r="AZ189" s="123" t="s">
        <v>4</v>
      </c>
    </row>
    <row r="190" spans="1:52" s="110" customFormat="1" ht="12" customHeight="1">
      <c r="A190" s="123" t="s">
        <v>468</v>
      </c>
      <c r="B190" s="123">
        <v>1</v>
      </c>
      <c r="C190" s="126">
        <v>183</v>
      </c>
      <c r="D190" s="124" t="s">
        <v>469</v>
      </c>
      <c r="E190" s="192">
        <v>971</v>
      </c>
      <c r="F190" s="125">
        <f>ROUND(E190*Valores!$C$2,2)</f>
        <v>52870.95</v>
      </c>
      <c r="G190" s="192">
        <v>0</v>
      </c>
      <c r="H190" s="125">
        <f>ROUND(G190*Valores!$C$2,2)</f>
        <v>0</v>
      </c>
      <c r="I190" s="192">
        <v>0</v>
      </c>
      <c r="J190" s="125">
        <f>ROUND(I190*Valores!$C$2,2)</f>
        <v>0</v>
      </c>
      <c r="K190" s="192">
        <v>660</v>
      </c>
      <c r="L190" s="125">
        <f>ROUND(K190*Valores!$C$2,2)</f>
        <v>35937</v>
      </c>
      <c r="M190" s="125">
        <f>ROUND(IF($H$2=0,IF(AND(A190&lt;&gt;"13-930",A190&lt;&gt;"13-940"),(SUM(F190,H190,J190,L190,X190,T190,R190)*Valores!$C$4),0),0),2)</f>
        <v>33510.59</v>
      </c>
      <c r="N190" s="125">
        <f t="shared" si="19"/>
        <v>0</v>
      </c>
      <c r="O190" s="125">
        <f>Valores!$C$16</f>
        <v>47048.8</v>
      </c>
      <c r="P190" s="125">
        <f>Valores!$D$5</f>
        <v>27834.84</v>
      </c>
      <c r="Q190" s="125">
        <f>Valores!$C$23</f>
        <v>23111.51</v>
      </c>
      <c r="R190" s="125">
        <f>IF($F$4="NO",Valores!$C$44,Valores!$C$44/2)</f>
        <v>19335.33</v>
      </c>
      <c r="S190" s="125">
        <f>Valores!$C$19</f>
        <v>25899.06</v>
      </c>
      <c r="T190" s="125">
        <f t="shared" si="25"/>
        <v>25899.06</v>
      </c>
      <c r="U190" s="125">
        <v>0</v>
      </c>
      <c r="V190" s="125">
        <v>0</v>
      </c>
      <c r="W190" s="192">
        <v>0</v>
      </c>
      <c r="X190" s="125">
        <f>ROUND(W190*Valores!$C$2,2)</f>
        <v>0</v>
      </c>
      <c r="Y190" s="125">
        <v>0</v>
      </c>
      <c r="Z190" s="125">
        <f>Valores!$C$94</f>
        <v>38113.67</v>
      </c>
      <c r="AA190" s="125">
        <f>Valores!$C$25</f>
        <v>1138.39</v>
      </c>
      <c r="AB190" s="214">
        <v>0</v>
      </c>
      <c r="AC190" s="125">
        <f t="shared" si="20"/>
        <v>0</v>
      </c>
      <c r="AD190" s="125">
        <f>Valores!$C$26</f>
        <v>1138.39</v>
      </c>
      <c r="AE190" s="192">
        <v>0</v>
      </c>
      <c r="AF190" s="125">
        <f>ROUND(AE190*Valores!$C$2,2)</f>
        <v>0</v>
      </c>
      <c r="AG190" s="125">
        <f>ROUND(IF($F$4="NO",Valores!$C$63,Valores!$C$63/2),2)</f>
        <v>13014.72</v>
      </c>
      <c r="AH190" s="125">
        <f t="shared" si="23"/>
        <v>318953.25</v>
      </c>
      <c r="AI190" s="125">
        <f>Valores!$C$31</f>
        <v>0</v>
      </c>
      <c r="AJ190" s="125">
        <f>Valores!$C$87</f>
        <v>0</v>
      </c>
      <c r="AK190" s="125">
        <f>Valores!C$38*B190</f>
        <v>0</v>
      </c>
      <c r="AL190" s="125">
        <v>0</v>
      </c>
      <c r="AM190" s="125">
        <f t="shared" si="21"/>
        <v>0</v>
      </c>
      <c r="AN190" s="125">
        <f>AH190*Valores!$C$71</f>
        <v>-35084.8575</v>
      </c>
      <c r="AO190" s="125">
        <f>AH190*-Valores!$C$72</f>
        <v>0</v>
      </c>
      <c r="AP190" s="125">
        <f>AH190*Valores!$C$73</f>
        <v>-14352.89625</v>
      </c>
      <c r="AQ190" s="125">
        <f>Valores!$C$100</f>
        <v>-554.86</v>
      </c>
      <c r="AR190" s="125">
        <f>IF($F$5=0,Valores!$C$101,(Valores!$C$101+$F$5*(Valores!$C$101)))</f>
        <v>-852</v>
      </c>
      <c r="AS190" s="125">
        <f t="shared" si="24"/>
        <v>268108.63625</v>
      </c>
      <c r="AT190" s="125">
        <f t="shared" si="18"/>
        <v>-35084.8575</v>
      </c>
      <c r="AU190" s="125">
        <f>AH190*Valores!$C$74</f>
        <v>-8611.73775</v>
      </c>
      <c r="AV190" s="125">
        <f>AH190*Valores!$C$75</f>
        <v>-956.8597500000001</v>
      </c>
      <c r="AW190" s="125">
        <f t="shared" si="22"/>
        <v>274299.795</v>
      </c>
      <c r="AX190" s="126"/>
      <c r="AY190" s="126">
        <v>18</v>
      </c>
      <c r="AZ190" s="123" t="s">
        <v>4</v>
      </c>
    </row>
    <row r="191" spans="1:52" s="110" customFormat="1" ht="11.25" customHeight="1">
      <c r="A191" s="123" t="s">
        <v>470</v>
      </c>
      <c r="B191" s="123">
        <v>1</v>
      </c>
      <c r="C191" s="126">
        <v>184</v>
      </c>
      <c r="D191" s="124" t="str">
        <f aca="true" t="shared" si="26" ref="D191:D226">CONCATENATE("Hora Cátedra Enseñanza Superior ",B191," hs")</f>
        <v>Hora Cátedra Enseñanza Superior 1 hs</v>
      </c>
      <c r="E191" s="192">
        <f aca="true" t="shared" si="27" ref="E191:E226">99*B191</f>
        <v>99</v>
      </c>
      <c r="F191" s="125">
        <f>ROUND(E191*Valores!$C$2,2)</f>
        <v>5390.55</v>
      </c>
      <c r="G191" s="192">
        <v>0</v>
      </c>
      <c r="H191" s="125">
        <f>ROUND(G191*Valores!$C$2,2)</f>
        <v>0</v>
      </c>
      <c r="I191" s="192">
        <v>0</v>
      </c>
      <c r="J191" s="125">
        <f>ROUND(I191*Valores!$C$2,2)</f>
        <v>0</v>
      </c>
      <c r="K191" s="192">
        <v>0</v>
      </c>
      <c r="L191" s="125">
        <f>ROUND(K191*Valores!$C$2,2)</f>
        <v>0</v>
      </c>
      <c r="M191" s="125">
        <f>ROUND(IF($H$2=0,IF(AND(A191&lt;&gt;"13-930",A191&lt;&gt;"13-940"),(SUM(F191,H191,J191,L191,X191,T191,R191)*Valores!$C$4),0),0),2)</f>
        <v>1735.97</v>
      </c>
      <c r="N191" s="125">
        <f t="shared" si="19"/>
        <v>0</v>
      </c>
      <c r="O191" s="125">
        <f>Valores!$C$7*B191</f>
        <v>1846.44</v>
      </c>
      <c r="P191" s="125">
        <f>ROUND(IF(B191&lt;15,(Valores!$E$5*B191),Valores!$D$5),2)</f>
        <v>1855.66</v>
      </c>
      <c r="Q191" s="125">
        <v>0</v>
      </c>
      <c r="R191" s="125">
        <f>IF($F$4="NO",IF(Valores!$C$49*B191&gt;Valores!$F$46,Valores!$F$46,Valores!$C$49*B191),IF(Valores!$C$49*B191&gt;Valores!$F$46,Valores!$F$46,Valores!$C$49*B191)/2)</f>
        <v>972.6</v>
      </c>
      <c r="S191" s="125">
        <f>Valores!$C$18*B191</f>
        <v>580.73</v>
      </c>
      <c r="T191" s="125">
        <f t="shared" si="25"/>
        <v>580.73</v>
      </c>
      <c r="U191" s="125">
        <v>0</v>
      </c>
      <c r="V191" s="125">
        <v>0</v>
      </c>
      <c r="W191" s="192">
        <v>0</v>
      </c>
      <c r="X191" s="125">
        <f>ROUND(W191*Valores!$C$2,2)</f>
        <v>0</v>
      </c>
      <c r="Y191" s="125">
        <v>0</v>
      </c>
      <c r="Z191" s="125">
        <f>IF(Valores!$C$97*B191&gt;Valores!$C$96,Valores!$C$96,Valores!$C$97*B191)</f>
        <v>1772.86</v>
      </c>
      <c r="AA191" s="125">
        <f>IF((Valores!$C$28)*B191&gt;Valores!$F$28,Valores!$F$28,(Valores!$C$28)*B191)</f>
        <v>45.62</v>
      </c>
      <c r="AB191" s="214">
        <v>0</v>
      </c>
      <c r="AC191" s="125">
        <f t="shared" si="20"/>
        <v>0</v>
      </c>
      <c r="AD191" s="125">
        <f>IF(Valores!$C$29*B191&gt;Valores!$F$29,Valores!$F$29,Valores!$C$29*B191)</f>
        <v>37.99</v>
      </c>
      <c r="AE191" s="192">
        <v>0</v>
      </c>
      <c r="AF191" s="125">
        <f>ROUND(AE191*Valores!$C$2,2)</f>
        <v>0</v>
      </c>
      <c r="AG191" s="125">
        <f>IF($F$4="NO",IF(Valores!$D$63*'Escala Docente'!B191&gt;Valores!$F$63,Valores!$F$63,Valores!$D$63*'Escala Docente'!B191),IF(Valores!$D$63*'Escala Docente'!B191&gt;Valores!$F$63,Valores!$F$63,Valores!$D$63*'Escala Docente'!B191)/2)</f>
        <v>867.65</v>
      </c>
      <c r="AH191" s="125">
        <f t="shared" si="23"/>
        <v>15106.070000000002</v>
      </c>
      <c r="AI191" s="125">
        <f>IF(Valores!$C$32*B191&gt;Valores!$F$32,Valores!$F$32,Valores!$C$32*B191)</f>
        <v>0</v>
      </c>
      <c r="AJ191" s="125">
        <f>IF(Valores!$C$90*B191&gt;Valores!$C$89,Valores!$C$89,Valores!$C$90*B191)</f>
        <v>0</v>
      </c>
      <c r="AK191" s="125">
        <f>IF(Valores!C$39*B191&gt;Valores!F$38,Valores!F$38,Valores!C$39*B191)</f>
        <v>0</v>
      </c>
      <c r="AL191" s="125">
        <f>IF($F$3="NO",0,IF(Valores!$C$61*B191&gt;Valores!$F$61,Valores!$F$61,Valores!$C$61*B191))</f>
        <v>14.195</v>
      </c>
      <c r="AM191" s="125">
        <f t="shared" si="21"/>
        <v>14.195</v>
      </c>
      <c r="AN191" s="125">
        <f>AH191*Valores!$C$71</f>
        <v>-1661.6677000000002</v>
      </c>
      <c r="AO191" s="125">
        <f>AH191*-Valores!$C$72</f>
        <v>0</v>
      </c>
      <c r="AP191" s="125">
        <f>AH191*Valores!$C$73</f>
        <v>-679.77315</v>
      </c>
      <c r="AQ191" s="125">
        <f>Valores!$C$100</f>
        <v>-554.86</v>
      </c>
      <c r="AR191" s="125">
        <f>IF($F$5=0,Valores!$C$101,(Valores!$C$101+$F$5*(Valores!$C$101)))</f>
        <v>-852</v>
      </c>
      <c r="AS191" s="125">
        <f t="shared" si="24"/>
        <v>11371.964150000002</v>
      </c>
      <c r="AT191" s="125">
        <f t="shared" si="18"/>
        <v>-1661.6677000000002</v>
      </c>
      <c r="AU191" s="125">
        <f>AH191*Valores!$C$74</f>
        <v>-407.86389</v>
      </c>
      <c r="AV191" s="125">
        <f>AH191*Valores!$C$75</f>
        <v>-45.31821000000001</v>
      </c>
      <c r="AW191" s="125">
        <f t="shared" si="22"/>
        <v>13005.415200000001</v>
      </c>
      <c r="AX191" s="126"/>
      <c r="AY191" s="126">
        <f aca="true" t="shared" si="28" ref="AY191:AY222">1*B191</f>
        <v>1</v>
      </c>
      <c r="AZ191" s="123" t="s">
        <v>4</v>
      </c>
    </row>
    <row r="192" spans="1:52" s="110" customFormat="1" ht="11.25" customHeight="1">
      <c r="A192" s="123" t="s">
        <v>470</v>
      </c>
      <c r="B192" s="123">
        <v>2</v>
      </c>
      <c r="C192" s="126">
        <v>185</v>
      </c>
      <c r="D192" s="124" t="str">
        <f t="shared" si="26"/>
        <v>Hora Cátedra Enseñanza Superior 2 hs</v>
      </c>
      <c r="E192" s="192">
        <f t="shared" si="27"/>
        <v>198</v>
      </c>
      <c r="F192" s="125">
        <f>ROUND(E192*Valores!$C$2,2)</f>
        <v>10781.1</v>
      </c>
      <c r="G192" s="192">
        <v>0</v>
      </c>
      <c r="H192" s="125">
        <f>ROUND(G192*Valores!$C$2,2)</f>
        <v>0</v>
      </c>
      <c r="I192" s="192">
        <v>0</v>
      </c>
      <c r="J192" s="125">
        <f>ROUND(I192*Valores!$C$2,2)</f>
        <v>0</v>
      </c>
      <c r="K192" s="192">
        <v>0</v>
      </c>
      <c r="L192" s="125">
        <f>ROUND(K192*Valores!$C$2,2)</f>
        <v>0</v>
      </c>
      <c r="M192" s="125">
        <f>ROUND(IF($H$2=0,IF(AND(A192&lt;&gt;"13-930",A192&lt;&gt;"13-940"),(SUM(F192,H192,J192,L192,X192,T192,R192)*Valores!$C$4),0),0),2)</f>
        <v>3471.94</v>
      </c>
      <c r="N192" s="125">
        <f t="shared" si="19"/>
        <v>0</v>
      </c>
      <c r="O192" s="125">
        <f>Valores!$C$7*B192</f>
        <v>3692.88</v>
      </c>
      <c r="P192" s="125">
        <f>ROUND(IF(B192&lt;15,(Valores!$E$5*B192),Valores!$D$5),2)</f>
        <v>3711.32</v>
      </c>
      <c r="Q192" s="125">
        <v>0</v>
      </c>
      <c r="R192" s="125">
        <f>IF($F$4="NO",IF(Valores!$C$49*B192&gt;Valores!$F$46,Valores!$F$46,Valores!$C$49*B192),IF(Valores!$C$49*B192&gt;Valores!$F$46,Valores!$F$46,Valores!$C$49*B192)/2)</f>
        <v>1945.2</v>
      </c>
      <c r="S192" s="125">
        <f>Valores!$C$18*B192</f>
        <v>1161.46</v>
      </c>
      <c r="T192" s="125">
        <f t="shared" si="25"/>
        <v>1161.46</v>
      </c>
      <c r="U192" s="125">
        <v>0</v>
      </c>
      <c r="V192" s="125">
        <v>0</v>
      </c>
      <c r="W192" s="192">
        <v>0</v>
      </c>
      <c r="X192" s="125">
        <f>ROUND(W192*Valores!$C$2,2)</f>
        <v>0</v>
      </c>
      <c r="Y192" s="125">
        <v>0</v>
      </c>
      <c r="Z192" s="125">
        <f>IF(Valores!$C$97*B192&gt;Valores!$C$96,Valores!$C$96,Valores!$C$97*B192)</f>
        <v>3545.72</v>
      </c>
      <c r="AA192" s="125">
        <f>IF((Valores!$C$28)*B192&gt;Valores!$F$28,Valores!$F$28,(Valores!$C$28)*B192)</f>
        <v>91.24</v>
      </c>
      <c r="AB192" s="214">
        <v>0</v>
      </c>
      <c r="AC192" s="125">
        <f t="shared" si="20"/>
        <v>0</v>
      </c>
      <c r="AD192" s="125">
        <f>IF(Valores!$C$29*B192&gt;Valores!$F$29,Valores!$F$29,Valores!$C$29*B192)</f>
        <v>75.98</v>
      </c>
      <c r="AE192" s="192">
        <v>0</v>
      </c>
      <c r="AF192" s="125">
        <f>ROUND(AE192*Valores!$C$2,2)</f>
        <v>0</v>
      </c>
      <c r="AG192" s="125">
        <f>IF($F$4="NO",IF(Valores!$D$63*'Escala Docente'!B192&gt;Valores!$F$63,Valores!$F$63,Valores!$D$63*'Escala Docente'!B192),IF(Valores!$D$63*'Escala Docente'!B192&gt;Valores!$F$63,Valores!$F$63,Valores!$D$63*'Escala Docente'!B192)/2)</f>
        <v>1735.3</v>
      </c>
      <c r="AH192" s="125">
        <f t="shared" si="23"/>
        <v>30212.140000000003</v>
      </c>
      <c r="AI192" s="125">
        <f>IF(Valores!$C$32*B192&gt;Valores!$F$32,Valores!$F$32,Valores!$C$32*B192)</f>
        <v>0</v>
      </c>
      <c r="AJ192" s="125">
        <f>IF(Valores!$C$90*B192&gt;Valores!$C$89,Valores!$C$89,Valores!$C$90*B192)</f>
        <v>0</v>
      </c>
      <c r="AK192" s="125">
        <f>IF(Valores!C$39*B192&gt;Valores!F$38,Valores!F$38,Valores!C$39*B192)</f>
        <v>0</v>
      </c>
      <c r="AL192" s="125">
        <f>IF($F$3="NO",0,IF(Valores!$C$61*B192&gt;Valores!$F$61,Valores!$F$61,Valores!$C$61*B192))</f>
        <v>28.39</v>
      </c>
      <c r="AM192" s="125">
        <f t="shared" si="21"/>
        <v>28.39</v>
      </c>
      <c r="AN192" s="125">
        <f>AH192*Valores!$C$71</f>
        <v>-3323.3354000000004</v>
      </c>
      <c r="AO192" s="125">
        <f>AH192*-Valores!$C$72</f>
        <v>0</v>
      </c>
      <c r="AP192" s="125">
        <f>AH192*Valores!$C$73</f>
        <v>-1359.5463</v>
      </c>
      <c r="AQ192" s="125">
        <f>Valores!$C$100</f>
        <v>-554.86</v>
      </c>
      <c r="AR192" s="125">
        <f>IF($F$5=0,Valores!$C$101,(Valores!$C$101+$F$5*(Valores!$C$101)))</f>
        <v>-852</v>
      </c>
      <c r="AS192" s="125">
        <f t="shared" si="24"/>
        <v>24150.788300000004</v>
      </c>
      <c r="AT192" s="125">
        <f t="shared" si="18"/>
        <v>-3323.3354000000004</v>
      </c>
      <c r="AU192" s="125">
        <f>AH192*Valores!$C$74</f>
        <v>-815.72778</v>
      </c>
      <c r="AV192" s="125">
        <f>AH192*Valores!$C$75</f>
        <v>-90.63642000000002</v>
      </c>
      <c r="AW192" s="125">
        <f t="shared" si="22"/>
        <v>26010.830400000003</v>
      </c>
      <c r="AX192" s="126"/>
      <c r="AY192" s="126">
        <f t="shared" si="28"/>
        <v>2</v>
      </c>
      <c r="AZ192" s="123" t="s">
        <v>4</v>
      </c>
    </row>
    <row r="193" spans="1:52" s="110" customFormat="1" ht="11.25" customHeight="1">
      <c r="A193" s="123" t="s">
        <v>470</v>
      </c>
      <c r="B193" s="123">
        <v>3</v>
      </c>
      <c r="C193" s="126">
        <v>186</v>
      </c>
      <c r="D193" s="124" t="str">
        <f t="shared" si="26"/>
        <v>Hora Cátedra Enseñanza Superior 3 hs</v>
      </c>
      <c r="E193" s="192">
        <f t="shared" si="27"/>
        <v>297</v>
      </c>
      <c r="F193" s="125">
        <f>ROUND(E193*Valores!$C$2,2)</f>
        <v>16171.65</v>
      </c>
      <c r="G193" s="192">
        <v>0</v>
      </c>
      <c r="H193" s="125">
        <f>ROUND(G193*Valores!$C$2,2)</f>
        <v>0</v>
      </c>
      <c r="I193" s="192">
        <v>0</v>
      </c>
      <c r="J193" s="125">
        <f>ROUND(I193*Valores!$C$2,2)</f>
        <v>0</v>
      </c>
      <c r="K193" s="192">
        <v>0</v>
      </c>
      <c r="L193" s="125">
        <f>ROUND(K193*Valores!$C$2,2)</f>
        <v>0</v>
      </c>
      <c r="M193" s="125">
        <f>ROUND(IF($H$2=0,IF(AND(A193&lt;&gt;"13-930",A193&lt;&gt;"13-940"),(SUM(F193,H193,J193,L193,X193,T193,R193)*Valores!$C$4),0),0),2)</f>
        <v>5207.91</v>
      </c>
      <c r="N193" s="125">
        <f t="shared" si="19"/>
        <v>0</v>
      </c>
      <c r="O193" s="125">
        <f>Valores!$C$7*B193</f>
        <v>5539.32</v>
      </c>
      <c r="P193" s="125">
        <f>ROUND(IF(B193&lt;15,(Valores!$E$5*B193),Valores!$D$5),2)</f>
        <v>5566.98</v>
      </c>
      <c r="Q193" s="125">
        <v>0</v>
      </c>
      <c r="R193" s="125">
        <f>IF($F$4="NO",IF(Valores!$C$49*B193&gt;Valores!$F$46,Valores!$F$46,Valores!$C$49*B193),IF(Valores!$C$49*B193&gt;Valores!$F$46,Valores!$F$46,Valores!$C$49*B193)/2)</f>
        <v>2917.8</v>
      </c>
      <c r="S193" s="125">
        <f>Valores!$C$18*B193</f>
        <v>1742.19</v>
      </c>
      <c r="T193" s="125">
        <f t="shared" si="25"/>
        <v>1742.19</v>
      </c>
      <c r="U193" s="125">
        <v>0</v>
      </c>
      <c r="V193" s="125">
        <v>0</v>
      </c>
      <c r="W193" s="192">
        <v>0</v>
      </c>
      <c r="X193" s="125">
        <f>ROUND(W193*Valores!$C$2,2)</f>
        <v>0</v>
      </c>
      <c r="Y193" s="125">
        <v>0</v>
      </c>
      <c r="Z193" s="125">
        <f>IF(Valores!$C$97*B193&gt;Valores!$C$96,Valores!$C$96,Valores!$C$97*B193)</f>
        <v>5318.58</v>
      </c>
      <c r="AA193" s="125">
        <f>IF((Valores!$C$28)*B193&gt;Valores!$F$28,Valores!$F$28,(Valores!$C$28)*B193)</f>
        <v>136.85999999999999</v>
      </c>
      <c r="AB193" s="214">
        <v>0</v>
      </c>
      <c r="AC193" s="125">
        <f t="shared" si="20"/>
        <v>0</v>
      </c>
      <c r="AD193" s="125">
        <f>IF(Valores!$C$29*B193&gt;Valores!$F$29,Valores!$F$29,Valores!$C$29*B193)</f>
        <v>113.97</v>
      </c>
      <c r="AE193" s="192">
        <v>0</v>
      </c>
      <c r="AF193" s="125">
        <f>ROUND(AE193*Valores!$C$2,2)</f>
        <v>0</v>
      </c>
      <c r="AG193" s="125">
        <f>IF($F$4="NO",IF(Valores!$D$63*'Escala Docente'!B193&gt;Valores!$F$63,Valores!$F$63,Valores!$D$63*'Escala Docente'!B193),IF(Valores!$D$63*'Escala Docente'!B193&gt;Valores!$F$63,Valores!$F$63,Valores!$D$63*'Escala Docente'!B193)/2)-0.01</f>
        <v>2602.9399999999996</v>
      </c>
      <c r="AH193" s="125">
        <f t="shared" si="23"/>
        <v>45318.200000000004</v>
      </c>
      <c r="AI193" s="125">
        <f>IF(Valores!$C$32*B193&gt;Valores!$F$32,Valores!$F$32,Valores!$C$32*B193)</f>
        <v>0</v>
      </c>
      <c r="AJ193" s="125">
        <f>IF(Valores!$C$90*B193&gt;Valores!$C$89,Valores!$C$89,Valores!$C$90*B193)</f>
        <v>0</v>
      </c>
      <c r="AK193" s="125">
        <f>IF(Valores!C$39*B193&gt;Valores!F$38,Valores!F$38,Valores!C$39*B193)</f>
        <v>0</v>
      </c>
      <c r="AL193" s="125">
        <f>IF($F$3="NO",0,IF(Valores!$C$61*B193&gt;Valores!$F$61,Valores!$F$61,Valores!$C$61*B193))</f>
        <v>42.585</v>
      </c>
      <c r="AM193" s="125">
        <f t="shared" si="21"/>
        <v>42.585</v>
      </c>
      <c r="AN193" s="125">
        <f>AH193*Valores!$C$71</f>
        <v>-4985.002</v>
      </c>
      <c r="AO193" s="125">
        <f>AH193*-Valores!$C$72</f>
        <v>0</v>
      </c>
      <c r="AP193" s="125">
        <f>AH193*Valores!$C$73</f>
        <v>-2039.3190000000002</v>
      </c>
      <c r="AQ193" s="125">
        <f>Valores!$C$100</f>
        <v>-554.86</v>
      </c>
      <c r="AR193" s="125">
        <f>IF($F$5=0,Valores!$C$101,(Valores!$C$101+$F$5*(Valores!$C$101)))</f>
        <v>-852</v>
      </c>
      <c r="AS193" s="125">
        <f t="shared" si="24"/>
        <v>36929.60400000001</v>
      </c>
      <c r="AT193" s="125">
        <f t="shared" si="18"/>
        <v>-4985.002</v>
      </c>
      <c r="AU193" s="125">
        <f>AH193*Valores!$C$74</f>
        <v>-1223.5914</v>
      </c>
      <c r="AV193" s="125">
        <f>AH193*Valores!$C$75</f>
        <v>-135.95460000000003</v>
      </c>
      <c r="AW193" s="125">
        <f t="shared" si="22"/>
        <v>39016.237</v>
      </c>
      <c r="AX193" s="126"/>
      <c r="AY193" s="126">
        <f t="shared" si="28"/>
        <v>3</v>
      </c>
      <c r="AZ193" s="123" t="s">
        <v>4</v>
      </c>
    </row>
    <row r="194" spans="1:52" s="110" customFormat="1" ht="11.25" customHeight="1">
      <c r="A194" s="123" t="s">
        <v>470</v>
      </c>
      <c r="B194" s="123">
        <v>4</v>
      </c>
      <c r="C194" s="126">
        <v>187</v>
      </c>
      <c r="D194" s="124" t="str">
        <f t="shared" si="26"/>
        <v>Hora Cátedra Enseñanza Superior 4 hs</v>
      </c>
      <c r="E194" s="192">
        <f t="shared" si="27"/>
        <v>396</v>
      </c>
      <c r="F194" s="125">
        <f>ROUND(E194*Valores!$C$2,2)</f>
        <v>21562.2</v>
      </c>
      <c r="G194" s="192">
        <v>0</v>
      </c>
      <c r="H194" s="125">
        <f>ROUND(G194*Valores!$C$2,2)</f>
        <v>0</v>
      </c>
      <c r="I194" s="192">
        <v>0</v>
      </c>
      <c r="J194" s="125">
        <f>ROUND(I194*Valores!$C$2,2)</f>
        <v>0</v>
      </c>
      <c r="K194" s="192">
        <v>0</v>
      </c>
      <c r="L194" s="125">
        <f>ROUND(K194*Valores!$C$2,2)</f>
        <v>0</v>
      </c>
      <c r="M194" s="125">
        <f>ROUND(IF($H$2=0,IF(AND(A194&lt;&gt;"13-930",A194&lt;&gt;"13-940"),(SUM(F194,H194,J194,L194,X194,T194,R194)*Valores!$C$4),0),0),2)</f>
        <v>6943.88</v>
      </c>
      <c r="N194" s="125">
        <f t="shared" si="19"/>
        <v>0</v>
      </c>
      <c r="O194" s="125">
        <f>Valores!$C$7*B194</f>
        <v>7385.76</v>
      </c>
      <c r="P194" s="125">
        <f>ROUND(IF(B194&lt;15,(Valores!$E$5*B194),Valores!$D$5),2)</f>
        <v>7422.64</v>
      </c>
      <c r="Q194" s="125">
        <v>0</v>
      </c>
      <c r="R194" s="125">
        <f>IF($F$4="NO",IF(Valores!$C$49*B194&gt;Valores!$F$46,Valores!$F$46,Valores!$C$49*B194),IF(Valores!$C$49*B194&gt;Valores!$F$46,Valores!$F$46,Valores!$C$49*B194)/2)</f>
        <v>3890.4</v>
      </c>
      <c r="S194" s="125">
        <f>Valores!$C$18*B194</f>
        <v>2322.92</v>
      </c>
      <c r="T194" s="125">
        <f t="shared" si="25"/>
        <v>2322.92</v>
      </c>
      <c r="U194" s="125">
        <v>0</v>
      </c>
      <c r="V194" s="125">
        <v>0</v>
      </c>
      <c r="W194" s="192">
        <v>0</v>
      </c>
      <c r="X194" s="125">
        <f>ROUND(W194*Valores!$C$2,2)</f>
        <v>0</v>
      </c>
      <c r="Y194" s="125">
        <v>0</v>
      </c>
      <c r="Z194" s="125">
        <f>IF(Valores!$C$97*B194&gt;Valores!$C$96,Valores!$C$96,Valores!$C$97*B194)</f>
        <v>7091.44</v>
      </c>
      <c r="AA194" s="125">
        <f>IF((Valores!$C$28)*B194&gt;Valores!$F$28,Valores!$F$28,(Valores!$C$28)*B194)</f>
        <v>182.48</v>
      </c>
      <c r="AB194" s="214">
        <v>0</v>
      </c>
      <c r="AC194" s="125">
        <f t="shared" si="20"/>
        <v>0</v>
      </c>
      <c r="AD194" s="125">
        <f>IF(Valores!$C$29*B194&gt;Valores!$F$29,Valores!$F$29,Valores!$C$29*B194)</f>
        <v>151.96</v>
      </c>
      <c r="AE194" s="192">
        <v>0</v>
      </c>
      <c r="AF194" s="125">
        <f>ROUND(AE194*Valores!$C$2,2)</f>
        <v>0</v>
      </c>
      <c r="AG194" s="125">
        <f>IF($F$4="NO",IF(Valores!$D$63*'Escala Docente'!B194&gt;Valores!$F$63,Valores!$F$63,Valores!$D$63*'Escala Docente'!B194),IF(Valores!$D$63*'Escala Docente'!B194&gt;Valores!$F$63,Valores!$F$63,Valores!$D$63*'Escala Docente'!B194)/2)-0.01</f>
        <v>3470.5899999999997</v>
      </c>
      <c r="AH194" s="125">
        <f t="shared" si="23"/>
        <v>60424.270000000004</v>
      </c>
      <c r="AI194" s="125">
        <f>IF(Valores!$C$32*B194&gt;Valores!$F$32,Valores!$F$32,Valores!$C$32*B194)</f>
        <v>0</v>
      </c>
      <c r="AJ194" s="125">
        <f>IF(Valores!$C$90*B194&gt;Valores!$C$89,Valores!$C$89,Valores!$C$90*B194)</f>
        <v>0</v>
      </c>
      <c r="AK194" s="125">
        <f>IF(Valores!C$39*B194&gt;Valores!F$38,Valores!F$38,Valores!C$39*B194)</f>
        <v>0</v>
      </c>
      <c r="AL194" s="125">
        <f>IF($F$3="NO",0,IF(Valores!$C$61*B194&gt;Valores!$F$61,Valores!$F$61,Valores!$C$61*B194))</f>
        <v>56.78</v>
      </c>
      <c r="AM194" s="125">
        <f t="shared" si="21"/>
        <v>56.78</v>
      </c>
      <c r="AN194" s="125">
        <f>AH194*Valores!$C$71</f>
        <v>-6646.6697</v>
      </c>
      <c r="AO194" s="125">
        <f>AH194*-Valores!$C$72</f>
        <v>0</v>
      </c>
      <c r="AP194" s="125">
        <f>AH194*Valores!$C$73</f>
        <v>-2719.09215</v>
      </c>
      <c r="AQ194" s="125">
        <f>Valores!$C$100</f>
        <v>-554.86</v>
      </c>
      <c r="AR194" s="125">
        <f>IF($F$5=0,Valores!$C$101,(Valores!$C$101+$F$5*(Valores!$C$101)))</f>
        <v>-852</v>
      </c>
      <c r="AS194" s="125">
        <f t="shared" si="24"/>
        <v>49708.42815000001</v>
      </c>
      <c r="AT194" s="125">
        <f t="shared" si="18"/>
        <v>-6646.6697</v>
      </c>
      <c r="AU194" s="125">
        <f>AH194*Valores!$C$74</f>
        <v>-1631.45529</v>
      </c>
      <c r="AV194" s="125">
        <f>AH194*Valores!$C$75</f>
        <v>-181.27281000000002</v>
      </c>
      <c r="AW194" s="125">
        <f t="shared" si="22"/>
        <v>52021.652200000004</v>
      </c>
      <c r="AX194" s="126"/>
      <c r="AY194" s="126">
        <f t="shared" si="28"/>
        <v>4</v>
      </c>
      <c r="AZ194" s="123" t="s">
        <v>4</v>
      </c>
    </row>
    <row r="195" spans="1:52" s="110" customFormat="1" ht="11.25" customHeight="1">
      <c r="A195" s="123" t="s">
        <v>470</v>
      </c>
      <c r="B195" s="123">
        <v>5</v>
      </c>
      <c r="C195" s="126">
        <v>188</v>
      </c>
      <c r="D195" s="124" t="str">
        <f t="shared" si="26"/>
        <v>Hora Cátedra Enseñanza Superior 5 hs</v>
      </c>
      <c r="E195" s="192">
        <f t="shared" si="27"/>
        <v>495</v>
      </c>
      <c r="F195" s="125">
        <f>ROUND(E195*Valores!$C$2,2)</f>
        <v>26952.75</v>
      </c>
      <c r="G195" s="192">
        <v>0</v>
      </c>
      <c r="H195" s="125">
        <f>ROUND(G195*Valores!$C$2,2)</f>
        <v>0</v>
      </c>
      <c r="I195" s="192">
        <v>0</v>
      </c>
      <c r="J195" s="125">
        <f>ROUND(I195*Valores!$C$2,2)</f>
        <v>0</v>
      </c>
      <c r="K195" s="192">
        <v>0</v>
      </c>
      <c r="L195" s="125">
        <f>ROUND(K195*Valores!$C$2,2)</f>
        <v>0</v>
      </c>
      <c r="M195" s="125">
        <f>ROUND(IF($H$2=0,IF(AND(A195&lt;&gt;"13-930",A195&lt;&gt;"13-940"),(SUM(F195,H195,J195,L195,X195,T195,R195)*Valores!$C$4),0),0),2)</f>
        <v>8679.85</v>
      </c>
      <c r="N195" s="125">
        <f t="shared" si="19"/>
        <v>0</v>
      </c>
      <c r="O195" s="125">
        <f>Valores!$C$7*B195</f>
        <v>9232.2</v>
      </c>
      <c r="P195" s="125">
        <f>ROUND(IF(B195&lt;15,(Valores!$E$5*B195),Valores!$D$5),2)</f>
        <v>9278.3</v>
      </c>
      <c r="Q195" s="125">
        <v>0</v>
      </c>
      <c r="R195" s="125">
        <f>IF($F$4="NO",IF(Valores!$C$49*B195&gt;Valores!$F$46,Valores!$F$46,Valores!$C$49*B195),IF(Valores!$C$49*B195&gt;Valores!$F$46,Valores!$F$46,Valores!$C$49*B195)/2)</f>
        <v>4863</v>
      </c>
      <c r="S195" s="125">
        <f>Valores!$C$18*B195</f>
        <v>2903.65</v>
      </c>
      <c r="T195" s="125">
        <f t="shared" si="25"/>
        <v>2903.65</v>
      </c>
      <c r="U195" s="125">
        <v>0</v>
      </c>
      <c r="V195" s="125">
        <v>0</v>
      </c>
      <c r="W195" s="192">
        <v>0</v>
      </c>
      <c r="X195" s="125">
        <f>ROUND(W195*Valores!$C$2,2)</f>
        <v>0</v>
      </c>
      <c r="Y195" s="125">
        <v>0</v>
      </c>
      <c r="Z195" s="125">
        <f>IF(Valores!$C$97*B195&gt;Valores!$C$96,Valores!$C$96,Valores!$C$97*B195)</f>
        <v>8864.3</v>
      </c>
      <c r="AA195" s="125">
        <f>IF((Valores!$C$28)*B195&gt;Valores!$F$28,Valores!$F$28,(Valores!$C$28)*B195)</f>
        <v>228.1</v>
      </c>
      <c r="AB195" s="214">
        <v>0</v>
      </c>
      <c r="AC195" s="125">
        <f t="shared" si="20"/>
        <v>0</v>
      </c>
      <c r="AD195" s="125">
        <f>IF(Valores!$C$29*B195&gt;Valores!$F$29,Valores!$F$29,Valores!$C$29*B195)</f>
        <v>189.95000000000002</v>
      </c>
      <c r="AE195" s="192">
        <v>0</v>
      </c>
      <c r="AF195" s="125">
        <f>ROUND(AE195*Valores!$C$2,2)</f>
        <v>0</v>
      </c>
      <c r="AG195" s="125">
        <f>IF($F$4="NO",IF(Valores!$D$63*'Escala Docente'!B195&gt;Valores!$F$63,Valores!$F$63,Valores!$D$63*'Escala Docente'!B195),IF(Valores!$D$63*'Escala Docente'!B195&gt;Valores!$F$63,Valores!$F$63,Valores!$D$63*'Escala Docente'!B195)/2)-0.01</f>
        <v>4338.24</v>
      </c>
      <c r="AH195" s="125">
        <f t="shared" si="23"/>
        <v>75530.34000000001</v>
      </c>
      <c r="AI195" s="125">
        <f>IF(Valores!$C$32*B195&gt;Valores!$F$32,Valores!$F$32,Valores!$C$32*B195)</f>
        <v>0</v>
      </c>
      <c r="AJ195" s="125">
        <f>IF(Valores!$C$90*B195&gt;Valores!$C$89,Valores!$C$89,Valores!$C$90*B195)</f>
        <v>0</v>
      </c>
      <c r="AK195" s="125">
        <f>IF(Valores!C$39*B195&gt;Valores!F$38,Valores!F$38,Valores!C$39*B195)</f>
        <v>0</v>
      </c>
      <c r="AL195" s="125">
        <f>IF($F$3="NO",0,IF(Valores!$C$61*B195&gt;Valores!$F$61,Valores!$F$61,Valores!$C$61*B195))</f>
        <v>70.975</v>
      </c>
      <c r="AM195" s="125">
        <f t="shared" si="21"/>
        <v>70.975</v>
      </c>
      <c r="AN195" s="125">
        <f>AH195*Valores!$C$71</f>
        <v>-8308.337400000002</v>
      </c>
      <c r="AO195" s="125">
        <f>AH195*-Valores!$C$72</f>
        <v>0</v>
      </c>
      <c r="AP195" s="125">
        <f>AH195*Valores!$C$73</f>
        <v>-3398.8653000000004</v>
      </c>
      <c r="AQ195" s="125">
        <f>Valores!$C$100</f>
        <v>-554.86</v>
      </c>
      <c r="AR195" s="125">
        <f>IF($F$5=0,Valores!$C$101,(Valores!$C$101+$F$5*(Valores!$C$101)))</f>
        <v>-852</v>
      </c>
      <c r="AS195" s="125">
        <f t="shared" si="24"/>
        <v>62487.25230000001</v>
      </c>
      <c r="AT195" s="125">
        <f t="shared" si="18"/>
        <v>-8308.337400000002</v>
      </c>
      <c r="AU195" s="125">
        <f>AH195*Valores!$C$74</f>
        <v>-2039.3191800000002</v>
      </c>
      <c r="AV195" s="125">
        <f>AH195*Valores!$C$75</f>
        <v>-226.59102000000004</v>
      </c>
      <c r="AW195" s="125">
        <f t="shared" si="22"/>
        <v>65027.067400000014</v>
      </c>
      <c r="AX195" s="126"/>
      <c r="AY195" s="126">
        <f t="shared" si="28"/>
        <v>5</v>
      </c>
      <c r="AZ195" s="123" t="s">
        <v>4</v>
      </c>
    </row>
    <row r="196" spans="1:52" s="110" customFormat="1" ht="11.25" customHeight="1">
      <c r="A196" s="123" t="s">
        <v>470</v>
      </c>
      <c r="B196" s="123">
        <v>6</v>
      </c>
      <c r="C196" s="126">
        <v>189</v>
      </c>
      <c r="D196" s="124" t="str">
        <f t="shared" si="26"/>
        <v>Hora Cátedra Enseñanza Superior 6 hs</v>
      </c>
      <c r="E196" s="192">
        <f t="shared" si="27"/>
        <v>594</v>
      </c>
      <c r="F196" s="125">
        <f>ROUND(E196*Valores!$C$2,2)</f>
        <v>32343.3</v>
      </c>
      <c r="G196" s="192">
        <v>0</v>
      </c>
      <c r="H196" s="125">
        <f>ROUND(G196*Valores!$C$2,2)</f>
        <v>0</v>
      </c>
      <c r="I196" s="192">
        <v>0</v>
      </c>
      <c r="J196" s="125">
        <f>ROUND(I196*Valores!$C$2,2)</f>
        <v>0</v>
      </c>
      <c r="K196" s="192">
        <v>0</v>
      </c>
      <c r="L196" s="125">
        <f>ROUND(K196*Valores!$C$2,2)</f>
        <v>0</v>
      </c>
      <c r="M196" s="125">
        <f>ROUND(IF($H$2=0,IF(AND(A196&lt;&gt;"13-930",A196&lt;&gt;"13-940"),(SUM(F196,H196,J196,L196,X196,T196,R196)*Valores!$C$4),0),0),2)</f>
        <v>10415.82</v>
      </c>
      <c r="N196" s="125">
        <f t="shared" si="19"/>
        <v>0</v>
      </c>
      <c r="O196" s="125">
        <f>Valores!$C$7*B196</f>
        <v>11078.64</v>
      </c>
      <c r="P196" s="125">
        <f>ROUND(IF(B196&lt;15,(Valores!$E$5*B196),Valores!$D$5),2)</f>
        <v>11133.96</v>
      </c>
      <c r="Q196" s="125">
        <v>0</v>
      </c>
      <c r="R196" s="125">
        <f>IF($F$4="NO",IF(Valores!$C$49*B196&gt;Valores!$F$46,Valores!$F$46,Valores!$C$49*B196),IF(Valores!$C$49*B196&gt;Valores!$F$46,Valores!$F$46,Valores!$C$49*B196)/2)</f>
        <v>5835.6</v>
      </c>
      <c r="S196" s="125">
        <f>Valores!$C$18*B196</f>
        <v>3484.38</v>
      </c>
      <c r="T196" s="125">
        <f t="shared" si="25"/>
        <v>3484.38</v>
      </c>
      <c r="U196" s="125">
        <v>0</v>
      </c>
      <c r="V196" s="125">
        <v>0</v>
      </c>
      <c r="W196" s="192">
        <v>0</v>
      </c>
      <c r="X196" s="125">
        <f>ROUND(W196*Valores!$C$2,2)</f>
        <v>0</v>
      </c>
      <c r="Y196" s="125">
        <v>0</v>
      </c>
      <c r="Z196" s="125">
        <f>IF(Valores!$C$97*B196&gt;Valores!$C$96,Valores!$C$96,Valores!$C$97*B196)</f>
        <v>10637.16</v>
      </c>
      <c r="AA196" s="125">
        <f>IF((Valores!$C$28)*B196&gt;Valores!$F$28,Valores!$F$28,(Valores!$C$28)*B196)</f>
        <v>273.71999999999997</v>
      </c>
      <c r="AB196" s="214">
        <v>0</v>
      </c>
      <c r="AC196" s="125">
        <f t="shared" si="20"/>
        <v>0</v>
      </c>
      <c r="AD196" s="125">
        <f>IF(Valores!$C$29*B196&gt;Valores!$F$29,Valores!$F$29,Valores!$C$29*B196)</f>
        <v>227.94</v>
      </c>
      <c r="AE196" s="192">
        <v>0</v>
      </c>
      <c r="AF196" s="125">
        <f>ROUND(AE196*Valores!$C$2,2)</f>
        <v>0</v>
      </c>
      <c r="AG196" s="125">
        <f>IF($F$4="NO",IF(Valores!$D$63*'Escala Docente'!B196&gt;Valores!$F$63,Valores!$F$63,Valores!$D$63*'Escala Docente'!B196),IF(Valores!$D$63*'Escala Docente'!B196&gt;Valores!$F$63,Valores!$F$63,Valores!$D$63*'Escala Docente'!B196)/2)-0.01</f>
        <v>5205.889999999999</v>
      </c>
      <c r="AH196" s="125">
        <f t="shared" si="23"/>
        <v>90636.41</v>
      </c>
      <c r="AI196" s="125">
        <f>IF(Valores!$C$32*B196&gt;Valores!$F$32,Valores!$F$32,Valores!$C$32*B196)</f>
        <v>0</v>
      </c>
      <c r="AJ196" s="125">
        <f>IF(Valores!$C$90*B196&gt;Valores!$C$89,Valores!$C$89,Valores!$C$90*B196)</f>
        <v>0</v>
      </c>
      <c r="AK196" s="125">
        <f>IF(Valores!C$39*B196&gt;Valores!F$38,Valores!F$38,Valores!C$39*B196)</f>
        <v>0</v>
      </c>
      <c r="AL196" s="125">
        <f>IF($F$3="NO",0,IF(Valores!$C$61*B196&gt;Valores!$F$61,Valores!$F$61,Valores!$C$61*B196))</f>
        <v>85.17</v>
      </c>
      <c r="AM196" s="125">
        <f t="shared" si="21"/>
        <v>85.17</v>
      </c>
      <c r="AN196" s="125">
        <f>AH196*Valores!$C$71</f>
        <v>-9970.0051</v>
      </c>
      <c r="AO196" s="125">
        <f>AH196*-Valores!$C$72</f>
        <v>0</v>
      </c>
      <c r="AP196" s="125">
        <f>AH196*Valores!$C$73</f>
        <v>-4078.63845</v>
      </c>
      <c r="AQ196" s="125">
        <f>Valores!$C$100</f>
        <v>-554.86</v>
      </c>
      <c r="AR196" s="125">
        <f>IF($F$5=0,Valores!$C$101,(Valores!$C$101+$F$5*(Valores!$C$101)))</f>
        <v>-852</v>
      </c>
      <c r="AS196" s="125">
        <f t="shared" si="24"/>
        <v>75266.07645000001</v>
      </c>
      <c r="AT196" s="125">
        <f t="shared" si="18"/>
        <v>-9970.0051</v>
      </c>
      <c r="AU196" s="125">
        <f>AH196*Valores!$C$74</f>
        <v>-2447.18307</v>
      </c>
      <c r="AV196" s="125">
        <f>AH196*Valores!$C$75</f>
        <v>-271.90923000000004</v>
      </c>
      <c r="AW196" s="125">
        <f t="shared" si="22"/>
        <v>78032.4826</v>
      </c>
      <c r="AX196" s="126"/>
      <c r="AY196" s="126">
        <f t="shared" si="28"/>
        <v>6</v>
      </c>
      <c r="AZ196" s="123" t="s">
        <v>4</v>
      </c>
    </row>
    <row r="197" spans="1:52" s="110" customFormat="1" ht="11.25" customHeight="1">
      <c r="A197" s="123" t="s">
        <v>470</v>
      </c>
      <c r="B197" s="123">
        <v>7</v>
      </c>
      <c r="C197" s="126">
        <v>190</v>
      </c>
      <c r="D197" s="124" t="str">
        <f t="shared" si="26"/>
        <v>Hora Cátedra Enseñanza Superior 7 hs</v>
      </c>
      <c r="E197" s="192">
        <f t="shared" si="27"/>
        <v>693</v>
      </c>
      <c r="F197" s="125">
        <f>ROUND(E197*Valores!$C$2,2)</f>
        <v>37733.85</v>
      </c>
      <c r="G197" s="192">
        <v>0</v>
      </c>
      <c r="H197" s="125">
        <f>ROUND(G197*Valores!$C$2,2)</f>
        <v>0</v>
      </c>
      <c r="I197" s="192">
        <v>0</v>
      </c>
      <c r="J197" s="125">
        <f>ROUND(I197*Valores!$C$2,2)</f>
        <v>0</v>
      </c>
      <c r="K197" s="192">
        <v>0</v>
      </c>
      <c r="L197" s="125">
        <f>ROUND(K197*Valores!$C$2,2)</f>
        <v>0</v>
      </c>
      <c r="M197" s="125">
        <f>ROUND(IF($H$2=0,IF(AND(A197&lt;&gt;"13-930",A197&lt;&gt;"13-940"),(SUM(F197,H197,J197,L197,X197,T197,R197)*Valores!$C$4),0),0),2)</f>
        <v>12151.79</v>
      </c>
      <c r="N197" s="125">
        <f t="shared" si="19"/>
        <v>0</v>
      </c>
      <c r="O197" s="125">
        <f>Valores!$C$7*B197</f>
        <v>12925.08</v>
      </c>
      <c r="P197" s="125">
        <f>ROUND(IF(B197&lt;15,(Valores!$E$5*B197),Valores!$D$5),2)</f>
        <v>12989.62</v>
      </c>
      <c r="Q197" s="125">
        <v>0</v>
      </c>
      <c r="R197" s="125">
        <f>IF($F$4="NO",IF(Valores!$C$49*B197&gt;Valores!$F$46,Valores!$F$46,Valores!$C$49*B197),IF(Valores!$C$49*B197&gt;Valores!$F$46,Valores!$F$46,Valores!$C$49*B197)/2)</f>
        <v>6808.2</v>
      </c>
      <c r="S197" s="125">
        <f>Valores!$C$18*B197</f>
        <v>4065.11</v>
      </c>
      <c r="T197" s="125">
        <f t="shared" si="25"/>
        <v>4065.11</v>
      </c>
      <c r="U197" s="125">
        <v>0</v>
      </c>
      <c r="V197" s="125">
        <v>0</v>
      </c>
      <c r="W197" s="192">
        <v>0</v>
      </c>
      <c r="X197" s="125">
        <f>ROUND(W197*Valores!$C$2,2)</f>
        <v>0</v>
      </c>
      <c r="Y197" s="125">
        <v>0</v>
      </c>
      <c r="Z197" s="125">
        <f>IF(Valores!$C$97*B197&gt;Valores!$C$96,Valores!$C$96,Valores!$C$97*B197)</f>
        <v>12410.019999999999</v>
      </c>
      <c r="AA197" s="125">
        <f>IF((Valores!$C$28)*B197&gt;Valores!$F$28,Valores!$F$28,(Valores!$C$28)*B197)</f>
        <v>319.34</v>
      </c>
      <c r="AB197" s="214">
        <v>0</v>
      </c>
      <c r="AC197" s="125">
        <f t="shared" si="20"/>
        <v>0</v>
      </c>
      <c r="AD197" s="125">
        <f>IF(Valores!$C$29*B197&gt;Valores!$F$29,Valores!$F$29,Valores!$C$29*B197)</f>
        <v>265.93</v>
      </c>
      <c r="AE197" s="192">
        <v>0</v>
      </c>
      <c r="AF197" s="125">
        <f>ROUND(AE197*Valores!$C$2,2)</f>
        <v>0</v>
      </c>
      <c r="AG197" s="125">
        <f>IF($F$4="NO",IF(Valores!$D$63*'Escala Docente'!B197&gt;Valores!$F$63,Valores!$F$63,Valores!$D$63*'Escala Docente'!B197),IF(Valores!$D$63*'Escala Docente'!B197&gt;Valores!$F$63,Valores!$F$63,Valores!$D$63*'Escala Docente'!B197)/2)-0.01</f>
        <v>6073.54</v>
      </c>
      <c r="AH197" s="125">
        <f t="shared" si="23"/>
        <v>105742.47999999998</v>
      </c>
      <c r="AI197" s="125">
        <f>IF(Valores!$C$32*B197&gt;Valores!$F$32,Valores!$F$32,Valores!$C$32*B197)</f>
        <v>0</v>
      </c>
      <c r="AJ197" s="125">
        <f>IF(Valores!$C$90*B197&gt;Valores!$C$89,Valores!$C$89,Valores!$C$90*B197)</f>
        <v>0</v>
      </c>
      <c r="AK197" s="125">
        <f>IF(Valores!C$39*B197&gt;Valores!F$38,Valores!F$38,Valores!C$39*B197)</f>
        <v>0</v>
      </c>
      <c r="AL197" s="125">
        <f>IF($F$3="NO",0,IF(Valores!$C$61*B197&gt;Valores!$F$61,Valores!$F$61,Valores!$C$61*B197))</f>
        <v>99.36500000000001</v>
      </c>
      <c r="AM197" s="125">
        <f t="shared" si="21"/>
        <v>99.36500000000001</v>
      </c>
      <c r="AN197" s="125">
        <f>AH197*Valores!$C$71</f>
        <v>-11631.672799999998</v>
      </c>
      <c r="AO197" s="125">
        <f>AH197*-Valores!$C$72</f>
        <v>0</v>
      </c>
      <c r="AP197" s="125">
        <f>AH197*Valores!$C$73</f>
        <v>-4758.4115999999985</v>
      </c>
      <c r="AQ197" s="125">
        <f>Valores!$C$100</f>
        <v>-554.86</v>
      </c>
      <c r="AR197" s="125">
        <f>IF($F$5=0,Valores!$C$101,(Valores!$C$101+$F$5*(Valores!$C$101)))</f>
        <v>-852</v>
      </c>
      <c r="AS197" s="125">
        <f t="shared" si="24"/>
        <v>88044.90059999998</v>
      </c>
      <c r="AT197" s="125">
        <f aca="true" t="shared" si="29" ref="AT197:AT260">AN197</f>
        <v>-11631.672799999998</v>
      </c>
      <c r="AU197" s="125">
        <f>AH197*Valores!$C$74</f>
        <v>-2855.0469599999997</v>
      </c>
      <c r="AV197" s="125">
        <f>AH197*Valores!$C$75</f>
        <v>-317.22743999999994</v>
      </c>
      <c r="AW197" s="125">
        <f t="shared" si="22"/>
        <v>91037.89779999999</v>
      </c>
      <c r="AX197" s="126"/>
      <c r="AY197" s="126">
        <f t="shared" si="28"/>
        <v>7</v>
      </c>
      <c r="AZ197" s="123" t="s">
        <v>4</v>
      </c>
    </row>
    <row r="198" spans="1:52" s="110" customFormat="1" ht="11.25" customHeight="1">
      <c r="A198" s="123" t="s">
        <v>470</v>
      </c>
      <c r="B198" s="123">
        <v>8</v>
      </c>
      <c r="C198" s="126">
        <v>191</v>
      </c>
      <c r="D198" s="124" t="str">
        <f t="shared" si="26"/>
        <v>Hora Cátedra Enseñanza Superior 8 hs</v>
      </c>
      <c r="E198" s="192">
        <f t="shared" si="27"/>
        <v>792</v>
      </c>
      <c r="F198" s="125">
        <f>ROUND(E198*Valores!$C$2,2)</f>
        <v>43124.4</v>
      </c>
      <c r="G198" s="192">
        <v>0</v>
      </c>
      <c r="H198" s="125">
        <f>ROUND(G198*Valores!$C$2,2)</f>
        <v>0</v>
      </c>
      <c r="I198" s="192">
        <v>0</v>
      </c>
      <c r="J198" s="125">
        <f>ROUND(I198*Valores!$C$2,2)</f>
        <v>0</v>
      </c>
      <c r="K198" s="192">
        <v>0</v>
      </c>
      <c r="L198" s="125">
        <f>ROUND(K198*Valores!$C$2,2)</f>
        <v>0</v>
      </c>
      <c r="M198" s="125">
        <f>ROUND(IF($H$2=0,IF(AND(A198&lt;&gt;"13-930",A198&lt;&gt;"13-940"),(SUM(F198,H198,J198,L198,X198,T198,R198)*Valores!$C$4),0),0),2)</f>
        <v>13887.76</v>
      </c>
      <c r="N198" s="125">
        <f t="shared" si="19"/>
        <v>0</v>
      </c>
      <c r="O198" s="125">
        <f>Valores!$C$7*B198</f>
        <v>14771.52</v>
      </c>
      <c r="P198" s="125">
        <f>ROUND(IF(B198&lt;15,(Valores!$E$5*B198),Valores!$D$5),2)</f>
        <v>14845.28</v>
      </c>
      <c r="Q198" s="125">
        <v>0</v>
      </c>
      <c r="R198" s="125">
        <f>IF($F$4="NO",IF(Valores!$C$49*B198&gt;Valores!$F$46,Valores!$F$46,Valores!$C$49*B198),IF(Valores!$C$49*B198&gt;Valores!$F$46,Valores!$F$46,Valores!$C$49*B198)/2)</f>
        <v>7780.8</v>
      </c>
      <c r="S198" s="125">
        <f>Valores!$C$18*B198</f>
        <v>4645.84</v>
      </c>
      <c r="T198" s="125">
        <f t="shared" si="25"/>
        <v>4645.84</v>
      </c>
      <c r="U198" s="125">
        <v>0</v>
      </c>
      <c r="V198" s="125">
        <v>0</v>
      </c>
      <c r="W198" s="192">
        <v>0</v>
      </c>
      <c r="X198" s="125">
        <f>ROUND(W198*Valores!$C$2,2)</f>
        <v>0</v>
      </c>
      <c r="Y198" s="125">
        <v>0</v>
      </c>
      <c r="Z198" s="125">
        <f>IF(Valores!$C$97*B198&gt;Valores!$C$96,Valores!$C$96,Valores!$C$97*B198)</f>
        <v>14182.88</v>
      </c>
      <c r="AA198" s="125">
        <f>IF((Valores!$C$28)*B198&gt;Valores!$F$28,Valores!$F$28,(Valores!$C$28)*B198)</f>
        <v>364.96</v>
      </c>
      <c r="AB198" s="214">
        <v>0</v>
      </c>
      <c r="AC198" s="125">
        <f t="shared" si="20"/>
        <v>0</v>
      </c>
      <c r="AD198" s="125">
        <f>IF(Valores!$C$29*B198&gt;Valores!$F$29,Valores!$F$29,Valores!$C$29*B198)</f>
        <v>303.92</v>
      </c>
      <c r="AE198" s="192">
        <v>0</v>
      </c>
      <c r="AF198" s="125">
        <f>ROUND(AE198*Valores!$C$2,2)</f>
        <v>0</v>
      </c>
      <c r="AG198" s="125">
        <f>IF($F$4="NO",IF(Valores!$D$63*'Escala Docente'!B198&gt;Valores!$F$63,Valores!$F$63,Valores!$D$63*'Escala Docente'!B198),IF(Valores!$D$63*'Escala Docente'!B198&gt;Valores!$F$63,Valores!$F$63,Valores!$D$63*'Escala Docente'!B198)/2)-0.02</f>
        <v>6941.179999999999</v>
      </c>
      <c r="AH198" s="125">
        <f t="shared" si="23"/>
        <v>120848.54000000001</v>
      </c>
      <c r="AI198" s="125">
        <f>IF(Valores!$C$32*B198&gt;Valores!$F$32,Valores!$F$32,Valores!$C$32*B198)</f>
        <v>0</v>
      </c>
      <c r="AJ198" s="125">
        <f>IF(Valores!$C$90*B198&gt;Valores!$C$89,Valores!$C$89,Valores!$C$90*B198)</f>
        <v>0</v>
      </c>
      <c r="AK198" s="125">
        <f>IF(Valores!C$39*B198&gt;Valores!F$38,Valores!F$38,Valores!C$39*B198)</f>
        <v>0</v>
      </c>
      <c r="AL198" s="125">
        <f>IF($F$3="NO",0,IF(Valores!$C$61*B198&gt;Valores!$F$61,Valores!$F$61,Valores!$C$61*B198))</f>
        <v>113.56</v>
      </c>
      <c r="AM198" s="125">
        <f t="shared" si="21"/>
        <v>113.56</v>
      </c>
      <c r="AN198" s="125">
        <f>AH198*Valores!$C$71</f>
        <v>-13293.3394</v>
      </c>
      <c r="AO198" s="125">
        <f>AH198*-Valores!$C$72</f>
        <v>0</v>
      </c>
      <c r="AP198" s="125">
        <f>AH198*Valores!$C$73</f>
        <v>-5438.1843</v>
      </c>
      <c r="AQ198" s="125">
        <f>Valores!$C$100</f>
        <v>-554.86</v>
      </c>
      <c r="AR198" s="125">
        <f>IF($F$5=0,Valores!$C$101,(Valores!$C$101+$F$5*(Valores!$C$101)))</f>
        <v>-852</v>
      </c>
      <c r="AS198" s="125">
        <f t="shared" si="24"/>
        <v>100823.7163</v>
      </c>
      <c r="AT198" s="125">
        <f t="shared" si="29"/>
        <v>-13293.3394</v>
      </c>
      <c r="AU198" s="125">
        <f>AH198*Valores!$C$74</f>
        <v>-3262.91058</v>
      </c>
      <c r="AV198" s="125">
        <f>AH198*Valores!$C$75</f>
        <v>-362.54562000000004</v>
      </c>
      <c r="AW198" s="125">
        <f t="shared" si="22"/>
        <v>104043.30440000001</v>
      </c>
      <c r="AX198" s="126"/>
      <c r="AY198" s="126">
        <f t="shared" si="28"/>
        <v>8</v>
      </c>
      <c r="AZ198" s="123" t="s">
        <v>4</v>
      </c>
    </row>
    <row r="199" spans="1:52" s="110" customFormat="1" ht="11.25" customHeight="1">
      <c r="A199" s="123" t="s">
        <v>470</v>
      </c>
      <c r="B199" s="123">
        <v>9</v>
      </c>
      <c r="C199" s="126">
        <v>192</v>
      </c>
      <c r="D199" s="124" t="str">
        <f t="shared" si="26"/>
        <v>Hora Cátedra Enseñanza Superior 9 hs</v>
      </c>
      <c r="E199" s="192">
        <f t="shared" si="27"/>
        <v>891</v>
      </c>
      <c r="F199" s="125">
        <f>ROUND(E199*Valores!$C$2,2)</f>
        <v>48514.95</v>
      </c>
      <c r="G199" s="192">
        <v>0</v>
      </c>
      <c r="H199" s="125">
        <f>ROUND(G199*Valores!$C$2,2)</f>
        <v>0</v>
      </c>
      <c r="I199" s="192">
        <v>0</v>
      </c>
      <c r="J199" s="125">
        <f>ROUND(I199*Valores!$C$2,2)</f>
        <v>0</v>
      </c>
      <c r="K199" s="192">
        <v>0</v>
      </c>
      <c r="L199" s="125">
        <f>ROUND(K199*Valores!$C$2,2)</f>
        <v>0</v>
      </c>
      <c r="M199" s="125">
        <f>ROUND(IF($H$2=0,IF(AND(A199&lt;&gt;"13-930",A199&lt;&gt;"13-940"),(SUM(F199,H199,J199,L199,X199,T199,R199)*Valores!$C$4),0),0),2)</f>
        <v>15623.73</v>
      </c>
      <c r="N199" s="125">
        <f t="shared" si="19"/>
        <v>0</v>
      </c>
      <c r="O199" s="125">
        <f>Valores!$C$7*B199</f>
        <v>16617.96</v>
      </c>
      <c r="P199" s="125">
        <f>ROUND(IF(B199&lt;15,(Valores!$E$5*B199),Valores!$D$5),2)</f>
        <v>16700.94</v>
      </c>
      <c r="Q199" s="125">
        <v>0</v>
      </c>
      <c r="R199" s="125">
        <f>IF($F$4="NO",IF(Valores!$C$49*B199&gt;Valores!$F$46,Valores!$F$46,Valores!$C$49*B199),IF(Valores!$C$49*B199&gt;Valores!$F$46,Valores!$F$46,Valores!$C$49*B199)/2)</f>
        <v>8753.4</v>
      </c>
      <c r="S199" s="125">
        <f>Valores!$C$18*B199</f>
        <v>5226.57</v>
      </c>
      <c r="T199" s="125">
        <f t="shared" si="25"/>
        <v>5226.57</v>
      </c>
      <c r="U199" s="125">
        <v>0</v>
      </c>
      <c r="V199" s="125">
        <v>0</v>
      </c>
      <c r="W199" s="192">
        <v>0</v>
      </c>
      <c r="X199" s="125">
        <f>ROUND(W199*Valores!$C$2,2)</f>
        <v>0</v>
      </c>
      <c r="Y199" s="125">
        <v>0</v>
      </c>
      <c r="Z199" s="125">
        <f>IF(Valores!$C$97*B199&gt;Valores!$C$96,Valores!$C$96,Valores!$C$97*B199)</f>
        <v>15955.74</v>
      </c>
      <c r="AA199" s="125">
        <f>IF((Valores!$C$28)*B199&gt;Valores!$F$28,Valores!$F$28,(Valores!$C$28)*B199)</f>
        <v>410.58</v>
      </c>
      <c r="AB199" s="214">
        <v>0</v>
      </c>
      <c r="AC199" s="125">
        <f t="shared" si="20"/>
        <v>0</v>
      </c>
      <c r="AD199" s="125">
        <f>IF(Valores!$C$29*B199&gt;Valores!$F$29,Valores!$F$29,Valores!$C$29*B199)</f>
        <v>341.91</v>
      </c>
      <c r="AE199" s="192">
        <v>0</v>
      </c>
      <c r="AF199" s="125">
        <f>ROUND(AE199*Valores!$C$2,2)</f>
        <v>0</v>
      </c>
      <c r="AG199" s="125">
        <f>IF($F$4="NO",IF(Valores!$D$63*'Escala Docente'!B199&gt;Valores!$F$63,Valores!$F$63,Valores!$D$63*'Escala Docente'!B199),IF(Valores!$D$63*'Escala Docente'!B199&gt;Valores!$F$63,Valores!$F$63,Valores!$D$63*'Escala Docente'!B199)/2)-0.02</f>
        <v>7808.829999999999</v>
      </c>
      <c r="AH199" s="125">
        <f t="shared" si="23"/>
        <v>135954.61</v>
      </c>
      <c r="AI199" s="125">
        <f>IF(Valores!$C$32*B199&gt;Valores!$F$32,Valores!$F$32,Valores!$C$32*B199)</f>
        <v>0</v>
      </c>
      <c r="AJ199" s="125">
        <f>IF(Valores!$C$90*B199&gt;Valores!$C$89,Valores!$C$89,Valores!$C$90*B199)</f>
        <v>0</v>
      </c>
      <c r="AK199" s="125">
        <f>IF(Valores!C$39*B199&gt;Valores!F$38,Valores!F$38,Valores!C$39*B199)</f>
        <v>0</v>
      </c>
      <c r="AL199" s="125">
        <f>IF($F$3="NO",0,IF(Valores!$C$61*B199&gt;Valores!$F$61,Valores!$F$61,Valores!$C$61*B199))</f>
        <v>127.755</v>
      </c>
      <c r="AM199" s="125">
        <f t="shared" si="21"/>
        <v>127.755</v>
      </c>
      <c r="AN199" s="125">
        <f>AH199*Valores!$C$71</f>
        <v>-14955.007099999999</v>
      </c>
      <c r="AO199" s="125">
        <f>AH199*-Valores!$C$72</f>
        <v>0</v>
      </c>
      <c r="AP199" s="125">
        <f>AH199*Valores!$C$73</f>
        <v>-6117.957449999999</v>
      </c>
      <c r="AQ199" s="125">
        <f>Valores!$C$100</f>
        <v>-554.86</v>
      </c>
      <c r="AR199" s="125">
        <f>IF($F$5=0,Valores!$C$101,(Valores!$C$101+$F$5*(Valores!$C$101)))</f>
        <v>-852</v>
      </c>
      <c r="AS199" s="125">
        <f t="shared" si="24"/>
        <v>113602.54044999999</v>
      </c>
      <c r="AT199" s="125">
        <f t="shared" si="29"/>
        <v>-14955.007099999999</v>
      </c>
      <c r="AU199" s="125">
        <f>AH199*Valores!$C$74</f>
        <v>-3670.7744699999994</v>
      </c>
      <c r="AV199" s="125">
        <f>AH199*Valores!$C$75</f>
        <v>-407.86382999999995</v>
      </c>
      <c r="AW199" s="125">
        <f t="shared" si="22"/>
        <v>117048.7196</v>
      </c>
      <c r="AX199" s="126"/>
      <c r="AY199" s="126">
        <f t="shared" si="28"/>
        <v>9</v>
      </c>
      <c r="AZ199" s="123" t="s">
        <v>4</v>
      </c>
    </row>
    <row r="200" spans="1:52" s="110" customFormat="1" ht="11.25" customHeight="1">
      <c r="A200" s="123" t="s">
        <v>470</v>
      </c>
      <c r="B200" s="123">
        <v>10</v>
      </c>
      <c r="C200" s="126">
        <v>193</v>
      </c>
      <c r="D200" s="124" t="str">
        <f t="shared" si="26"/>
        <v>Hora Cátedra Enseñanza Superior 10 hs</v>
      </c>
      <c r="E200" s="192">
        <f t="shared" si="27"/>
        <v>990</v>
      </c>
      <c r="F200" s="125">
        <f>ROUND(E200*Valores!$C$2,2)</f>
        <v>53905.5</v>
      </c>
      <c r="G200" s="192">
        <v>0</v>
      </c>
      <c r="H200" s="125">
        <f>ROUND(G200*Valores!$C$2,2)</f>
        <v>0</v>
      </c>
      <c r="I200" s="192">
        <v>0</v>
      </c>
      <c r="J200" s="125">
        <f>ROUND(I200*Valores!$C$2,2)</f>
        <v>0</v>
      </c>
      <c r="K200" s="192">
        <v>0</v>
      </c>
      <c r="L200" s="125">
        <f>ROUND(K200*Valores!$C$2,2)</f>
        <v>0</v>
      </c>
      <c r="M200" s="125">
        <f>ROUND(IF($H$2=0,IF(AND(A200&lt;&gt;"13-930",A200&lt;&gt;"13-940"),(SUM(F200,H200,J200,L200,X200,T200,R200)*Valores!$C$4),0),0),2)</f>
        <v>17359.7</v>
      </c>
      <c r="N200" s="125">
        <f aca="true" t="shared" si="30" ref="N200:N263">ROUND(SUM(F200,H200,J200,L200,X200,R200)*$H$2,2)</f>
        <v>0</v>
      </c>
      <c r="O200" s="125">
        <f>Valores!$C$7*B200</f>
        <v>18464.4</v>
      </c>
      <c r="P200" s="125">
        <f>ROUND(IF(B200&lt;15,(Valores!$E$5*B200),Valores!$D$5),2)</f>
        <v>18556.6</v>
      </c>
      <c r="Q200" s="125">
        <v>0</v>
      </c>
      <c r="R200" s="125">
        <f>IF($F$4="NO",IF(Valores!$C$49*B200&gt;Valores!$F$46,Valores!$F$46,Valores!$C$49*B200),IF(Valores!$C$49*B200&gt;Valores!$F$46,Valores!$F$46,Valores!$C$49*B200)/2)</f>
        <v>9726</v>
      </c>
      <c r="S200" s="125">
        <f>Valores!$C$18*B200</f>
        <v>5807.3</v>
      </c>
      <c r="T200" s="125">
        <f t="shared" si="25"/>
        <v>5807.3</v>
      </c>
      <c r="U200" s="125">
        <v>0</v>
      </c>
      <c r="V200" s="125">
        <v>0</v>
      </c>
      <c r="W200" s="192">
        <v>0</v>
      </c>
      <c r="X200" s="125">
        <f>ROUND(W200*Valores!$C$2,2)</f>
        <v>0</v>
      </c>
      <c r="Y200" s="125">
        <v>0</v>
      </c>
      <c r="Z200" s="125">
        <f>IF(Valores!$C$97*B200&gt;Valores!$C$96,Valores!$C$96,Valores!$C$97*B200)</f>
        <v>17728.6</v>
      </c>
      <c r="AA200" s="125">
        <f>IF((Valores!$C$28)*B200&gt;Valores!$F$28,Valores!$F$28,(Valores!$C$28)*B200)</f>
        <v>456.2</v>
      </c>
      <c r="AB200" s="214">
        <v>0</v>
      </c>
      <c r="AC200" s="125">
        <f aca="true" t="shared" si="31" ref="AC200:AC263">ROUND(SUM(F200,H200,J200,X200,R200)*AB200,2)</f>
        <v>0</v>
      </c>
      <c r="AD200" s="125">
        <f>IF(Valores!$C$29*B200&gt;Valores!$F$29,Valores!$F$29,Valores!$C$29*B200)</f>
        <v>379.90000000000003</v>
      </c>
      <c r="AE200" s="192">
        <v>0</v>
      </c>
      <c r="AF200" s="125">
        <f>ROUND(AE200*Valores!$C$2,2)</f>
        <v>0</v>
      </c>
      <c r="AG200" s="125">
        <f>IF($F$4="NO",IF(Valores!$D$63*'Escala Docente'!B200&gt;Valores!$F$63,Valores!$F$63,Valores!$D$63*'Escala Docente'!B200),IF(Valores!$D$63*'Escala Docente'!B200&gt;Valores!$F$63,Valores!$F$63,Valores!$D$63*'Escala Docente'!B200)/2)-0.02</f>
        <v>8676.48</v>
      </c>
      <c r="AH200" s="125">
        <f t="shared" si="23"/>
        <v>151060.68000000002</v>
      </c>
      <c r="AI200" s="125">
        <f>IF(Valores!$C$32*B200&gt;Valores!$F$32,Valores!$F$32,Valores!$C$32*B200)</f>
        <v>0</v>
      </c>
      <c r="AJ200" s="125">
        <f>IF(Valores!$C$90*B200&gt;Valores!$C$89,Valores!$C$89,Valores!$C$90*B200)</f>
        <v>0</v>
      </c>
      <c r="AK200" s="125">
        <f>IF(Valores!C$39*B200&gt;Valores!F$38,Valores!F$38,Valores!C$39*B200)</f>
        <v>0</v>
      </c>
      <c r="AL200" s="125">
        <f>IF($F$3="NO",0,IF(Valores!$C$61*B200&gt;Valores!$F$61,Valores!$F$61,Valores!$C$61*B200))</f>
        <v>141.95</v>
      </c>
      <c r="AM200" s="125">
        <f aca="true" t="shared" si="32" ref="AM200:AM263">SUM(AI200:AL200)</f>
        <v>141.95</v>
      </c>
      <c r="AN200" s="125">
        <f>AH200*Valores!$C$71</f>
        <v>-16616.674800000004</v>
      </c>
      <c r="AO200" s="125">
        <f>AH200*-Valores!$C$72</f>
        <v>0</v>
      </c>
      <c r="AP200" s="125">
        <f>AH200*Valores!$C$73</f>
        <v>-6797.730600000001</v>
      </c>
      <c r="AQ200" s="125">
        <f>Valores!$C$100</f>
        <v>-554.86</v>
      </c>
      <c r="AR200" s="125">
        <f>IF($F$5=0,Valores!$C$101,(Valores!$C$101+$F$5*(Valores!$C$101)))</f>
        <v>-852</v>
      </c>
      <c r="AS200" s="125">
        <f t="shared" si="24"/>
        <v>126381.36460000002</v>
      </c>
      <c r="AT200" s="125">
        <f t="shared" si="29"/>
        <v>-16616.674800000004</v>
      </c>
      <c r="AU200" s="125">
        <f>AH200*Valores!$C$74</f>
        <v>-4078.6383600000004</v>
      </c>
      <c r="AV200" s="125">
        <f>AH200*Valores!$C$75</f>
        <v>-453.1820400000001</v>
      </c>
      <c r="AW200" s="125">
        <f aca="true" t="shared" si="33" ref="AW200:AW263">AH200+AM200+SUM(AT200:AV200)</f>
        <v>130054.13480000003</v>
      </c>
      <c r="AX200" s="126"/>
      <c r="AY200" s="126">
        <f t="shared" si="28"/>
        <v>10</v>
      </c>
      <c r="AZ200" s="123" t="s">
        <v>4</v>
      </c>
    </row>
    <row r="201" spans="1:52" s="110" customFormat="1" ht="11.25" customHeight="1">
      <c r="A201" s="123" t="s">
        <v>470</v>
      </c>
      <c r="B201" s="123">
        <v>11</v>
      </c>
      <c r="C201" s="126">
        <v>194</v>
      </c>
      <c r="D201" s="124" t="str">
        <f t="shared" si="26"/>
        <v>Hora Cátedra Enseñanza Superior 11 hs</v>
      </c>
      <c r="E201" s="192">
        <f t="shared" si="27"/>
        <v>1089</v>
      </c>
      <c r="F201" s="125">
        <f>ROUND(E201*Valores!$C$2,2)</f>
        <v>59296.05</v>
      </c>
      <c r="G201" s="192">
        <v>0</v>
      </c>
      <c r="H201" s="125">
        <f>ROUND(G201*Valores!$C$2,2)</f>
        <v>0</v>
      </c>
      <c r="I201" s="192">
        <v>0</v>
      </c>
      <c r="J201" s="125">
        <f>ROUND(I201*Valores!$C$2,2)</f>
        <v>0</v>
      </c>
      <c r="K201" s="192">
        <v>0</v>
      </c>
      <c r="L201" s="125">
        <f>ROUND(K201*Valores!$C$2,2)</f>
        <v>0</v>
      </c>
      <c r="M201" s="125">
        <f>ROUND(IF($H$2=0,IF(AND(A201&lt;&gt;"13-930",A201&lt;&gt;"13-940"),(SUM(F201,H201,J201,L201,X201,T201,R201)*Valores!$C$4),0),0),2)</f>
        <v>19095.67</v>
      </c>
      <c r="N201" s="125">
        <f t="shared" si="30"/>
        <v>0</v>
      </c>
      <c r="O201" s="125">
        <f>Valores!$C$7*B201</f>
        <v>20310.84</v>
      </c>
      <c r="P201" s="125">
        <f>ROUND(IF(B201&lt;15,(Valores!$E$5*B201),Valores!$D$5),2)</f>
        <v>20412.26</v>
      </c>
      <c r="Q201" s="125">
        <v>0</v>
      </c>
      <c r="R201" s="125">
        <f>IF($F$4="NO",IF(Valores!$C$49*B201&gt;Valores!$F$46,Valores!$F$46,Valores!$C$49*B201),IF(Valores!$C$49*B201&gt;Valores!$F$46,Valores!$F$46,Valores!$C$49*B201)/2)</f>
        <v>10698.6</v>
      </c>
      <c r="S201" s="125">
        <f>Valores!$C$18*B201</f>
        <v>6388.030000000001</v>
      </c>
      <c r="T201" s="125">
        <f t="shared" si="25"/>
        <v>6388.03</v>
      </c>
      <c r="U201" s="125">
        <v>0</v>
      </c>
      <c r="V201" s="125">
        <v>0</v>
      </c>
      <c r="W201" s="192">
        <v>0</v>
      </c>
      <c r="X201" s="125">
        <f>ROUND(W201*Valores!$C$2,2)</f>
        <v>0</v>
      </c>
      <c r="Y201" s="125">
        <v>0</v>
      </c>
      <c r="Z201" s="125">
        <f>IF(Valores!$C$97*B201&gt;Valores!$C$96,Valores!$C$96,Valores!$C$97*B201)</f>
        <v>19501.46</v>
      </c>
      <c r="AA201" s="125">
        <f>IF((Valores!$C$28)*B201&gt;Valores!$F$28,Valores!$F$28,(Valores!$C$28)*B201)</f>
        <v>501.82</v>
      </c>
      <c r="AB201" s="214">
        <v>0</v>
      </c>
      <c r="AC201" s="125">
        <f t="shared" si="31"/>
        <v>0</v>
      </c>
      <c r="AD201" s="125">
        <f>IF(Valores!$C$29*B201&gt;Valores!$F$29,Valores!$F$29,Valores!$C$29*B201)</f>
        <v>417.89000000000004</v>
      </c>
      <c r="AE201" s="192">
        <v>0</v>
      </c>
      <c r="AF201" s="125">
        <f>ROUND(AE201*Valores!$C$2,2)</f>
        <v>0</v>
      </c>
      <c r="AG201" s="125">
        <f>IF($F$4="NO",IF(Valores!$D$63*'Escala Docente'!B201&gt;Valores!$F$63,Valores!$F$63,Valores!$D$63*'Escala Docente'!B201),IF(Valores!$D$63*'Escala Docente'!B201&gt;Valores!$F$63,Valores!$F$63,Valores!$D$63*'Escala Docente'!B201)/2)-0.02</f>
        <v>9544.13</v>
      </c>
      <c r="AH201" s="125">
        <f aca="true" t="shared" si="34" ref="AH201:AH264">SUM(F201,H201,J201,L201,M201,N201,O201,P201,Q201,R201,T201,U201,V201,X201,Y201,Z201,AA201,AC201,AD201,AF201,AG201)</f>
        <v>166166.75000000003</v>
      </c>
      <c r="AI201" s="125">
        <f>IF(Valores!$C$32*B201&gt;Valores!$F$32,Valores!$F$32,Valores!$C$32*B201)</f>
        <v>0</v>
      </c>
      <c r="AJ201" s="125">
        <f>IF(Valores!$C$90*B201&gt;Valores!$C$89,Valores!$C$89,Valores!$C$90*B201)</f>
        <v>0</v>
      </c>
      <c r="AK201" s="125">
        <f>IF(Valores!C$39*B201&gt;Valores!F$38,Valores!F$38,Valores!C$39*B201)</f>
        <v>0</v>
      </c>
      <c r="AL201" s="125">
        <f>IF($F$3="NO",0,IF(Valores!$C$61*B201&gt;Valores!$F$61,Valores!$F$61,Valores!$C$61*B201))</f>
        <v>156.145</v>
      </c>
      <c r="AM201" s="125">
        <f t="shared" si="32"/>
        <v>156.145</v>
      </c>
      <c r="AN201" s="125">
        <f>AH201*Valores!$C$71</f>
        <v>-18278.342500000002</v>
      </c>
      <c r="AO201" s="125">
        <f>AH201*-Valores!$C$72</f>
        <v>0</v>
      </c>
      <c r="AP201" s="125">
        <f>AH201*Valores!$C$73</f>
        <v>-7477.503750000001</v>
      </c>
      <c r="AQ201" s="125">
        <f>Valores!$C$100</f>
        <v>-554.86</v>
      </c>
      <c r="AR201" s="125">
        <f>IF($F$5=0,Valores!$C$101,(Valores!$C$101+$F$5*(Valores!$C$101)))</f>
        <v>-852</v>
      </c>
      <c r="AS201" s="125">
        <f aca="true" t="shared" si="35" ref="AS201:AS264">AH201+SUM(AM201:AR201)</f>
        <v>139160.18875000003</v>
      </c>
      <c r="AT201" s="125">
        <f t="shared" si="29"/>
        <v>-18278.342500000002</v>
      </c>
      <c r="AU201" s="125">
        <f>AH201*Valores!$C$74</f>
        <v>-4486.5022500000005</v>
      </c>
      <c r="AV201" s="125">
        <f>AH201*Valores!$C$75</f>
        <v>-498.5002500000001</v>
      </c>
      <c r="AW201" s="125">
        <f t="shared" si="33"/>
        <v>143059.55000000002</v>
      </c>
      <c r="AX201" s="126"/>
      <c r="AY201" s="126">
        <f t="shared" si="28"/>
        <v>11</v>
      </c>
      <c r="AZ201" s="123" t="s">
        <v>4</v>
      </c>
    </row>
    <row r="202" spans="1:52" s="110" customFormat="1" ht="11.25" customHeight="1">
      <c r="A202" s="123" t="s">
        <v>470</v>
      </c>
      <c r="B202" s="123">
        <v>12</v>
      </c>
      <c r="C202" s="126">
        <v>195</v>
      </c>
      <c r="D202" s="124" t="str">
        <f t="shared" si="26"/>
        <v>Hora Cátedra Enseñanza Superior 12 hs</v>
      </c>
      <c r="E202" s="192">
        <f t="shared" si="27"/>
        <v>1188</v>
      </c>
      <c r="F202" s="125">
        <f>ROUND(E202*Valores!$C$2,2)</f>
        <v>64686.6</v>
      </c>
      <c r="G202" s="192">
        <v>0</v>
      </c>
      <c r="H202" s="125">
        <f>ROUND(G202*Valores!$C$2,2)</f>
        <v>0</v>
      </c>
      <c r="I202" s="192">
        <v>0</v>
      </c>
      <c r="J202" s="125">
        <f>ROUND(I202*Valores!$C$2,2)</f>
        <v>0</v>
      </c>
      <c r="K202" s="192">
        <v>0</v>
      </c>
      <c r="L202" s="125">
        <f>ROUND(K202*Valores!$C$2,2)</f>
        <v>0</v>
      </c>
      <c r="M202" s="125">
        <f>ROUND(IF($H$2=0,IF(AND(A202&lt;&gt;"13-930",A202&lt;&gt;"13-940"),(SUM(F202,H202,J202,L202,X202,T202,R202)*Valores!$C$4),0),0),2)</f>
        <v>20831.64</v>
      </c>
      <c r="N202" s="125">
        <f t="shared" si="30"/>
        <v>0</v>
      </c>
      <c r="O202" s="125">
        <f>Valores!$C$7*B202</f>
        <v>22157.28</v>
      </c>
      <c r="P202" s="125">
        <f>ROUND(IF(B202&lt;15,(Valores!$E$5*B202),Valores!$D$5),2)</f>
        <v>22267.92</v>
      </c>
      <c r="Q202" s="125">
        <v>0</v>
      </c>
      <c r="R202" s="125">
        <f>IF($F$4="NO",IF(Valores!$C$49*B202&gt;Valores!$F$46,Valores!$F$46,Valores!$C$49*B202),IF(Valores!$C$49*B202&gt;Valores!$F$46,Valores!$F$46,Valores!$C$49*B202)/2)</f>
        <v>11671.2</v>
      </c>
      <c r="S202" s="125">
        <f>Valores!$C$18*B202</f>
        <v>6968.76</v>
      </c>
      <c r="T202" s="125">
        <f t="shared" si="25"/>
        <v>6968.76</v>
      </c>
      <c r="U202" s="125">
        <v>0</v>
      </c>
      <c r="V202" s="125">
        <v>0</v>
      </c>
      <c r="W202" s="192">
        <v>0</v>
      </c>
      <c r="X202" s="125">
        <f>ROUND(W202*Valores!$C$2,2)</f>
        <v>0</v>
      </c>
      <c r="Y202" s="125">
        <v>0</v>
      </c>
      <c r="Z202" s="125">
        <f>IF(Valores!$C$97*B202&gt;Valores!$C$96,Valores!$C$96,Valores!$C$97*B202)</f>
        <v>21274.32</v>
      </c>
      <c r="AA202" s="125">
        <f>IF((Valores!$C$28)*B202&gt;Valores!$F$28,Valores!$F$28,(Valores!$C$28)*B202)</f>
        <v>547.4399999999999</v>
      </c>
      <c r="AB202" s="214">
        <v>0</v>
      </c>
      <c r="AC202" s="125">
        <f t="shared" si="31"/>
        <v>0</v>
      </c>
      <c r="AD202" s="125">
        <f>IF(Valores!$C$29*B202&gt;Valores!$F$29,Valores!$F$29,Valores!$C$29*B202)</f>
        <v>455.88</v>
      </c>
      <c r="AE202" s="192">
        <v>0</v>
      </c>
      <c r="AF202" s="125">
        <f>ROUND(AE202*Valores!$C$2,2)</f>
        <v>0</v>
      </c>
      <c r="AG202" s="125">
        <f>IF($F$4="NO",IF(Valores!$D$63*'Escala Docente'!B202&gt;Valores!$F$63,Valores!$F$63,Valores!$D$63*'Escala Docente'!B202),IF(Valores!$D$63*'Escala Docente'!B202&gt;Valores!$F$63,Valores!$F$63,Valores!$D$63*'Escala Docente'!B202)/2)-0.02</f>
        <v>10411.779999999999</v>
      </c>
      <c r="AH202" s="125">
        <f t="shared" si="34"/>
        <v>181272.82</v>
      </c>
      <c r="AI202" s="125">
        <f>IF(Valores!$C$32*B202&gt;Valores!$F$32,Valores!$F$32,Valores!$C$32*B202)</f>
        <v>0</v>
      </c>
      <c r="AJ202" s="125">
        <f>IF(Valores!$C$90*B202&gt;Valores!$C$89,Valores!$C$89,Valores!$C$90*B202)</f>
        <v>0</v>
      </c>
      <c r="AK202" s="125">
        <f>IF(Valores!C$39*B202&gt;Valores!F$38,Valores!F$38,Valores!C$39*B202)</f>
        <v>0</v>
      </c>
      <c r="AL202" s="125">
        <f>IF($F$3="NO",0,IF(Valores!$C$61*B202&gt;Valores!$F$61,Valores!$F$61,Valores!$C$61*B202))</f>
        <v>170.34</v>
      </c>
      <c r="AM202" s="125">
        <f t="shared" si="32"/>
        <v>170.34</v>
      </c>
      <c r="AN202" s="125">
        <f>AH202*Valores!$C$71</f>
        <v>-19940.0102</v>
      </c>
      <c r="AO202" s="125">
        <f>AH202*-Valores!$C$72</f>
        <v>0</v>
      </c>
      <c r="AP202" s="125">
        <f>AH202*Valores!$C$73</f>
        <v>-8157.2769</v>
      </c>
      <c r="AQ202" s="125">
        <f>Valores!$C$100</f>
        <v>-554.86</v>
      </c>
      <c r="AR202" s="125">
        <f>IF($F$5=0,Valores!$C$101,(Valores!$C$101+$F$5*(Valores!$C$101)))</f>
        <v>-852</v>
      </c>
      <c r="AS202" s="125">
        <f t="shared" si="35"/>
        <v>151939.0129</v>
      </c>
      <c r="AT202" s="125">
        <f t="shared" si="29"/>
        <v>-19940.0102</v>
      </c>
      <c r="AU202" s="125">
        <f>AH202*Valores!$C$74</f>
        <v>-4894.36614</v>
      </c>
      <c r="AV202" s="125">
        <f>AH202*Valores!$C$75</f>
        <v>-543.8184600000001</v>
      </c>
      <c r="AW202" s="125">
        <f t="shared" si="33"/>
        <v>156064.9652</v>
      </c>
      <c r="AX202" s="126"/>
      <c r="AY202" s="126">
        <f t="shared" si="28"/>
        <v>12</v>
      </c>
      <c r="AZ202" s="123" t="s">
        <v>4</v>
      </c>
    </row>
    <row r="203" spans="1:52" s="110" customFormat="1" ht="11.25" customHeight="1">
      <c r="A203" s="123" t="s">
        <v>470</v>
      </c>
      <c r="B203" s="123">
        <v>13</v>
      </c>
      <c r="C203" s="126">
        <v>196</v>
      </c>
      <c r="D203" s="124" t="str">
        <f t="shared" si="26"/>
        <v>Hora Cátedra Enseñanza Superior 13 hs</v>
      </c>
      <c r="E203" s="192">
        <f t="shared" si="27"/>
        <v>1287</v>
      </c>
      <c r="F203" s="125">
        <f>ROUND(E203*Valores!$C$2,2)</f>
        <v>70077.15</v>
      </c>
      <c r="G203" s="192">
        <v>0</v>
      </c>
      <c r="H203" s="125">
        <f>ROUND(G203*Valores!$C$2,2)</f>
        <v>0</v>
      </c>
      <c r="I203" s="192">
        <v>0</v>
      </c>
      <c r="J203" s="125">
        <f>ROUND(I203*Valores!$C$2,2)</f>
        <v>0</v>
      </c>
      <c r="K203" s="192">
        <v>0</v>
      </c>
      <c r="L203" s="125">
        <f>ROUND(K203*Valores!$C$2,2)</f>
        <v>0</v>
      </c>
      <c r="M203" s="125">
        <f>ROUND(IF($H$2=0,IF(AND(A203&lt;&gt;"13-930",A203&lt;&gt;"13-940"),(SUM(F203,H203,J203,L203,X203,T203,R203)*Valores!$C$4),0),0),2)</f>
        <v>22567.61</v>
      </c>
      <c r="N203" s="125">
        <f t="shared" si="30"/>
        <v>0</v>
      </c>
      <c r="O203" s="125">
        <f>Valores!$C$7*B203</f>
        <v>24003.72</v>
      </c>
      <c r="P203" s="125">
        <f>ROUND(IF(B203&lt;15,(Valores!$E$5*B203),Valores!$D$5),2)</f>
        <v>24123.58</v>
      </c>
      <c r="Q203" s="125">
        <v>0</v>
      </c>
      <c r="R203" s="125">
        <f>IF($F$4="NO",IF(Valores!$C$49*B203&gt;Valores!$F$46,Valores!$F$46,Valores!$C$49*B203),IF(Valores!$C$49*B203&gt;Valores!$F$46,Valores!$F$46,Valores!$C$49*B203)/2)</f>
        <v>12643.800000000001</v>
      </c>
      <c r="S203" s="125">
        <f>Valores!$C$18*B203</f>
        <v>7549.49</v>
      </c>
      <c r="T203" s="125">
        <f aca="true" t="shared" si="36" ref="T203:T266">ROUND(S203*(1+$H$2),2)</f>
        <v>7549.49</v>
      </c>
      <c r="U203" s="125">
        <v>0</v>
      </c>
      <c r="V203" s="125">
        <v>0</v>
      </c>
      <c r="W203" s="192">
        <v>0</v>
      </c>
      <c r="X203" s="125">
        <f>ROUND(W203*Valores!$C$2,2)</f>
        <v>0</v>
      </c>
      <c r="Y203" s="125">
        <v>0</v>
      </c>
      <c r="Z203" s="125">
        <f>IF(Valores!$C$97*B203&gt;Valores!$C$96,Valores!$C$96,Valores!$C$97*B203)</f>
        <v>23047.18</v>
      </c>
      <c r="AA203" s="125">
        <f>IF((Valores!$C$28)*B203&gt;Valores!$F$28,Valores!$F$28,(Valores!$C$28)*B203)</f>
        <v>593.06</v>
      </c>
      <c r="AB203" s="214">
        <v>0</v>
      </c>
      <c r="AC203" s="125">
        <f t="shared" si="31"/>
        <v>0</v>
      </c>
      <c r="AD203" s="125">
        <f>IF(Valores!$C$29*B203&gt;Valores!$F$29,Valores!$F$29,Valores!$C$29*B203)</f>
        <v>493.87</v>
      </c>
      <c r="AE203" s="192">
        <v>0</v>
      </c>
      <c r="AF203" s="125">
        <f>ROUND(AE203*Valores!$C$2,2)</f>
        <v>0</v>
      </c>
      <c r="AG203" s="125">
        <f>IF($F$4="NO",IF(Valores!$D$63*'Escala Docente'!B203&gt;Valores!$F$63,Valores!$F$63,Valores!$D$63*'Escala Docente'!B203),IF(Valores!$D$63*'Escala Docente'!B203&gt;Valores!$F$63,Valores!$F$63,Valores!$D$63*'Escala Docente'!B203)/2)-0.03</f>
        <v>11279.419999999998</v>
      </c>
      <c r="AH203" s="125">
        <f t="shared" si="34"/>
        <v>196378.87999999995</v>
      </c>
      <c r="AI203" s="125">
        <f>IF(Valores!$C$32*B203&gt;Valores!$F$32,Valores!$F$32,Valores!$C$32*B203)</f>
        <v>0</v>
      </c>
      <c r="AJ203" s="125">
        <f>IF(Valores!$C$90*B203&gt;Valores!$C$89,Valores!$C$89,Valores!$C$90*B203)</f>
        <v>0</v>
      </c>
      <c r="AK203" s="125">
        <f>IF(Valores!C$39*B203&gt;Valores!F$38,Valores!F$38,Valores!C$39*B203)</f>
        <v>0</v>
      </c>
      <c r="AL203" s="125">
        <f>IF($F$3="NO",0,IF(Valores!$C$61*B203&gt;Valores!$F$61,Valores!$F$61,Valores!$C$61*B203))</f>
        <v>184.535</v>
      </c>
      <c r="AM203" s="125">
        <f t="shared" si="32"/>
        <v>184.535</v>
      </c>
      <c r="AN203" s="125">
        <f>AH203*Valores!$C$71</f>
        <v>-21601.676799999994</v>
      </c>
      <c r="AO203" s="125">
        <f>AH203*-Valores!$C$72</f>
        <v>0</v>
      </c>
      <c r="AP203" s="125">
        <f>AH203*Valores!$C$73</f>
        <v>-8837.049599999997</v>
      </c>
      <c r="AQ203" s="125">
        <f>Valores!$C$100</f>
        <v>-554.86</v>
      </c>
      <c r="AR203" s="125">
        <f>IF($F$5=0,Valores!$C$101,(Valores!$C$101+$F$5*(Valores!$C$101)))</f>
        <v>-852</v>
      </c>
      <c r="AS203" s="125">
        <f t="shared" si="35"/>
        <v>164717.82859999995</v>
      </c>
      <c r="AT203" s="125">
        <f t="shared" si="29"/>
        <v>-21601.676799999994</v>
      </c>
      <c r="AU203" s="125">
        <f>AH203*Valores!$C$74</f>
        <v>-5302.229759999998</v>
      </c>
      <c r="AV203" s="125">
        <f>AH203*Valores!$C$75</f>
        <v>-589.1366399999998</v>
      </c>
      <c r="AW203" s="125">
        <f t="shared" si="33"/>
        <v>169070.37179999996</v>
      </c>
      <c r="AX203" s="126"/>
      <c r="AY203" s="126">
        <f t="shared" si="28"/>
        <v>13</v>
      </c>
      <c r="AZ203" s="123" t="s">
        <v>4</v>
      </c>
    </row>
    <row r="204" spans="1:52" s="110" customFormat="1" ht="11.25" customHeight="1">
      <c r="A204" s="123" t="s">
        <v>470</v>
      </c>
      <c r="B204" s="123">
        <v>14</v>
      </c>
      <c r="C204" s="126">
        <v>197</v>
      </c>
      <c r="D204" s="124" t="str">
        <f t="shared" si="26"/>
        <v>Hora Cátedra Enseñanza Superior 14 hs</v>
      </c>
      <c r="E204" s="192">
        <f t="shared" si="27"/>
        <v>1386</v>
      </c>
      <c r="F204" s="125">
        <f>ROUND(E204*Valores!$C$2,2)</f>
        <v>75467.7</v>
      </c>
      <c r="G204" s="192">
        <v>0</v>
      </c>
      <c r="H204" s="125">
        <f>ROUND(G204*Valores!$C$2,2)</f>
        <v>0</v>
      </c>
      <c r="I204" s="192">
        <v>0</v>
      </c>
      <c r="J204" s="125">
        <f>ROUND(I204*Valores!$C$2,2)</f>
        <v>0</v>
      </c>
      <c r="K204" s="192">
        <v>0</v>
      </c>
      <c r="L204" s="125">
        <f>ROUND(K204*Valores!$C$2,2)</f>
        <v>0</v>
      </c>
      <c r="M204" s="125">
        <f>ROUND(IF($H$2=0,IF(AND(A204&lt;&gt;"13-930",A204&lt;&gt;"13-940"),(SUM(F204,H204,J204,L204,X204,T204,R204)*Valores!$C$4),0),0),2)</f>
        <v>24303.58</v>
      </c>
      <c r="N204" s="125">
        <f t="shared" si="30"/>
        <v>0</v>
      </c>
      <c r="O204" s="125">
        <f>Valores!$C$7*B204</f>
        <v>25850.16</v>
      </c>
      <c r="P204" s="125">
        <f>ROUND(IF(B204&lt;15,(Valores!$E$5*B204),Valores!$D$5),2)</f>
        <v>25979.24</v>
      </c>
      <c r="Q204" s="125">
        <v>0</v>
      </c>
      <c r="R204" s="125">
        <f>IF($F$4="NO",IF(Valores!$C$49*B204&gt;Valores!$F$46,Valores!$F$46,Valores!$C$49*B204),IF(Valores!$C$49*B204&gt;Valores!$F$46,Valores!$F$46,Valores!$C$49*B204)/2)</f>
        <v>13616.4</v>
      </c>
      <c r="S204" s="125">
        <f>Valores!$C$18*B204</f>
        <v>8130.22</v>
      </c>
      <c r="T204" s="125">
        <f t="shared" si="36"/>
        <v>8130.22</v>
      </c>
      <c r="U204" s="125">
        <v>0</v>
      </c>
      <c r="V204" s="125">
        <v>0</v>
      </c>
      <c r="W204" s="192">
        <v>0</v>
      </c>
      <c r="X204" s="125">
        <f>ROUND(W204*Valores!$C$2,2)</f>
        <v>0</v>
      </c>
      <c r="Y204" s="125">
        <v>0</v>
      </c>
      <c r="Z204" s="125">
        <f>IF(Valores!$C$97*B204&gt;Valores!$C$96,Valores!$C$96,Valores!$C$97*B204)</f>
        <v>24820.039999999997</v>
      </c>
      <c r="AA204" s="125">
        <f>IF((Valores!$C$28)*B204&gt;Valores!$F$28,Valores!$F$28,(Valores!$C$28)*B204)</f>
        <v>638.68</v>
      </c>
      <c r="AB204" s="214">
        <v>0</v>
      </c>
      <c r="AC204" s="125">
        <f t="shared" si="31"/>
        <v>0</v>
      </c>
      <c r="AD204" s="125">
        <f>IF(Valores!$C$29*B204&gt;Valores!$F$29,Valores!$F$29,Valores!$C$29*B204)</f>
        <v>531.86</v>
      </c>
      <c r="AE204" s="192">
        <v>0</v>
      </c>
      <c r="AF204" s="125">
        <f>ROUND(AE204*Valores!$C$2,2)</f>
        <v>0</v>
      </c>
      <c r="AG204" s="125">
        <f>IF($F$4="NO",IF(Valores!$D$63*'Escala Docente'!B204&gt;Valores!$F$63,Valores!$F$63,Valores!$D$63*'Escala Docente'!B204),IF(Valores!$D$63*'Escala Docente'!B204&gt;Valores!$F$63,Valores!$F$63,Valores!$D$63*'Escala Docente'!B204)/2)-0.03</f>
        <v>12147.07</v>
      </c>
      <c r="AH204" s="125">
        <f t="shared" si="34"/>
        <v>211484.94999999998</v>
      </c>
      <c r="AI204" s="125">
        <f>IF(Valores!$C$32*B204&gt;Valores!$F$32,Valores!$F$32,Valores!$C$32*B204)</f>
        <v>0</v>
      </c>
      <c r="AJ204" s="125">
        <f>IF(Valores!$C$90*B204&gt;Valores!$C$89,Valores!$C$89,Valores!$C$90*B204)</f>
        <v>0</v>
      </c>
      <c r="AK204" s="125">
        <f>IF(Valores!C$39*B204&gt;Valores!F$38,Valores!F$38,Valores!C$39*B204)</f>
        <v>0</v>
      </c>
      <c r="AL204" s="125">
        <f>IF($F$3="NO",0,IF(Valores!$C$61*B204&gt;Valores!$F$61,Valores!$F$61,Valores!$C$61*B204))</f>
        <v>198.73000000000002</v>
      </c>
      <c r="AM204" s="125">
        <f t="shared" si="32"/>
        <v>198.73000000000002</v>
      </c>
      <c r="AN204" s="125">
        <f>AH204*Valores!$C$71</f>
        <v>-23263.3445</v>
      </c>
      <c r="AO204" s="125">
        <f>AH204*-Valores!$C$72</f>
        <v>0</v>
      </c>
      <c r="AP204" s="125">
        <f>AH204*Valores!$C$73</f>
        <v>-9516.82275</v>
      </c>
      <c r="AQ204" s="125">
        <f>Valores!$C$100</f>
        <v>-554.86</v>
      </c>
      <c r="AR204" s="125">
        <f>IF($F$5=0,Valores!$C$101,(Valores!$C$101+$F$5*(Valores!$C$101)))</f>
        <v>-852</v>
      </c>
      <c r="AS204" s="125">
        <f t="shared" si="35"/>
        <v>177496.65274999998</v>
      </c>
      <c r="AT204" s="125">
        <f t="shared" si="29"/>
        <v>-23263.3445</v>
      </c>
      <c r="AU204" s="125">
        <f>AH204*Valores!$C$74</f>
        <v>-5710.09365</v>
      </c>
      <c r="AV204" s="125">
        <f>AH204*Valores!$C$75</f>
        <v>-634.45485</v>
      </c>
      <c r="AW204" s="125">
        <f t="shared" si="33"/>
        <v>182075.787</v>
      </c>
      <c r="AX204" s="126"/>
      <c r="AY204" s="126">
        <f t="shared" si="28"/>
        <v>14</v>
      </c>
      <c r="AZ204" s="123" t="s">
        <v>4</v>
      </c>
    </row>
    <row r="205" spans="1:52" s="110" customFormat="1" ht="11.25" customHeight="1">
      <c r="A205" s="123" t="s">
        <v>470</v>
      </c>
      <c r="B205" s="123">
        <v>15</v>
      </c>
      <c r="C205" s="126">
        <v>198</v>
      </c>
      <c r="D205" s="124" t="str">
        <f t="shared" si="26"/>
        <v>Hora Cátedra Enseñanza Superior 15 hs</v>
      </c>
      <c r="E205" s="192">
        <f t="shared" si="27"/>
        <v>1485</v>
      </c>
      <c r="F205" s="125">
        <f>ROUND(E205*Valores!$C$2,2)</f>
        <v>80858.25</v>
      </c>
      <c r="G205" s="192">
        <v>0</v>
      </c>
      <c r="H205" s="125">
        <f>ROUND(G205*Valores!$C$2,2)</f>
        <v>0</v>
      </c>
      <c r="I205" s="192">
        <v>0</v>
      </c>
      <c r="J205" s="125">
        <f>ROUND(I205*Valores!$C$2,2)</f>
        <v>0</v>
      </c>
      <c r="K205" s="192">
        <v>0</v>
      </c>
      <c r="L205" s="125">
        <f>ROUND(K205*Valores!$C$2,2)</f>
        <v>0</v>
      </c>
      <c r="M205" s="125">
        <f>ROUND(IF($H$2=0,IF(AND(A205&lt;&gt;"13-930",A205&lt;&gt;"13-940"),(SUM(F205,H205,J205,L205,X205,T205,R205)*Valores!$C$4),0),0),2)</f>
        <v>26039.55</v>
      </c>
      <c r="N205" s="125">
        <f t="shared" si="30"/>
        <v>0</v>
      </c>
      <c r="O205" s="125">
        <f>Valores!$C$7*B205</f>
        <v>27696.600000000002</v>
      </c>
      <c r="P205" s="125">
        <f>ROUND(IF(B205&lt;15,(Valores!$E$5*B205),Valores!$D$5),2)</f>
        <v>27834.84</v>
      </c>
      <c r="Q205" s="125">
        <v>0</v>
      </c>
      <c r="R205" s="125">
        <f>IF($F$4="NO",IF(Valores!$C$49*B205&gt;Valores!$F$46,Valores!$F$46,Valores!$C$49*B205),IF(Valores!$C$49*B205&gt;Valores!$F$46,Valores!$F$46,Valores!$C$49*B205)/2)</f>
        <v>14589</v>
      </c>
      <c r="S205" s="125">
        <f>Valores!$C$18*B205</f>
        <v>8710.95</v>
      </c>
      <c r="T205" s="125">
        <f t="shared" si="36"/>
        <v>8710.95</v>
      </c>
      <c r="U205" s="125">
        <v>0</v>
      </c>
      <c r="V205" s="125">
        <v>0</v>
      </c>
      <c r="W205" s="192">
        <v>0</v>
      </c>
      <c r="X205" s="125">
        <f>ROUND(W205*Valores!$C$2,2)</f>
        <v>0</v>
      </c>
      <c r="Y205" s="125">
        <v>0</v>
      </c>
      <c r="Z205" s="125">
        <f>IF(Valores!$C$97*B205&gt;Valores!$C$96,Valores!$C$96,Valores!$C$97*B205)</f>
        <v>26592.899999999998</v>
      </c>
      <c r="AA205" s="125">
        <f>IF((Valores!$C$28)*B205&gt;Valores!$F$28,Valores!$F$28,(Valores!$C$28)*B205)</f>
        <v>684.3</v>
      </c>
      <c r="AB205" s="214">
        <v>0</v>
      </c>
      <c r="AC205" s="125">
        <f t="shared" si="31"/>
        <v>0</v>
      </c>
      <c r="AD205" s="125">
        <f>IF(Valores!$C$29*B205&gt;Valores!$F$29,Valores!$F$29,Valores!$C$29*B205)</f>
        <v>569.85</v>
      </c>
      <c r="AE205" s="192">
        <v>0</v>
      </c>
      <c r="AF205" s="125">
        <f>ROUND(AE205*Valores!$C$2,2)</f>
        <v>0</v>
      </c>
      <c r="AG205" s="125">
        <f>IF($F$4="NO",IF(Valores!$D$63*'Escala Docente'!B205&gt;Valores!$F$63,Valores!$F$63,Valores!$D$63*'Escala Docente'!B205),IF(Valores!$D$63*'Escala Docente'!B205&gt;Valores!$F$63,Valores!$F$63,Valores!$D$63*'Escala Docente'!B205)/2)-0.03</f>
        <v>13014.72</v>
      </c>
      <c r="AH205" s="125">
        <f t="shared" si="34"/>
        <v>226590.96</v>
      </c>
      <c r="AI205" s="125">
        <f>IF(Valores!$C$32*B205&gt;Valores!$F$32,Valores!$F$32,Valores!$C$32*B205)</f>
        <v>0</v>
      </c>
      <c r="AJ205" s="125">
        <f>IF(Valores!$C$90*B205&gt;Valores!$C$89,Valores!$C$89,Valores!$C$90*B205)</f>
        <v>0</v>
      </c>
      <c r="AK205" s="125">
        <f>IF(Valores!C$39*B205&gt;Valores!F$38,Valores!F$38,Valores!C$39*B205)</f>
        <v>0</v>
      </c>
      <c r="AL205" s="125">
        <f>IF($F$3="NO",0,IF(Valores!$C$61*B205&gt;Valores!$F$61,Valores!$F$61,Valores!$C$61*B205))</f>
        <v>212.925</v>
      </c>
      <c r="AM205" s="125">
        <f t="shared" si="32"/>
        <v>212.925</v>
      </c>
      <c r="AN205" s="125">
        <f>AH205*Valores!$C$71</f>
        <v>-24925.0056</v>
      </c>
      <c r="AO205" s="125">
        <f>AH205*-Valores!$C$72</f>
        <v>0</v>
      </c>
      <c r="AP205" s="125">
        <f>AH205*Valores!$C$73</f>
        <v>-10196.5932</v>
      </c>
      <c r="AQ205" s="125">
        <f>Valores!$C$100</f>
        <v>-554.86</v>
      </c>
      <c r="AR205" s="125">
        <f>IF($F$5=0,Valores!$C$101,(Valores!$C$101+$F$5*(Valores!$C$101)))</f>
        <v>-852</v>
      </c>
      <c r="AS205" s="125">
        <f t="shared" si="35"/>
        <v>190275.4262</v>
      </c>
      <c r="AT205" s="125">
        <f t="shared" si="29"/>
        <v>-24925.0056</v>
      </c>
      <c r="AU205" s="125">
        <f>AH205*Valores!$C$74</f>
        <v>-6117.955919999999</v>
      </c>
      <c r="AV205" s="125">
        <f>AH205*Valores!$C$75</f>
        <v>-679.77288</v>
      </c>
      <c r="AW205" s="125">
        <f t="shared" si="33"/>
        <v>195081.1506</v>
      </c>
      <c r="AX205" s="126"/>
      <c r="AY205" s="126">
        <f t="shared" si="28"/>
        <v>15</v>
      </c>
      <c r="AZ205" s="123" t="s">
        <v>4</v>
      </c>
    </row>
    <row r="206" spans="1:52" s="110" customFormat="1" ht="11.25" customHeight="1">
      <c r="A206" s="123" t="s">
        <v>470</v>
      </c>
      <c r="B206" s="123">
        <v>16</v>
      </c>
      <c r="C206" s="126">
        <v>199</v>
      </c>
      <c r="D206" s="124" t="str">
        <f t="shared" si="26"/>
        <v>Hora Cátedra Enseñanza Superior 16 hs</v>
      </c>
      <c r="E206" s="192">
        <f t="shared" si="27"/>
        <v>1584</v>
      </c>
      <c r="F206" s="125">
        <f>ROUND(E206*Valores!$C$2,2)</f>
        <v>86248.8</v>
      </c>
      <c r="G206" s="192">
        <v>0</v>
      </c>
      <c r="H206" s="125">
        <f>ROUND(G206*Valores!$C$2,2)</f>
        <v>0</v>
      </c>
      <c r="I206" s="192">
        <v>0</v>
      </c>
      <c r="J206" s="125">
        <f>ROUND(I206*Valores!$C$2,2)</f>
        <v>0</v>
      </c>
      <c r="K206" s="192">
        <v>0</v>
      </c>
      <c r="L206" s="125">
        <f>ROUND(K206*Valores!$C$2,2)</f>
        <v>0</v>
      </c>
      <c r="M206" s="125">
        <f>ROUND(IF($H$2=0,IF(AND(A206&lt;&gt;"13-930",A206&lt;&gt;"13-940"),(SUM(F206,H206,J206,L206,X206,T206,R206)*Valores!$C$4),0),0),2)</f>
        <v>27775.52</v>
      </c>
      <c r="N206" s="125">
        <f t="shared" si="30"/>
        <v>0</v>
      </c>
      <c r="O206" s="125">
        <f>Valores!$C$7*B206</f>
        <v>29543.04</v>
      </c>
      <c r="P206" s="125">
        <f>ROUND(IF(B206&lt;15,(Valores!$E$5*B206),Valores!$D$5),2)</f>
        <v>27834.84</v>
      </c>
      <c r="Q206" s="125">
        <v>0</v>
      </c>
      <c r="R206" s="125">
        <f>IF($F$4="NO",IF(Valores!$C$49*B206&gt;Valores!$F$46,Valores!$F$46,Valores!$C$49*B206),IF(Valores!$C$49*B206&gt;Valores!$F$46,Valores!$F$46,Valores!$C$49*B206)/2)</f>
        <v>15561.6</v>
      </c>
      <c r="S206" s="125">
        <f>Valores!$C$18*B206</f>
        <v>9291.68</v>
      </c>
      <c r="T206" s="125">
        <f t="shared" si="36"/>
        <v>9291.68</v>
      </c>
      <c r="U206" s="125">
        <v>0</v>
      </c>
      <c r="V206" s="125">
        <v>0</v>
      </c>
      <c r="W206" s="192">
        <v>0</v>
      </c>
      <c r="X206" s="125">
        <f>ROUND(W206*Valores!$C$2,2)</f>
        <v>0</v>
      </c>
      <c r="Y206" s="125">
        <v>0</v>
      </c>
      <c r="Z206" s="125">
        <f>IF(Valores!$C$97*B206&gt;Valores!$C$96,Valores!$C$96,Valores!$C$97*B206)</f>
        <v>28365.76</v>
      </c>
      <c r="AA206" s="125">
        <f>IF((Valores!$C$28)*B206&gt;Valores!$F$28,Valores!$F$28,(Valores!$C$28)*B206)</f>
        <v>729.92</v>
      </c>
      <c r="AB206" s="214">
        <v>0</v>
      </c>
      <c r="AC206" s="125">
        <f t="shared" si="31"/>
        <v>0</v>
      </c>
      <c r="AD206" s="125">
        <f>IF(Valores!$C$29*B206&gt;Valores!$F$29,Valores!$F$29,Valores!$C$29*B206)</f>
        <v>607.84</v>
      </c>
      <c r="AE206" s="192">
        <v>0</v>
      </c>
      <c r="AF206" s="125">
        <f>ROUND(AE206*Valores!$C$2,2)</f>
        <v>0</v>
      </c>
      <c r="AG206" s="125">
        <f>IF($F$4="NO",IF(Valores!$D$63*'Escala Docente'!B206&gt;Valores!$F$63,Valores!$F$63,Valores!$D$63*'Escala Docente'!B206),IF(Valores!$D$63*'Escala Docente'!B206&gt;Valores!$F$63,Valores!$F$63,Valores!$D$63*'Escala Docente'!B206)/2)-0.03</f>
        <v>13882.369999999999</v>
      </c>
      <c r="AH206" s="125">
        <f t="shared" si="34"/>
        <v>239841.37000000002</v>
      </c>
      <c r="AI206" s="125">
        <f>IF(Valores!$C$32*B206&gt;Valores!$F$32,Valores!$F$32,Valores!$C$32*B206)</f>
        <v>0</v>
      </c>
      <c r="AJ206" s="125">
        <f>IF(Valores!$C$90*B206&gt;Valores!$C$89,Valores!$C$89,Valores!$C$90*B206)</f>
        <v>0</v>
      </c>
      <c r="AK206" s="125">
        <f>IF(Valores!C$39*B206&gt;Valores!F$38,Valores!F$38,Valores!C$39*B206)</f>
        <v>0</v>
      </c>
      <c r="AL206" s="125">
        <f>IF($F$3="NO",0,IF(Valores!$C$61*B206&gt;Valores!$F$61,Valores!$F$61,Valores!$C$61*B206))</f>
        <v>227.12</v>
      </c>
      <c r="AM206" s="125">
        <f t="shared" si="32"/>
        <v>227.12</v>
      </c>
      <c r="AN206" s="125">
        <f>AH206*Valores!$C$71</f>
        <v>-26382.550700000003</v>
      </c>
      <c r="AO206" s="125">
        <f>AH206*-Valores!$C$72</f>
        <v>0</v>
      </c>
      <c r="AP206" s="125">
        <f>AH206*Valores!$C$73</f>
        <v>-10792.86165</v>
      </c>
      <c r="AQ206" s="125">
        <f>Valores!$C$100</f>
        <v>-554.86</v>
      </c>
      <c r="AR206" s="125">
        <f>IF($F$5=0,Valores!$C$101,(Valores!$C$101+$F$5*(Valores!$C$101)))</f>
        <v>-852</v>
      </c>
      <c r="AS206" s="125">
        <f t="shared" si="35"/>
        <v>201486.21765</v>
      </c>
      <c r="AT206" s="125">
        <f t="shared" si="29"/>
        <v>-26382.550700000003</v>
      </c>
      <c r="AU206" s="125">
        <f>AH206*Valores!$C$74</f>
        <v>-6475.716990000001</v>
      </c>
      <c r="AV206" s="125">
        <f>AH206*Valores!$C$75</f>
        <v>-719.5241100000001</v>
      </c>
      <c r="AW206" s="125">
        <f t="shared" si="33"/>
        <v>206490.6982</v>
      </c>
      <c r="AX206" s="126"/>
      <c r="AY206" s="126">
        <f t="shared" si="28"/>
        <v>16</v>
      </c>
      <c r="AZ206" s="123" t="s">
        <v>4</v>
      </c>
    </row>
    <row r="207" spans="1:52" s="110" customFormat="1" ht="11.25" customHeight="1">
      <c r="A207" s="123" t="s">
        <v>470</v>
      </c>
      <c r="B207" s="123">
        <v>17</v>
      </c>
      <c r="C207" s="126">
        <v>200</v>
      </c>
      <c r="D207" s="124" t="str">
        <f t="shared" si="26"/>
        <v>Hora Cátedra Enseñanza Superior 17 hs</v>
      </c>
      <c r="E207" s="192">
        <f t="shared" si="27"/>
        <v>1683</v>
      </c>
      <c r="F207" s="125">
        <f>ROUND(E207*Valores!$C$2,2)</f>
        <v>91639.35</v>
      </c>
      <c r="G207" s="192">
        <v>0</v>
      </c>
      <c r="H207" s="125">
        <f>ROUND(G207*Valores!$C$2,2)</f>
        <v>0</v>
      </c>
      <c r="I207" s="192">
        <v>0</v>
      </c>
      <c r="J207" s="125">
        <f>ROUND(I207*Valores!$C$2,2)</f>
        <v>0</v>
      </c>
      <c r="K207" s="192">
        <v>0</v>
      </c>
      <c r="L207" s="125">
        <f>ROUND(K207*Valores!$C$2,2)</f>
        <v>0</v>
      </c>
      <c r="M207" s="125">
        <f>ROUND(IF($H$2=0,IF(AND(A207&lt;&gt;"13-930",A207&lt;&gt;"13-940"),(SUM(F207,H207,J207,L207,X207,T207,R207)*Valores!$C$4),0),0),2)</f>
        <v>29511.49</v>
      </c>
      <c r="N207" s="125">
        <f t="shared" si="30"/>
        <v>0</v>
      </c>
      <c r="O207" s="125">
        <f>Valores!$C$7*B207</f>
        <v>31389.48</v>
      </c>
      <c r="P207" s="125">
        <f>ROUND(IF(B207&lt;15,(Valores!$E$5*B207),Valores!$D$5),2)</f>
        <v>27834.84</v>
      </c>
      <c r="Q207" s="125">
        <v>0</v>
      </c>
      <c r="R207" s="125">
        <f>IF($F$4="NO",IF(Valores!$C$49*B207&gt;Valores!$F$46,Valores!$F$46,Valores!$C$49*B207),IF(Valores!$C$49*B207&gt;Valores!$F$46,Valores!$F$46,Valores!$C$49*B207)/2)</f>
        <v>16534.2</v>
      </c>
      <c r="S207" s="125">
        <f>Valores!$C$18*B207</f>
        <v>9872.41</v>
      </c>
      <c r="T207" s="125">
        <f t="shared" si="36"/>
        <v>9872.41</v>
      </c>
      <c r="U207" s="125">
        <v>0</v>
      </c>
      <c r="V207" s="125">
        <v>0</v>
      </c>
      <c r="W207" s="192">
        <v>0</v>
      </c>
      <c r="X207" s="125">
        <f>ROUND(W207*Valores!$C$2,2)</f>
        <v>0</v>
      </c>
      <c r="Y207" s="125">
        <v>0</v>
      </c>
      <c r="Z207" s="125">
        <f>IF(Valores!$C$97*B207&gt;Valores!$C$96,Valores!$C$96,Valores!$C$97*B207)</f>
        <v>30138.62</v>
      </c>
      <c r="AA207" s="125">
        <f>IF((Valores!$C$28)*B207&gt;Valores!$F$28,Valores!$F$28,(Valores!$C$28)*B207)</f>
        <v>775.54</v>
      </c>
      <c r="AB207" s="214">
        <v>0</v>
      </c>
      <c r="AC207" s="125">
        <f t="shared" si="31"/>
        <v>0</v>
      </c>
      <c r="AD207" s="125">
        <f>IF(Valores!$C$29*B207&gt;Valores!$F$29,Valores!$F$29,Valores!$C$29*B207)</f>
        <v>645.83</v>
      </c>
      <c r="AE207" s="192">
        <v>0</v>
      </c>
      <c r="AF207" s="125">
        <f>ROUND(AE207*Valores!$C$2,2)</f>
        <v>0</v>
      </c>
      <c r="AG207" s="125">
        <f>IF($F$4="NO",IF(Valores!$D$63*'Escala Docente'!B207&gt;Valores!$F$63,Valores!$F$63,Valores!$D$63*'Escala Docente'!B207),IF(Valores!$D$63*'Escala Docente'!B207&gt;Valores!$F$63,Valores!$F$63,Valores!$D$63*'Escala Docente'!B207)/2)-0.03</f>
        <v>14750.019999999999</v>
      </c>
      <c r="AH207" s="125">
        <f t="shared" si="34"/>
        <v>253091.78</v>
      </c>
      <c r="AI207" s="125">
        <f>IF(Valores!$C$32*B207&gt;Valores!$F$32,Valores!$F$32,Valores!$C$32*B207)</f>
        <v>0</v>
      </c>
      <c r="AJ207" s="125">
        <f>IF(Valores!$C$90*B207&gt;Valores!$C$89,Valores!$C$89,Valores!$C$90*B207)</f>
        <v>0</v>
      </c>
      <c r="AK207" s="125">
        <f>IF(Valores!C$39*B207&gt;Valores!F$38,Valores!F$38,Valores!C$39*B207)</f>
        <v>0</v>
      </c>
      <c r="AL207" s="125">
        <f>IF($F$3="NO",0,IF(Valores!$C$61*B207&gt;Valores!$F$61,Valores!$F$61,Valores!$C$61*B207))</f>
        <v>241.315</v>
      </c>
      <c r="AM207" s="125">
        <f t="shared" si="32"/>
        <v>241.315</v>
      </c>
      <c r="AN207" s="125">
        <f>AH207*Valores!$C$71</f>
        <v>-27840.0958</v>
      </c>
      <c r="AO207" s="125">
        <f>AH207*-Valores!$C$72</f>
        <v>0</v>
      </c>
      <c r="AP207" s="125">
        <f>AH207*Valores!$C$73</f>
        <v>-11389.1301</v>
      </c>
      <c r="AQ207" s="125">
        <f>Valores!$C$100</f>
        <v>-554.86</v>
      </c>
      <c r="AR207" s="125">
        <f>IF($F$5=0,Valores!$C$101,(Valores!$C$101+$F$5*(Valores!$C$101)))</f>
        <v>-852</v>
      </c>
      <c r="AS207" s="125">
        <f t="shared" si="35"/>
        <v>212697.0091</v>
      </c>
      <c r="AT207" s="125">
        <f t="shared" si="29"/>
        <v>-27840.0958</v>
      </c>
      <c r="AU207" s="125">
        <f>AH207*Valores!$C$74</f>
        <v>-6833.4780599999995</v>
      </c>
      <c r="AV207" s="125">
        <f>AH207*Valores!$C$75</f>
        <v>-759.27534</v>
      </c>
      <c r="AW207" s="125">
        <f t="shared" si="33"/>
        <v>217900.2458</v>
      </c>
      <c r="AX207" s="126"/>
      <c r="AY207" s="126">
        <f t="shared" si="28"/>
        <v>17</v>
      </c>
      <c r="AZ207" s="123" t="s">
        <v>4</v>
      </c>
    </row>
    <row r="208" spans="1:52" s="110" customFormat="1" ht="11.25" customHeight="1">
      <c r="A208" s="123" t="s">
        <v>470</v>
      </c>
      <c r="B208" s="123">
        <v>18</v>
      </c>
      <c r="C208" s="126">
        <v>201</v>
      </c>
      <c r="D208" s="124" t="str">
        <f t="shared" si="26"/>
        <v>Hora Cátedra Enseñanza Superior 18 hs</v>
      </c>
      <c r="E208" s="192">
        <f t="shared" si="27"/>
        <v>1782</v>
      </c>
      <c r="F208" s="125">
        <f>ROUND(E208*Valores!$C$2,2)</f>
        <v>97029.9</v>
      </c>
      <c r="G208" s="192">
        <v>0</v>
      </c>
      <c r="H208" s="125">
        <f>ROUND(G208*Valores!$C$2,2)</f>
        <v>0</v>
      </c>
      <c r="I208" s="192">
        <v>0</v>
      </c>
      <c r="J208" s="125">
        <f>ROUND(I208*Valores!$C$2,2)</f>
        <v>0</v>
      </c>
      <c r="K208" s="192">
        <v>0</v>
      </c>
      <c r="L208" s="125">
        <f>ROUND(K208*Valores!$C$2,2)</f>
        <v>0</v>
      </c>
      <c r="M208" s="125">
        <f>ROUND(IF($H$2=0,IF(AND(A208&lt;&gt;"13-930",A208&lt;&gt;"13-940"),(SUM(F208,H208,J208,L208,X208,T208,R208)*Valores!$C$4),0),0),2)</f>
        <v>31247.46</v>
      </c>
      <c r="N208" s="125">
        <f t="shared" si="30"/>
        <v>0</v>
      </c>
      <c r="O208" s="125">
        <f>Valores!$C$7*B208</f>
        <v>33235.92</v>
      </c>
      <c r="P208" s="125">
        <f>ROUND(IF(B208&lt;15,(Valores!$E$5*B208),Valores!$D$5),2)</f>
        <v>27834.84</v>
      </c>
      <c r="Q208" s="125">
        <v>0</v>
      </c>
      <c r="R208" s="125">
        <f>IF($F$4="NO",IF(Valores!$C$49*B208&gt;Valores!$F$46,Valores!$F$46,Valores!$C$49*B208),IF(Valores!$C$49*B208&gt;Valores!$F$46,Valores!$F$46,Valores!$C$49*B208)/2)</f>
        <v>17506.8</v>
      </c>
      <c r="S208" s="125">
        <f>Valores!$C$18*B208</f>
        <v>10453.14</v>
      </c>
      <c r="T208" s="125">
        <f t="shared" si="36"/>
        <v>10453.14</v>
      </c>
      <c r="U208" s="125">
        <v>0</v>
      </c>
      <c r="V208" s="125">
        <v>0</v>
      </c>
      <c r="W208" s="192">
        <v>0</v>
      </c>
      <c r="X208" s="125">
        <f>ROUND(W208*Valores!$C$2,2)</f>
        <v>0</v>
      </c>
      <c r="Y208" s="125">
        <v>0</v>
      </c>
      <c r="Z208" s="125">
        <f>IF(Valores!$C$97*B208&gt;Valores!$C$96,Valores!$C$96,Valores!$C$97*B208)</f>
        <v>31911.48</v>
      </c>
      <c r="AA208" s="125">
        <f>IF((Valores!$C$28)*B208&gt;Valores!$F$28,Valores!$F$28,(Valores!$C$28)*B208)</f>
        <v>821.16</v>
      </c>
      <c r="AB208" s="214">
        <v>0</v>
      </c>
      <c r="AC208" s="125">
        <f t="shared" si="31"/>
        <v>0</v>
      </c>
      <c r="AD208" s="125">
        <f>IF(Valores!$C$29*B208&gt;Valores!$F$29,Valores!$F$29,Valores!$C$29*B208)</f>
        <v>683.82</v>
      </c>
      <c r="AE208" s="192">
        <v>0</v>
      </c>
      <c r="AF208" s="125">
        <f>ROUND(AE208*Valores!$C$2,2)</f>
        <v>0</v>
      </c>
      <c r="AG208" s="125">
        <f>IF($F$4="NO",IF(Valores!$D$63*'Escala Docente'!B208&gt;Valores!$F$63,Valores!$F$63,Valores!$D$63*'Escala Docente'!B208),IF(Valores!$D$63*'Escala Docente'!B208&gt;Valores!$F$63,Valores!$F$63,Valores!$D$63*'Escala Docente'!B208)/2)-0.04</f>
        <v>15617.659999999998</v>
      </c>
      <c r="AH208" s="125">
        <f t="shared" si="34"/>
        <v>266342.17999999993</v>
      </c>
      <c r="AI208" s="125">
        <f>IF(Valores!$C$32*B208&gt;Valores!$F$32,Valores!$F$32,Valores!$C$32*B208)</f>
        <v>0</v>
      </c>
      <c r="AJ208" s="125">
        <f>IF(Valores!$C$90*B208&gt;Valores!$C$89,Valores!$C$89,Valores!$C$90*B208)</f>
        <v>0</v>
      </c>
      <c r="AK208" s="125">
        <f>IF(Valores!C$39*B208&gt;Valores!F$38,Valores!F$38,Valores!C$39*B208)</f>
        <v>0</v>
      </c>
      <c r="AL208" s="125">
        <f>IF($F$3="NO",0,IF(Valores!$C$61*B208&gt;Valores!$F$61,Valores!$F$61,Valores!$C$61*B208))</f>
        <v>255.51</v>
      </c>
      <c r="AM208" s="125">
        <f t="shared" si="32"/>
        <v>255.51</v>
      </c>
      <c r="AN208" s="125">
        <f>AH208*Valores!$C$71</f>
        <v>-29297.639799999994</v>
      </c>
      <c r="AO208" s="125">
        <f>AH208*-Valores!$C$72</f>
        <v>0</v>
      </c>
      <c r="AP208" s="125">
        <f>AH208*Valores!$C$73</f>
        <v>-11985.398099999997</v>
      </c>
      <c r="AQ208" s="125">
        <f>Valores!$C$100</f>
        <v>-554.86</v>
      </c>
      <c r="AR208" s="125">
        <f>IF($F$5=0,Valores!$C$101,(Valores!$C$101+$F$5*(Valores!$C$101)))</f>
        <v>-852</v>
      </c>
      <c r="AS208" s="125">
        <f t="shared" si="35"/>
        <v>223907.79209999993</v>
      </c>
      <c r="AT208" s="125">
        <f t="shared" si="29"/>
        <v>-29297.639799999994</v>
      </c>
      <c r="AU208" s="125">
        <f>AH208*Valores!$C$74</f>
        <v>-7191.238859999999</v>
      </c>
      <c r="AV208" s="125">
        <f>AH208*Valores!$C$75</f>
        <v>-799.0265399999998</v>
      </c>
      <c r="AW208" s="125">
        <f t="shared" si="33"/>
        <v>229309.78479999996</v>
      </c>
      <c r="AX208" s="126"/>
      <c r="AY208" s="126">
        <f t="shared" si="28"/>
        <v>18</v>
      </c>
      <c r="AZ208" s="123" t="s">
        <v>4</v>
      </c>
    </row>
    <row r="209" spans="1:52" s="110" customFormat="1" ht="11.25" customHeight="1">
      <c r="A209" s="123" t="s">
        <v>470</v>
      </c>
      <c r="B209" s="123">
        <v>19</v>
      </c>
      <c r="C209" s="126">
        <v>202</v>
      </c>
      <c r="D209" s="124" t="str">
        <f t="shared" si="26"/>
        <v>Hora Cátedra Enseñanza Superior 19 hs</v>
      </c>
      <c r="E209" s="192">
        <f t="shared" si="27"/>
        <v>1881</v>
      </c>
      <c r="F209" s="125">
        <f>ROUND(E209*Valores!$C$2,2)</f>
        <v>102420.45</v>
      </c>
      <c r="G209" s="192">
        <v>0</v>
      </c>
      <c r="H209" s="125">
        <f>ROUND(G209*Valores!$C$2,2)</f>
        <v>0</v>
      </c>
      <c r="I209" s="192">
        <v>0</v>
      </c>
      <c r="J209" s="125">
        <f>ROUND(I209*Valores!$C$2,2)</f>
        <v>0</v>
      </c>
      <c r="K209" s="192">
        <v>0</v>
      </c>
      <c r="L209" s="125">
        <f>ROUND(K209*Valores!$C$2,2)</f>
        <v>0</v>
      </c>
      <c r="M209" s="125">
        <f>ROUND(IF($H$2=0,IF(AND(A209&lt;&gt;"13-930",A209&lt;&gt;"13-940"),(SUM(F209,H209,J209,L209,X209,T209,R209)*Valores!$C$4),0),0),2)</f>
        <v>32983.43</v>
      </c>
      <c r="N209" s="125">
        <f t="shared" si="30"/>
        <v>0</v>
      </c>
      <c r="O209" s="125">
        <f>Valores!$C$7*B209</f>
        <v>35082.36</v>
      </c>
      <c r="P209" s="125">
        <f>ROUND(IF(B209&lt;15,(Valores!$E$5*B209),Valores!$D$5),2)</f>
        <v>27834.84</v>
      </c>
      <c r="Q209" s="125">
        <v>0</v>
      </c>
      <c r="R209" s="125">
        <f>IF($F$4="NO",IF(Valores!$C$49*B209&gt;Valores!$F$46,Valores!$F$46,Valores!$C$49*B209),IF(Valores!$C$49*B209&gt;Valores!$F$46,Valores!$F$46,Valores!$C$49*B209)/2)</f>
        <v>18479.4</v>
      </c>
      <c r="S209" s="125">
        <f>Valores!$C$18*B209</f>
        <v>11033.87</v>
      </c>
      <c r="T209" s="125">
        <f t="shared" si="36"/>
        <v>11033.87</v>
      </c>
      <c r="U209" s="125">
        <v>0</v>
      </c>
      <c r="V209" s="125">
        <v>0</v>
      </c>
      <c r="W209" s="192">
        <v>0</v>
      </c>
      <c r="X209" s="125">
        <f>ROUND(W209*Valores!$C$2,2)</f>
        <v>0</v>
      </c>
      <c r="Y209" s="125">
        <v>0</v>
      </c>
      <c r="Z209" s="125">
        <f>IF(Valores!$C$97*B209&gt;Valores!$C$96,Valores!$C$96,Valores!$C$97*B209)</f>
        <v>33684.34</v>
      </c>
      <c r="AA209" s="125">
        <f>IF((Valores!$C$28)*B209&gt;Valores!$F$28,Valores!$F$28,(Valores!$C$28)*B209)</f>
        <v>866.78</v>
      </c>
      <c r="AB209" s="214">
        <v>0</v>
      </c>
      <c r="AC209" s="125">
        <f t="shared" si="31"/>
        <v>0</v>
      </c>
      <c r="AD209" s="125">
        <f>IF(Valores!$C$29*B209&gt;Valores!$F$29,Valores!$F$29,Valores!$C$29*B209)</f>
        <v>721.8100000000001</v>
      </c>
      <c r="AE209" s="192">
        <v>0</v>
      </c>
      <c r="AF209" s="125">
        <f>ROUND(AE209*Valores!$C$2,2)</f>
        <v>0</v>
      </c>
      <c r="AG209" s="125">
        <f>IF($F$4="NO",IF(Valores!$D$63*'Escala Docente'!B209&gt;Valores!$F$63,Valores!$F$63,Valores!$D$63*'Escala Docente'!B209),IF(Valores!$D$63*'Escala Docente'!B209&gt;Valores!$F$63,Valores!$F$63,Valores!$D$63*'Escala Docente'!B209)/2)-0.04</f>
        <v>16485.309999999998</v>
      </c>
      <c r="AH209" s="125">
        <f t="shared" si="34"/>
        <v>279592.58999999997</v>
      </c>
      <c r="AI209" s="125">
        <f>IF(Valores!$C$32*B209&gt;Valores!$F$32,Valores!$F$32,Valores!$C$32*B209)</f>
        <v>0</v>
      </c>
      <c r="AJ209" s="125">
        <f>IF(Valores!$C$90*B209&gt;Valores!$C$89,Valores!$C$89,Valores!$C$90*B209)</f>
        <v>0</v>
      </c>
      <c r="AK209" s="125">
        <f>IF(Valores!C$39*B209&gt;Valores!F$38,Valores!F$38,Valores!C$39*B209)</f>
        <v>0</v>
      </c>
      <c r="AL209" s="125">
        <f>IF($F$3="NO",0,IF(Valores!$C$61*B209&gt;Valores!$F$61,Valores!$F$61,Valores!$C$61*B209))</f>
        <v>269.705</v>
      </c>
      <c r="AM209" s="125">
        <f t="shared" si="32"/>
        <v>269.705</v>
      </c>
      <c r="AN209" s="125">
        <f>AH209*Valores!$C$71</f>
        <v>-30755.184899999997</v>
      </c>
      <c r="AO209" s="125">
        <f>AH209*-Valores!$C$72</f>
        <v>0</v>
      </c>
      <c r="AP209" s="125">
        <f>AH209*Valores!$C$73</f>
        <v>-12581.666549999998</v>
      </c>
      <c r="AQ209" s="125">
        <f>Valores!$C$100</f>
        <v>-554.86</v>
      </c>
      <c r="AR209" s="125">
        <f>IF($F$5=0,Valores!$C$101,(Valores!$C$101+$F$5*(Valores!$C$101)))</f>
        <v>-852</v>
      </c>
      <c r="AS209" s="125">
        <f t="shared" si="35"/>
        <v>235118.58354999998</v>
      </c>
      <c r="AT209" s="125">
        <f t="shared" si="29"/>
        <v>-30755.184899999997</v>
      </c>
      <c r="AU209" s="125">
        <f>AH209*Valores!$C$74</f>
        <v>-7548.999929999999</v>
      </c>
      <c r="AV209" s="125">
        <f>AH209*Valores!$C$75</f>
        <v>-838.7777699999999</v>
      </c>
      <c r="AW209" s="125">
        <f t="shared" si="33"/>
        <v>240719.33239999998</v>
      </c>
      <c r="AX209" s="126"/>
      <c r="AY209" s="126">
        <f t="shared" si="28"/>
        <v>19</v>
      </c>
      <c r="AZ209" s="123" t="s">
        <v>4</v>
      </c>
    </row>
    <row r="210" spans="1:52" s="110" customFormat="1" ht="11.25" customHeight="1">
      <c r="A210" s="123" t="s">
        <v>470</v>
      </c>
      <c r="B210" s="123">
        <v>20</v>
      </c>
      <c r="C210" s="126">
        <v>203</v>
      </c>
      <c r="D210" s="124" t="str">
        <f t="shared" si="26"/>
        <v>Hora Cátedra Enseñanza Superior 20 hs</v>
      </c>
      <c r="E210" s="192">
        <f t="shared" si="27"/>
        <v>1980</v>
      </c>
      <c r="F210" s="125">
        <f>ROUND(E210*Valores!$C$2,2)</f>
        <v>107811</v>
      </c>
      <c r="G210" s="192">
        <v>0</v>
      </c>
      <c r="H210" s="125">
        <f>ROUND(G210*Valores!$C$2,2)</f>
        <v>0</v>
      </c>
      <c r="I210" s="192">
        <v>0</v>
      </c>
      <c r="J210" s="125">
        <f>ROUND(I210*Valores!$C$2,2)</f>
        <v>0</v>
      </c>
      <c r="K210" s="192">
        <v>0</v>
      </c>
      <c r="L210" s="125">
        <f>ROUND(K210*Valores!$C$2,2)</f>
        <v>0</v>
      </c>
      <c r="M210" s="125">
        <f>ROUND(IF($H$2=0,IF(AND(A210&lt;&gt;"13-930",A210&lt;&gt;"13-940"),(SUM(F210,H210,J210,L210,X210,T210,R210)*Valores!$C$4),0),0),2)</f>
        <v>34719.4</v>
      </c>
      <c r="N210" s="125">
        <f t="shared" si="30"/>
        <v>0</v>
      </c>
      <c r="O210" s="125">
        <f>Valores!$C$7*B210</f>
        <v>36928.8</v>
      </c>
      <c r="P210" s="125">
        <f>ROUND(IF(B210&lt;15,(Valores!$E$5*B210),Valores!$D$5),2)</f>
        <v>27834.84</v>
      </c>
      <c r="Q210" s="125">
        <v>0</v>
      </c>
      <c r="R210" s="125">
        <f>IF($F$4="NO",IF(Valores!$C$49*B210&gt;Valores!$F$46,Valores!$F$46,Valores!$C$49*B210),IF(Valores!$C$49*B210&gt;Valores!$F$46,Valores!$F$46,Valores!$C$49*B210)/2)</f>
        <v>19452</v>
      </c>
      <c r="S210" s="125">
        <f>Valores!$C$18*B210</f>
        <v>11614.6</v>
      </c>
      <c r="T210" s="125">
        <f t="shared" si="36"/>
        <v>11614.6</v>
      </c>
      <c r="U210" s="125">
        <v>0</v>
      </c>
      <c r="V210" s="125">
        <v>0</v>
      </c>
      <c r="W210" s="192">
        <v>0</v>
      </c>
      <c r="X210" s="125">
        <f>ROUND(W210*Valores!$C$2,2)</f>
        <v>0</v>
      </c>
      <c r="Y210" s="125">
        <v>0</v>
      </c>
      <c r="Z210" s="125">
        <f>IF(Valores!$C$97*B210&gt;Valores!$C$96,Valores!$C$96,Valores!$C$97*B210)</f>
        <v>35457.2</v>
      </c>
      <c r="AA210" s="125">
        <f>IF((Valores!$C$28)*B210&gt;Valores!$F$28,Valores!$F$28,(Valores!$C$28)*B210)</f>
        <v>912.4</v>
      </c>
      <c r="AB210" s="214">
        <v>0</v>
      </c>
      <c r="AC210" s="125">
        <f t="shared" si="31"/>
        <v>0</v>
      </c>
      <c r="AD210" s="125">
        <f>IF(Valores!$C$29*B210&gt;Valores!$F$29,Valores!$F$29,Valores!$C$29*B210)</f>
        <v>759.8000000000001</v>
      </c>
      <c r="AE210" s="192">
        <v>0</v>
      </c>
      <c r="AF210" s="125">
        <f>ROUND(AE210*Valores!$C$2,2)</f>
        <v>0</v>
      </c>
      <c r="AG210" s="125">
        <f>IF($F$4="NO",IF(Valores!$D$63*'Escala Docente'!B210&gt;Valores!$F$63,Valores!$F$63,Valores!$D$63*'Escala Docente'!B210),IF(Valores!$D$63*'Escala Docente'!B210&gt;Valores!$F$63,Valores!$F$63,Valores!$D$63*'Escala Docente'!B210)/2)-0.04</f>
        <v>17352.96</v>
      </c>
      <c r="AH210" s="125">
        <f t="shared" si="34"/>
        <v>292843.00000000006</v>
      </c>
      <c r="AI210" s="125">
        <f>IF(Valores!$C$32*B210&gt;Valores!$F$32,Valores!$F$32,Valores!$C$32*B210)</f>
        <v>0</v>
      </c>
      <c r="AJ210" s="125">
        <f>IF(Valores!$C$90*B210&gt;Valores!$C$89,Valores!$C$89,Valores!$C$90*B210)</f>
        <v>0</v>
      </c>
      <c r="AK210" s="125">
        <f>IF(Valores!C$39*B210&gt;Valores!F$38,Valores!F$38,Valores!C$39*B210)</f>
        <v>0</v>
      </c>
      <c r="AL210" s="125">
        <f>IF($F$3="NO",0,IF(Valores!$C$61*B210&gt;Valores!$F$61,Valores!$F$61,Valores!$C$61*B210))</f>
        <v>283.9</v>
      </c>
      <c r="AM210" s="125">
        <f t="shared" si="32"/>
        <v>283.9</v>
      </c>
      <c r="AN210" s="125">
        <f>AH210*Valores!$C$71</f>
        <v>-32212.730000000007</v>
      </c>
      <c r="AO210" s="125">
        <f>AH210*-Valores!$C$72</f>
        <v>0</v>
      </c>
      <c r="AP210" s="125">
        <f>AH210*Valores!$C$73</f>
        <v>-13177.935000000001</v>
      </c>
      <c r="AQ210" s="125">
        <f>Valores!$C$100</f>
        <v>-554.86</v>
      </c>
      <c r="AR210" s="125">
        <f>IF($F$5=0,Valores!$C$101,(Valores!$C$101+$F$5*(Valores!$C$101)))</f>
        <v>-852</v>
      </c>
      <c r="AS210" s="125">
        <f t="shared" si="35"/>
        <v>246329.37500000006</v>
      </c>
      <c r="AT210" s="125">
        <f t="shared" si="29"/>
        <v>-32212.730000000007</v>
      </c>
      <c r="AU210" s="125">
        <f>AH210*Valores!$C$74</f>
        <v>-7906.761000000001</v>
      </c>
      <c r="AV210" s="125">
        <f>AH210*Valores!$C$75</f>
        <v>-878.5290000000002</v>
      </c>
      <c r="AW210" s="125">
        <f t="shared" si="33"/>
        <v>252128.88000000006</v>
      </c>
      <c r="AX210" s="126"/>
      <c r="AY210" s="126">
        <f t="shared" si="28"/>
        <v>20</v>
      </c>
      <c r="AZ210" s="123" t="s">
        <v>4</v>
      </c>
    </row>
    <row r="211" spans="1:52" s="110" customFormat="1" ht="11.25" customHeight="1">
      <c r="A211" s="123" t="s">
        <v>470</v>
      </c>
      <c r="B211" s="123">
        <v>21</v>
      </c>
      <c r="C211" s="126">
        <v>204</v>
      </c>
      <c r="D211" s="124" t="str">
        <f t="shared" si="26"/>
        <v>Hora Cátedra Enseñanza Superior 21 hs</v>
      </c>
      <c r="E211" s="192">
        <f t="shared" si="27"/>
        <v>2079</v>
      </c>
      <c r="F211" s="125">
        <f>ROUND(E211*Valores!$C$2,2)</f>
        <v>113201.55</v>
      </c>
      <c r="G211" s="192">
        <v>0</v>
      </c>
      <c r="H211" s="125">
        <f>ROUND(G211*Valores!$C$2,2)</f>
        <v>0</v>
      </c>
      <c r="I211" s="192">
        <v>0</v>
      </c>
      <c r="J211" s="125">
        <f>ROUND(I211*Valores!$C$2,2)</f>
        <v>0</v>
      </c>
      <c r="K211" s="192">
        <v>0</v>
      </c>
      <c r="L211" s="125">
        <f>ROUND(K211*Valores!$C$2,2)</f>
        <v>0</v>
      </c>
      <c r="M211" s="125">
        <f>ROUND(IF($H$2=0,IF(AND(A211&lt;&gt;"13-930",A211&lt;&gt;"13-940"),(SUM(F211,H211,J211,L211,X211,T211,R211)*Valores!$C$4),0),0),2)</f>
        <v>36455.37</v>
      </c>
      <c r="N211" s="125">
        <f t="shared" si="30"/>
        <v>0</v>
      </c>
      <c r="O211" s="125">
        <f>Valores!$C$7*B211</f>
        <v>38775.24</v>
      </c>
      <c r="P211" s="125">
        <f>ROUND(IF(B211&lt;15,(Valores!$E$5*B211),Valores!$D$5),2)</f>
        <v>27834.84</v>
      </c>
      <c r="Q211" s="125">
        <v>0</v>
      </c>
      <c r="R211" s="125">
        <f>IF($F$4="NO",IF(Valores!$C$49*B211&gt;Valores!$F$46,Valores!$F$46,Valores!$C$49*B211),IF(Valores!$C$49*B211&gt;Valores!$F$46,Valores!$F$46,Valores!$C$49*B211)/2)</f>
        <v>20424.600000000002</v>
      </c>
      <c r="S211" s="125">
        <f>Valores!$C$18*B211</f>
        <v>12195.33</v>
      </c>
      <c r="T211" s="125">
        <f t="shared" si="36"/>
        <v>12195.33</v>
      </c>
      <c r="U211" s="125">
        <v>0</v>
      </c>
      <c r="V211" s="125">
        <v>0</v>
      </c>
      <c r="W211" s="192">
        <v>0</v>
      </c>
      <c r="X211" s="125">
        <f>ROUND(W211*Valores!$C$2,2)</f>
        <v>0</v>
      </c>
      <c r="Y211" s="125">
        <v>0</v>
      </c>
      <c r="Z211" s="125">
        <f>IF(Valores!$C$97*B211&gt;Valores!$C$96,Valores!$C$96,Valores!$C$97*B211)</f>
        <v>37230.06</v>
      </c>
      <c r="AA211" s="125">
        <f>IF((Valores!$C$28)*B211&gt;Valores!$F$28,Valores!$F$28,(Valores!$C$28)*B211)</f>
        <v>958.02</v>
      </c>
      <c r="AB211" s="214">
        <v>0</v>
      </c>
      <c r="AC211" s="125">
        <f t="shared" si="31"/>
        <v>0</v>
      </c>
      <c r="AD211" s="125">
        <f>IF(Valores!$C$29*B211&gt;Valores!$F$29,Valores!$F$29,Valores!$C$29*B211)</f>
        <v>797.7900000000001</v>
      </c>
      <c r="AE211" s="192">
        <v>0</v>
      </c>
      <c r="AF211" s="125">
        <f>ROUND(AE211*Valores!$C$2,2)</f>
        <v>0</v>
      </c>
      <c r="AG211" s="125">
        <f>IF($F$4="NO",IF(Valores!$D$63*'Escala Docente'!B211&gt;Valores!$F$63,Valores!$F$63,Valores!$D$63*'Escala Docente'!B211),IF(Valores!$D$63*'Escala Docente'!B211&gt;Valores!$F$63,Valores!$F$63,Valores!$D$63*'Escala Docente'!B211)/2)-0.05</f>
        <v>18220.6</v>
      </c>
      <c r="AH211" s="125">
        <f t="shared" si="34"/>
        <v>306093.39999999997</v>
      </c>
      <c r="AI211" s="125">
        <f>IF(Valores!$C$32*B211&gt;Valores!$F$32,Valores!$F$32,Valores!$C$32*B211)</f>
        <v>0</v>
      </c>
      <c r="AJ211" s="125">
        <f>IF(Valores!$C$90*B211&gt;Valores!$C$89,Valores!$C$89,Valores!$C$90*B211)</f>
        <v>0</v>
      </c>
      <c r="AK211" s="125">
        <f>IF(Valores!C$39*B211&gt;Valores!F$38,Valores!F$38,Valores!C$39*B211)</f>
        <v>0</v>
      </c>
      <c r="AL211" s="125">
        <f>IF($F$3="NO",0,IF(Valores!$C$61*B211&gt;Valores!$F$61,Valores!$F$61,Valores!$C$61*B211))</f>
        <v>298.095</v>
      </c>
      <c r="AM211" s="125">
        <f t="shared" si="32"/>
        <v>298.095</v>
      </c>
      <c r="AN211" s="125">
        <f>AH211*Valores!$C$71</f>
        <v>-33670.274</v>
      </c>
      <c r="AO211" s="125">
        <f>AH211*-Valores!$C$72</f>
        <v>0</v>
      </c>
      <c r="AP211" s="125">
        <f>AH211*Valores!$C$73</f>
        <v>-13774.202999999998</v>
      </c>
      <c r="AQ211" s="125">
        <f>Valores!$C$100</f>
        <v>-554.86</v>
      </c>
      <c r="AR211" s="125">
        <f>IF($F$5=0,Valores!$C$101,(Valores!$C$101+$F$5*(Valores!$C$101)))</f>
        <v>-852</v>
      </c>
      <c r="AS211" s="125">
        <f t="shared" si="35"/>
        <v>257540.15799999997</v>
      </c>
      <c r="AT211" s="125">
        <f t="shared" si="29"/>
        <v>-33670.274</v>
      </c>
      <c r="AU211" s="125">
        <f>AH211*Valores!$C$74</f>
        <v>-8264.521799999999</v>
      </c>
      <c r="AV211" s="125">
        <f>AH211*Valores!$C$75</f>
        <v>-918.2801999999999</v>
      </c>
      <c r="AW211" s="125">
        <f t="shared" si="33"/>
        <v>263538.41899999994</v>
      </c>
      <c r="AX211" s="126"/>
      <c r="AY211" s="126">
        <f t="shared" si="28"/>
        <v>21</v>
      </c>
      <c r="AZ211" s="123" t="s">
        <v>8</v>
      </c>
    </row>
    <row r="212" spans="1:52" s="110" customFormat="1" ht="11.25" customHeight="1">
      <c r="A212" s="123" t="s">
        <v>470</v>
      </c>
      <c r="B212" s="123">
        <v>22</v>
      </c>
      <c r="C212" s="126">
        <v>205</v>
      </c>
      <c r="D212" s="124" t="str">
        <f t="shared" si="26"/>
        <v>Hora Cátedra Enseñanza Superior 22 hs</v>
      </c>
      <c r="E212" s="192">
        <f t="shared" si="27"/>
        <v>2178</v>
      </c>
      <c r="F212" s="125">
        <f>ROUND(E212*Valores!$C$2,2)</f>
        <v>118592.1</v>
      </c>
      <c r="G212" s="192">
        <v>0</v>
      </c>
      <c r="H212" s="125">
        <f>ROUND(G212*Valores!$C$2,2)</f>
        <v>0</v>
      </c>
      <c r="I212" s="192">
        <v>0</v>
      </c>
      <c r="J212" s="125">
        <f>ROUND(I212*Valores!$C$2,2)</f>
        <v>0</v>
      </c>
      <c r="K212" s="192">
        <v>0</v>
      </c>
      <c r="L212" s="125">
        <f>ROUND(K212*Valores!$C$2,2)</f>
        <v>0</v>
      </c>
      <c r="M212" s="125">
        <f>ROUND(IF($H$2=0,IF(AND(A212&lt;&gt;"13-930",A212&lt;&gt;"13-940"),(SUM(F212,H212,J212,L212,X212,T212,R212)*Valores!$C$4),0),0),2)</f>
        <v>38191.34</v>
      </c>
      <c r="N212" s="125">
        <f t="shared" si="30"/>
        <v>0</v>
      </c>
      <c r="O212" s="125">
        <f>Valores!$C$7*B212</f>
        <v>40621.68</v>
      </c>
      <c r="P212" s="125">
        <f>ROUND(IF(B212&lt;15,(Valores!$E$5*B212),Valores!$D$5),2)</f>
        <v>27834.84</v>
      </c>
      <c r="Q212" s="125">
        <v>0</v>
      </c>
      <c r="R212" s="125">
        <f>IF($F$4="NO",IF(Valores!$C$49*B212&gt;Valores!$F$46,Valores!$F$46,Valores!$C$49*B212),IF(Valores!$C$49*B212&gt;Valores!$F$46,Valores!$F$46,Valores!$C$49*B212)/2)</f>
        <v>21397.2</v>
      </c>
      <c r="S212" s="125">
        <f>Valores!$C$18*B212</f>
        <v>12776.060000000001</v>
      </c>
      <c r="T212" s="125">
        <f t="shared" si="36"/>
        <v>12776.06</v>
      </c>
      <c r="U212" s="125">
        <v>0</v>
      </c>
      <c r="V212" s="125">
        <v>0</v>
      </c>
      <c r="W212" s="192">
        <v>0</v>
      </c>
      <c r="X212" s="125">
        <f>ROUND(W212*Valores!$C$2,2)</f>
        <v>0</v>
      </c>
      <c r="Y212" s="125">
        <v>0</v>
      </c>
      <c r="Z212" s="125">
        <f>IF(Valores!$C$97*B212&gt;Valores!$C$96,Valores!$C$96,Valores!$C$97*B212)</f>
        <v>39002.92</v>
      </c>
      <c r="AA212" s="125">
        <f>IF((Valores!$C$28)*B212&gt;Valores!$F$28,Valores!$F$28,(Valores!$C$28)*B212)</f>
        <v>1003.64</v>
      </c>
      <c r="AB212" s="214">
        <v>0</v>
      </c>
      <c r="AC212" s="125">
        <f t="shared" si="31"/>
        <v>0</v>
      </c>
      <c r="AD212" s="125">
        <f>IF(Valores!$C$29*B212&gt;Valores!$F$29,Valores!$F$29,Valores!$C$29*B212)</f>
        <v>835.7800000000001</v>
      </c>
      <c r="AE212" s="192">
        <v>0</v>
      </c>
      <c r="AF212" s="125">
        <f>ROUND(AE212*Valores!$C$2,2)</f>
        <v>0</v>
      </c>
      <c r="AG212" s="125">
        <f>IF($F$4="NO",IF(Valores!$D$63*'Escala Docente'!B212&gt;Valores!$F$63,Valores!$F$63,Valores!$D$63*'Escala Docente'!B212),IF(Valores!$D$63*'Escala Docente'!B212&gt;Valores!$F$63,Valores!$F$63,Valores!$D$63*'Escala Docente'!B212)/2)-0.05</f>
        <v>19088.25</v>
      </c>
      <c r="AH212" s="125">
        <f t="shared" si="34"/>
        <v>319343.81000000006</v>
      </c>
      <c r="AI212" s="125">
        <f>IF(Valores!$C$32*B212&gt;Valores!$F$32,Valores!$F$32,Valores!$C$32*B212)</f>
        <v>0</v>
      </c>
      <c r="AJ212" s="125">
        <f>IF(Valores!$C$90*B212&gt;Valores!$C$89,Valores!$C$89,Valores!$C$90*B212)</f>
        <v>0</v>
      </c>
      <c r="AK212" s="125">
        <f>IF(Valores!C$39*B212&gt;Valores!F$38,Valores!F$38,Valores!C$39*B212)</f>
        <v>0</v>
      </c>
      <c r="AL212" s="125">
        <f>IF($F$3="NO",0,IF(Valores!$C$61*B212&gt;Valores!$F$61,Valores!$F$61,Valores!$C$61*B212))</f>
        <v>312.29</v>
      </c>
      <c r="AM212" s="125">
        <f t="shared" si="32"/>
        <v>312.29</v>
      </c>
      <c r="AN212" s="125">
        <f>AH212*Valores!$C$71</f>
        <v>-35127.81910000001</v>
      </c>
      <c r="AO212" s="125">
        <f>AH212*-Valores!$C$72</f>
        <v>0</v>
      </c>
      <c r="AP212" s="125">
        <f>AH212*Valores!$C$73</f>
        <v>-14370.471450000003</v>
      </c>
      <c r="AQ212" s="125">
        <f>Valores!$C$100</f>
        <v>-554.86</v>
      </c>
      <c r="AR212" s="125">
        <f>IF($F$5=0,Valores!$C$101,(Valores!$C$101+$F$5*(Valores!$C$101)))</f>
        <v>-852</v>
      </c>
      <c r="AS212" s="125">
        <f t="shared" si="35"/>
        <v>268750.9494500001</v>
      </c>
      <c r="AT212" s="125">
        <f t="shared" si="29"/>
        <v>-35127.81910000001</v>
      </c>
      <c r="AU212" s="125">
        <f>AH212*Valores!$C$74</f>
        <v>-8622.282870000001</v>
      </c>
      <c r="AV212" s="125">
        <f>AH212*Valores!$C$75</f>
        <v>-958.0314300000002</v>
      </c>
      <c r="AW212" s="125">
        <f t="shared" si="33"/>
        <v>274947.96660000004</v>
      </c>
      <c r="AX212" s="126"/>
      <c r="AY212" s="126">
        <f t="shared" si="28"/>
        <v>22</v>
      </c>
      <c r="AZ212" s="123" t="s">
        <v>4</v>
      </c>
    </row>
    <row r="213" spans="1:52" s="110" customFormat="1" ht="11.25" customHeight="1">
      <c r="A213" s="123" t="s">
        <v>470</v>
      </c>
      <c r="B213" s="123">
        <v>23</v>
      </c>
      <c r="C213" s="126">
        <v>206</v>
      </c>
      <c r="D213" s="124" t="str">
        <f t="shared" si="26"/>
        <v>Hora Cátedra Enseñanza Superior 23 hs</v>
      </c>
      <c r="E213" s="192">
        <f t="shared" si="27"/>
        <v>2277</v>
      </c>
      <c r="F213" s="125">
        <f>ROUND(E213*Valores!$C$2,2)</f>
        <v>123982.65</v>
      </c>
      <c r="G213" s="192">
        <v>0</v>
      </c>
      <c r="H213" s="125">
        <f>ROUND(G213*Valores!$C$2,2)</f>
        <v>0</v>
      </c>
      <c r="I213" s="192">
        <v>0</v>
      </c>
      <c r="J213" s="125">
        <f>ROUND(I213*Valores!$C$2,2)</f>
        <v>0</v>
      </c>
      <c r="K213" s="192">
        <v>0</v>
      </c>
      <c r="L213" s="125">
        <f>ROUND(K213*Valores!$C$2,2)</f>
        <v>0</v>
      </c>
      <c r="M213" s="125">
        <f>ROUND(IF($H$2=0,IF(AND(A213&lt;&gt;"13-930",A213&lt;&gt;"13-940"),(SUM(F213,H213,J213,L213,X213,T213,R213)*Valores!$C$4),0),0),2)</f>
        <v>39927.31</v>
      </c>
      <c r="N213" s="125">
        <f t="shared" si="30"/>
        <v>0</v>
      </c>
      <c r="O213" s="125">
        <f>Valores!$C$7*B213</f>
        <v>42468.12</v>
      </c>
      <c r="P213" s="125">
        <f>ROUND(IF(B213&lt;15,(Valores!$E$5*B213),Valores!$D$5),2)</f>
        <v>27834.84</v>
      </c>
      <c r="Q213" s="125">
        <v>0</v>
      </c>
      <c r="R213" s="125">
        <f>IF($F$4="NO",IF(Valores!$C$49*B213&gt;Valores!$F$46,Valores!$F$46,Valores!$C$49*B213),IF(Valores!$C$49*B213&gt;Valores!$F$46,Valores!$F$46,Valores!$C$49*B213)/2)</f>
        <v>22369.8</v>
      </c>
      <c r="S213" s="125">
        <f>Valores!$C$18*B213</f>
        <v>13356.79</v>
      </c>
      <c r="T213" s="125">
        <f t="shared" si="36"/>
        <v>13356.79</v>
      </c>
      <c r="U213" s="125">
        <v>0</v>
      </c>
      <c r="V213" s="125">
        <v>0</v>
      </c>
      <c r="W213" s="192">
        <v>0</v>
      </c>
      <c r="X213" s="125">
        <f>ROUND(W213*Valores!$C$2,2)</f>
        <v>0</v>
      </c>
      <c r="Y213" s="125">
        <v>0</v>
      </c>
      <c r="Z213" s="125">
        <f>IF(Valores!$C$97*B213&gt;Valores!$C$96,Valores!$C$96,Valores!$C$97*B213)</f>
        <v>40775.78</v>
      </c>
      <c r="AA213" s="125">
        <f>IF((Valores!$C$28)*B213&gt;Valores!$F$28,Valores!$F$28,(Valores!$C$28)*B213)</f>
        <v>1049.26</v>
      </c>
      <c r="AB213" s="214">
        <v>0</v>
      </c>
      <c r="AC213" s="125">
        <f t="shared" si="31"/>
        <v>0</v>
      </c>
      <c r="AD213" s="125">
        <f>IF(Valores!$C$29*B213&gt;Valores!$F$29,Valores!$F$29,Valores!$C$29*B213)</f>
        <v>873.7700000000001</v>
      </c>
      <c r="AE213" s="192">
        <v>0</v>
      </c>
      <c r="AF213" s="125">
        <f>ROUND(AE213*Valores!$C$2,2)</f>
        <v>0</v>
      </c>
      <c r="AG213" s="125">
        <f>IF($F$4="NO",IF(Valores!$D$63*'Escala Docente'!B213&gt;Valores!$F$63,Valores!$F$63,Valores!$D$63*'Escala Docente'!B213),IF(Valores!$D$63*'Escala Docente'!B213&gt;Valores!$F$63,Valores!$F$63,Valores!$D$63*'Escala Docente'!B213)/2)-0.05</f>
        <v>19955.9</v>
      </c>
      <c r="AH213" s="125">
        <f t="shared" si="34"/>
        <v>332594.22</v>
      </c>
      <c r="AI213" s="125">
        <f>IF(Valores!$C$32*B213&gt;Valores!$F$32,Valores!$F$32,Valores!$C$32*B213)</f>
        <v>0</v>
      </c>
      <c r="AJ213" s="125">
        <f>IF(Valores!$C$90*B213&gt;Valores!$C$89,Valores!$C$89,Valores!$C$90*B213)</f>
        <v>0</v>
      </c>
      <c r="AK213" s="125">
        <f>IF(Valores!C$39*B213&gt;Valores!F$38,Valores!F$38,Valores!C$39*B213)</f>
        <v>0</v>
      </c>
      <c r="AL213" s="125">
        <f>IF($F$3="NO",0,IF(Valores!$C$61*B213&gt;Valores!$F$61,Valores!$F$61,Valores!$C$61*B213))</f>
        <v>326.485</v>
      </c>
      <c r="AM213" s="125">
        <f t="shared" si="32"/>
        <v>326.485</v>
      </c>
      <c r="AN213" s="125">
        <f>AH213*Valores!$C$71</f>
        <v>-36585.364199999996</v>
      </c>
      <c r="AO213" s="125">
        <f>AH213*-Valores!$C$72</f>
        <v>0</v>
      </c>
      <c r="AP213" s="125">
        <f>AH213*Valores!$C$73</f>
        <v>-14966.739899999999</v>
      </c>
      <c r="AQ213" s="125">
        <f>Valores!$C$100</f>
        <v>-554.86</v>
      </c>
      <c r="AR213" s="125">
        <f>IF($F$5=0,Valores!$C$101,(Valores!$C$101+$F$5*(Valores!$C$101)))</f>
        <v>-852</v>
      </c>
      <c r="AS213" s="125">
        <f t="shared" si="35"/>
        <v>279961.7409</v>
      </c>
      <c r="AT213" s="125">
        <f t="shared" si="29"/>
        <v>-36585.364199999996</v>
      </c>
      <c r="AU213" s="125">
        <f>AH213*Valores!$C$74</f>
        <v>-8980.04394</v>
      </c>
      <c r="AV213" s="125">
        <f>AH213*Valores!$C$75</f>
        <v>-997.78266</v>
      </c>
      <c r="AW213" s="125">
        <f t="shared" si="33"/>
        <v>286357.5142</v>
      </c>
      <c r="AX213" s="126"/>
      <c r="AY213" s="126">
        <f t="shared" si="28"/>
        <v>23</v>
      </c>
      <c r="AZ213" s="123" t="s">
        <v>8</v>
      </c>
    </row>
    <row r="214" spans="1:52" s="110" customFormat="1" ht="11.25" customHeight="1">
      <c r="A214" s="123" t="s">
        <v>470</v>
      </c>
      <c r="B214" s="123">
        <v>24</v>
      </c>
      <c r="C214" s="126">
        <v>207</v>
      </c>
      <c r="D214" s="124" t="str">
        <f t="shared" si="26"/>
        <v>Hora Cátedra Enseñanza Superior 24 hs</v>
      </c>
      <c r="E214" s="192">
        <f t="shared" si="27"/>
        <v>2376</v>
      </c>
      <c r="F214" s="125">
        <f>ROUND(E214*Valores!$C$2,2)</f>
        <v>129373.2</v>
      </c>
      <c r="G214" s="192">
        <v>0</v>
      </c>
      <c r="H214" s="125">
        <f>ROUND(G214*Valores!$C$2,2)</f>
        <v>0</v>
      </c>
      <c r="I214" s="192">
        <v>0</v>
      </c>
      <c r="J214" s="125">
        <f>ROUND(I214*Valores!$C$2,2)</f>
        <v>0</v>
      </c>
      <c r="K214" s="192">
        <v>0</v>
      </c>
      <c r="L214" s="125">
        <f>ROUND(K214*Valores!$C$2,2)</f>
        <v>0</v>
      </c>
      <c r="M214" s="125">
        <f>ROUND(IF($H$2=0,IF(AND(A214&lt;&gt;"13-930",A214&lt;&gt;"13-940"),(SUM(F214,H214,J214,L214,X214,T214,R214)*Valores!$C$4),0),0),2)</f>
        <v>41663.28</v>
      </c>
      <c r="N214" s="125">
        <f t="shared" si="30"/>
        <v>0</v>
      </c>
      <c r="O214" s="125">
        <f>Valores!$C$7*B214</f>
        <v>44314.56</v>
      </c>
      <c r="P214" s="125">
        <f>ROUND(IF(B214&lt;15,(Valores!$E$5*B214),Valores!$D$5),2)</f>
        <v>27834.84</v>
      </c>
      <c r="Q214" s="125">
        <v>0</v>
      </c>
      <c r="R214" s="125">
        <f>IF($F$4="NO",IF(Valores!$C$49*B214&gt;Valores!$F$46,Valores!$F$46,Valores!$C$49*B214),IF(Valores!$C$49*B214&gt;Valores!$F$46,Valores!$F$46,Valores!$C$49*B214)/2)</f>
        <v>23342.4</v>
      </c>
      <c r="S214" s="125">
        <f>Valores!$C$18*B214</f>
        <v>13937.52</v>
      </c>
      <c r="T214" s="125">
        <f t="shared" si="36"/>
        <v>13937.52</v>
      </c>
      <c r="U214" s="125">
        <v>0</v>
      </c>
      <c r="V214" s="125">
        <v>0</v>
      </c>
      <c r="W214" s="192">
        <v>0</v>
      </c>
      <c r="X214" s="125">
        <f>ROUND(W214*Valores!$C$2,2)</f>
        <v>0</v>
      </c>
      <c r="Y214" s="125">
        <v>0</v>
      </c>
      <c r="Z214" s="125">
        <f>IF(Valores!$C$97*B214&gt;Valores!$C$96,Valores!$C$96,Valores!$C$97*B214)</f>
        <v>42548.64</v>
      </c>
      <c r="AA214" s="125">
        <f>IF((Valores!$C$28)*B214&gt;Valores!$F$28,Valores!$F$28,(Valores!$C$28)*B214)</f>
        <v>1094.8799999999999</v>
      </c>
      <c r="AB214" s="214">
        <v>0</v>
      </c>
      <c r="AC214" s="125">
        <f t="shared" si="31"/>
        <v>0</v>
      </c>
      <c r="AD214" s="125">
        <f>IF(Valores!$C$29*B214&gt;Valores!$F$29,Valores!$F$29,Valores!$C$29*B214)</f>
        <v>911.76</v>
      </c>
      <c r="AE214" s="192">
        <v>0</v>
      </c>
      <c r="AF214" s="125">
        <f>ROUND(AE214*Valores!$C$2,2)</f>
        <v>0</v>
      </c>
      <c r="AG214" s="125">
        <f>IF($F$4="NO",IF(Valores!$D$63*'Escala Docente'!B214&gt;Valores!$F$63,Valores!$F$63,Valores!$D$63*'Escala Docente'!B214),IF(Valores!$D$63*'Escala Docente'!B214&gt;Valores!$F$63,Valores!$F$63,Valores!$D$63*'Escala Docente'!B214)/2)-0.05</f>
        <v>20823.55</v>
      </c>
      <c r="AH214" s="125">
        <f t="shared" si="34"/>
        <v>345844.63</v>
      </c>
      <c r="AI214" s="125">
        <f>IF(Valores!$C$32*B214&gt;Valores!$F$32,Valores!$F$32,Valores!$C$32*B214)</f>
        <v>0</v>
      </c>
      <c r="AJ214" s="125">
        <f>IF(Valores!$C$90*B214&gt;Valores!$C$89,Valores!$C$89,Valores!$C$90*B214)</f>
        <v>0</v>
      </c>
      <c r="AK214" s="125">
        <f>IF(Valores!C$39*B214&gt;Valores!F$38,Valores!F$38,Valores!C$39*B214)</f>
        <v>0</v>
      </c>
      <c r="AL214" s="125">
        <f>IF($F$3="NO",0,IF(Valores!$C$61*B214&gt;Valores!$F$61,Valores!$F$61,Valores!$C$61*B214))</f>
        <v>327.6</v>
      </c>
      <c r="AM214" s="125">
        <f t="shared" si="32"/>
        <v>327.6</v>
      </c>
      <c r="AN214" s="125">
        <f>AH214*Valores!$C$71</f>
        <v>-38042.9093</v>
      </c>
      <c r="AO214" s="125">
        <f>AH214*-Valores!$C$72</f>
        <v>0</v>
      </c>
      <c r="AP214" s="125">
        <f>AH214*Valores!$C$73</f>
        <v>-15563.00835</v>
      </c>
      <c r="AQ214" s="125">
        <f>Valores!$C$100</f>
        <v>-554.86</v>
      </c>
      <c r="AR214" s="125">
        <f>IF($F$5=0,Valores!$C$101,(Valores!$C$101+$F$5*(Valores!$C$101)))</f>
        <v>-852</v>
      </c>
      <c r="AS214" s="125">
        <f t="shared" si="35"/>
        <v>291159.45235000004</v>
      </c>
      <c r="AT214" s="125">
        <f t="shared" si="29"/>
        <v>-38042.9093</v>
      </c>
      <c r="AU214" s="125">
        <f>AH214*Valores!$C$74</f>
        <v>-9337.80501</v>
      </c>
      <c r="AV214" s="125">
        <f>AH214*Valores!$C$75</f>
        <v>-1037.53389</v>
      </c>
      <c r="AW214" s="125">
        <f t="shared" si="33"/>
        <v>297753.9818</v>
      </c>
      <c r="AX214" s="126"/>
      <c r="AY214" s="126">
        <f t="shared" si="28"/>
        <v>24</v>
      </c>
      <c r="AZ214" s="123" t="s">
        <v>8</v>
      </c>
    </row>
    <row r="215" spans="1:52" s="110" customFormat="1" ht="11.25" customHeight="1">
      <c r="A215" s="123" t="s">
        <v>470</v>
      </c>
      <c r="B215" s="123">
        <v>25</v>
      </c>
      <c r="C215" s="126">
        <v>208</v>
      </c>
      <c r="D215" s="124" t="str">
        <f t="shared" si="26"/>
        <v>Hora Cátedra Enseñanza Superior 25 hs</v>
      </c>
      <c r="E215" s="192">
        <f t="shared" si="27"/>
        <v>2475</v>
      </c>
      <c r="F215" s="125">
        <f>ROUND(E215*Valores!$C$2,2)</f>
        <v>134763.75</v>
      </c>
      <c r="G215" s="192">
        <v>0</v>
      </c>
      <c r="H215" s="125">
        <f>ROUND(G215*Valores!$C$2,2)</f>
        <v>0</v>
      </c>
      <c r="I215" s="192">
        <v>0</v>
      </c>
      <c r="J215" s="125">
        <f>ROUND(I215*Valores!$C$2,2)</f>
        <v>0</v>
      </c>
      <c r="K215" s="192">
        <v>0</v>
      </c>
      <c r="L215" s="125">
        <f>ROUND(K215*Valores!$C$2,2)</f>
        <v>0</v>
      </c>
      <c r="M215" s="125">
        <f>ROUND(IF($H$2=0,IF(AND(A215&lt;&gt;"13-930",A215&lt;&gt;"13-940"),(SUM(F215,H215,J215,L215,X215,T215,R215)*Valores!$C$4),0),0),2)</f>
        <v>43399.25</v>
      </c>
      <c r="N215" s="125">
        <f t="shared" si="30"/>
        <v>0</v>
      </c>
      <c r="O215" s="125">
        <f>Valores!$C$7*B215</f>
        <v>46161</v>
      </c>
      <c r="P215" s="125">
        <f>ROUND(IF(B215&lt;15,(Valores!$E$5*B215),Valores!$D$5),2)</f>
        <v>27834.84</v>
      </c>
      <c r="Q215" s="125">
        <v>0</v>
      </c>
      <c r="R215" s="125">
        <f>IF($F$4="NO",IF(Valores!$C$49*B215&gt;Valores!$F$46,Valores!$F$46,Valores!$C$49*B215),IF(Valores!$C$49*B215&gt;Valores!$F$46,Valores!$F$46,Valores!$C$49*B215)/2)</f>
        <v>24315</v>
      </c>
      <c r="S215" s="125">
        <f>Valores!$C$18*B215</f>
        <v>14518.25</v>
      </c>
      <c r="T215" s="125">
        <f t="shared" si="36"/>
        <v>14518.25</v>
      </c>
      <c r="U215" s="125">
        <v>0</v>
      </c>
      <c r="V215" s="125">
        <v>0</v>
      </c>
      <c r="W215" s="192">
        <v>0</v>
      </c>
      <c r="X215" s="125">
        <f>ROUND(W215*Valores!$C$2,2)</f>
        <v>0</v>
      </c>
      <c r="Y215" s="125">
        <v>0</v>
      </c>
      <c r="Z215" s="125">
        <f>IF(Valores!$C$97*B215&gt;Valores!$C$96,Valores!$C$96,Valores!$C$97*B215)</f>
        <v>44321.5</v>
      </c>
      <c r="AA215" s="125">
        <f>IF((Valores!$C$28)*B215&gt;Valores!$F$28,Valores!$F$28,(Valores!$C$28)*B215)</f>
        <v>1140.5</v>
      </c>
      <c r="AB215" s="214">
        <v>0</v>
      </c>
      <c r="AC215" s="125">
        <f t="shared" si="31"/>
        <v>0</v>
      </c>
      <c r="AD215" s="125">
        <f>IF(Valores!$C$29*B215&gt;Valores!$F$29,Valores!$F$29,Valores!$C$29*B215)</f>
        <v>949.75</v>
      </c>
      <c r="AE215" s="192">
        <v>0</v>
      </c>
      <c r="AF215" s="125">
        <f>ROUND(AE215*Valores!$C$2,2)</f>
        <v>0</v>
      </c>
      <c r="AG215" s="125">
        <f>IF($F$4="NO",IF(Valores!$D$63*'Escala Docente'!B215&gt;Valores!$F$63,Valores!$F$63,Valores!$D$63*'Escala Docente'!B215),IF(Valores!$D$63*'Escala Docente'!B215&gt;Valores!$F$63,Valores!$F$63,Valores!$D$63*'Escala Docente'!B215)/2)-0.05</f>
        <v>21691.2</v>
      </c>
      <c r="AH215" s="125">
        <f t="shared" si="34"/>
        <v>359095.04</v>
      </c>
      <c r="AI215" s="125">
        <f>IF(Valores!$C$32*B215&gt;Valores!$F$32,Valores!$F$32,Valores!$C$32*B215)</f>
        <v>0</v>
      </c>
      <c r="AJ215" s="125">
        <f>IF(Valores!$C$90*B215&gt;Valores!$C$89,Valores!$C$89,Valores!$C$90*B215)</f>
        <v>0</v>
      </c>
      <c r="AK215" s="125">
        <f>IF(Valores!C$39*B215&gt;Valores!F$38,Valores!F$38,Valores!C$39*B215)</f>
        <v>0</v>
      </c>
      <c r="AL215" s="125">
        <f>IF($F$3="NO",0,IF(Valores!$C$61*B215&gt;Valores!$F$61,Valores!$F$61,Valores!$C$61*B215))</f>
        <v>327.6</v>
      </c>
      <c r="AM215" s="125">
        <f t="shared" si="32"/>
        <v>327.6</v>
      </c>
      <c r="AN215" s="125">
        <f>AH215*Valores!$C$71</f>
        <v>-39500.454399999995</v>
      </c>
      <c r="AO215" s="125">
        <f>AH215*-Valores!$C$72</f>
        <v>0</v>
      </c>
      <c r="AP215" s="125">
        <f>AH215*Valores!$C$73</f>
        <v>-16159.276799999998</v>
      </c>
      <c r="AQ215" s="125">
        <f>Valores!$C$100</f>
        <v>-554.86</v>
      </c>
      <c r="AR215" s="125">
        <f>IF($F$5=0,Valores!$C$101,(Valores!$C$101+$F$5*(Valores!$C$101)))</f>
        <v>-852</v>
      </c>
      <c r="AS215" s="125">
        <f t="shared" si="35"/>
        <v>302356.0488</v>
      </c>
      <c r="AT215" s="125">
        <f t="shared" si="29"/>
        <v>-39500.454399999995</v>
      </c>
      <c r="AU215" s="125">
        <f>AH215*Valores!$C$74</f>
        <v>-9695.566079999999</v>
      </c>
      <c r="AV215" s="125">
        <f>AH215*Valores!$C$75</f>
        <v>-1077.28512</v>
      </c>
      <c r="AW215" s="125">
        <f t="shared" si="33"/>
        <v>309149.33439999993</v>
      </c>
      <c r="AX215" s="126"/>
      <c r="AY215" s="126">
        <f t="shared" si="28"/>
        <v>25</v>
      </c>
      <c r="AZ215" s="123" t="s">
        <v>4</v>
      </c>
    </row>
    <row r="216" spans="1:52" s="110" customFormat="1" ht="11.25" customHeight="1">
      <c r="A216" s="123" t="s">
        <v>470</v>
      </c>
      <c r="B216" s="123">
        <v>26</v>
      </c>
      <c r="C216" s="126">
        <v>209</v>
      </c>
      <c r="D216" s="124" t="str">
        <f t="shared" si="26"/>
        <v>Hora Cátedra Enseñanza Superior 26 hs</v>
      </c>
      <c r="E216" s="192">
        <f t="shared" si="27"/>
        <v>2574</v>
      </c>
      <c r="F216" s="125">
        <f>ROUND(E216*Valores!$C$2,2)</f>
        <v>140154.3</v>
      </c>
      <c r="G216" s="192">
        <v>0</v>
      </c>
      <c r="H216" s="125">
        <f>ROUND(G216*Valores!$C$2,2)</f>
        <v>0</v>
      </c>
      <c r="I216" s="192">
        <v>0</v>
      </c>
      <c r="J216" s="125">
        <f>ROUND(I216*Valores!$C$2,2)</f>
        <v>0</v>
      </c>
      <c r="K216" s="192">
        <v>0</v>
      </c>
      <c r="L216" s="125">
        <f>ROUND(K216*Valores!$C$2,2)</f>
        <v>0</v>
      </c>
      <c r="M216" s="125">
        <f>ROUND(IF($H$2=0,IF(AND(A216&lt;&gt;"13-930",A216&lt;&gt;"13-940"),(SUM(F216,H216,J216,L216,X216,T216,R216)*Valores!$C$4),0),0),2)</f>
        <v>45135.22</v>
      </c>
      <c r="N216" s="125">
        <f t="shared" si="30"/>
        <v>0</v>
      </c>
      <c r="O216" s="125">
        <f>Valores!$C$7*B216</f>
        <v>48007.44</v>
      </c>
      <c r="P216" s="125">
        <f>ROUND(IF(B216&lt;15,(Valores!$E$5*B216),Valores!$D$5),2)</f>
        <v>27834.84</v>
      </c>
      <c r="Q216" s="125">
        <v>0</v>
      </c>
      <c r="R216" s="125">
        <f>IF($F$4="NO",IF(Valores!$C$49*B216&gt;Valores!$F$46,Valores!$F$46,Valores!$C$49*B216),IF(Valores!$C$49*B216&gt;Valores!$F$46,Valores!$F$46,Valores!$C$49*B216)/2)</f>
        <v>25287.600000000002</v>
      </c>
      <c r="S216" s="125">
        <f>Valores!$C$18*B216</f>
        <v>15098.98</v>
      </c>
      <c r="T216" s="125">
        <f t="shared" si="36"/>
        <v>15098.98</v>
      </c>
      <c r="U216" s="125">
        <v>0</v>
      </c>
      <c r="V216" s="125">
        <v>0</v>
      </c>
      <c r="W216" s="192">
        <v>0</v>
      </c>
      <c r="X216" s="125">
        <f>ROUND(W216*Valores!$C$2,2)</f>
        <v>0</v>
      </c>
      <c r="Y216" s="125">
        <v>0</v>
      </c>
      <c r="Z216" s="125">
        <f>IF(Valores!$C$97*B216&gt;Valores!$C$96,Valores!$C$96,Valores!$C$97*B216)</f>
        <v>46094.36</v>
      </c>
      <c r="AA216" s="125">
        <f>IF((Valores!$C$28)*B216&gt;Valores!$F$28,Valores!$F$28,(Valores!$C$28)*B216)</f>
        <v>1186.12</v>
      </c>
      <c r="AB216" s="214">
        <v>0</v>
      </c>
      <c r="AC216" s="125">
        <f t="shared" si="31"/>
        <v>0</v>
      </c>
      <c r="AD216" s="125">
        <f>IF(Valores!$C$29*B216&gt;Valores!$F$29,Valores!$F$29,Valores!$C$29*B216)</f>
        <v>987.74</v>
      </c>
      <c r="AE216" s="192">
        <v>0</v>
      </c>
      <c r="AF216" s="125">
        <f>ROUND(AE216*Valores!$C$2,2)</f>
        <v>0</v>
      </c>
      <c r="AG216" s="125">
        <f>IF($F$4="NO",IF(Valores!$D$63*'Escala Docente'!B216&gt;Valores!$F$63,Valores!$F$63,Valores!$D$63*'Escala Docente'!B216),IF(Valores!$D$63*'Escala Docente'!B216&gt;Valores!$F$63,Valores!$F$63,Valores!$D$63*'Escala Docente'!B216)/2)-0.05</f>
        <v>22558.85</v>
      </c>
      <c r="AH216" s="125">
        <f t="shared" si="34"/>
        <v>372345.4499999999</v>
      </c>
      <c r="AI216" s="125">
        <f>IF(Valores!$C$32*B216&gt;Valores!$F$32,Valores!$F$32,Valores!$C$32*B216)</f>
        <v>0</v>
      </c>
      <c r="AJ216" s="125">
        <f>IF(Valores!$C$90*B216&gt;Valores!$C$89,Valores!$C$89,Valores!$C$90*B216)</f>
        <v>0</v>
      </c>
      <c r="AK216" s="125">
        <f>IF(Valores!C$39*B216&gt;Valores!F$38,Valores!F$38,Valores!C$39*B216)</f>
        <v>0</v>
      </c>
      <c r="AL216" s="125">
        <f>IF($F$3="NO",0,IF(Valores!$C$61*B216&gt;Valores!$F$61,Valores!$F$61,Valores!$C$61*B216))</f>
        <v>327.6</v>
      </c>
      <c r="AM216" s="125">
        <f t="shared" si="32"/>
        <v>327.6</v>
      </c>
      <c r="AN216" s="125">
        <f>AH216*Valores!$C$71</f>
        <v>-40957.99949999999</v>
      </c>
      <c r="AO216" s="125">
        <f>AH216*-Valores!$C$72</f>
        <v>0</v>
      </c>
      <c r="AP216" s="125">
        <f>AH216*Valores!$C$73</f>
        <v>-16755.545249999996</v>
      </c>
      <c r="AQ216" s="125">
        <f>Valores!$C$100</f>
        <v>-554.86</v>
      </c>
      <c r="AR216" s="125">
        <f>IF($F$5=0,Valores!$C$101,(Valores!$C$101+$F$5*(Valores!$C$101)))</f>
        <v>-852</v>
      </c>
      <c r="AS216" s="125">
        <f t="shared" si="35"/>
        <v>313552.6452499999</v>
      </c>
      <c r="AT216" s="125">
        <f t="shared" si="29"/>
        <v>-40957.99949999999</v>
      </c>
      <c r="AU216" s="125">
        <f>AH216*Valores!$C$74</f>
        <v>-10053.327149999997</v>
      </c>
      <c r="AV216" s="125">
        <f>AH216*Valores!$C$75</f>
        <v>-1117.0363499999996</v>
      </c>
      <c r="AW216" s="125">
        <f t="shared" si="33"/>
        <v>320544.68699999986</v>
      </c>
      <c r="AX216" s="126"/>
      <c r="AY216" s="126">
        <f t="shared" si="28"/>
        <v>26</v>
      </c>
      <c r="AZ216" s="123" t="s">
        <v>8</v>
      </c>
    </row>
    <row r="217" spans="1:52" s="110" customFormat="1" ht="11.25" customHeight="1">
      <c r="A217" s="123" t="s">
        <v>470</v>
      </c>
      <c r="B217" s="123">
        <v>27</v>
      </c>
      <c r="C217" s="126">
        <v>210</v>
      </c>
      <c r="D217" s="124" t="str">
        <f t="shared" si="26"/>
        <v>Hora Cátedra Enseñanza Superior 27 hs</v>
      </c>
      <c r="E217" s="192">
        <f t="shared" si="27"/>
        <v>2673</v>
      </c>
      <c r="F217" s="125">
        <f>ROUND(E217*Valores!$C$2,2)</f>
        <v>145544.85</v>
      </c>
      <c r="G217" s="192">
        <v>0</v>
      </c>
      <c r="H217" s="125">
        <f>ROUND(G217*Valores!$C$2,2)</f>
        <v>0</v>
      </c>
      <c r="I217" s="192">
        <v>0</v>
      </c>
      <c r="J217" s="125">
        <f>ROUND(I217*Valores!$C$2,2)</f>
        <v>0</v>
      </c>
      <c r="K217" s="192">
        <v>0</v>
      </c>
      <c r="L217" s="125">
        <f>ROUND(K217*Valores!$C$2,2)</f>
        <v>0</v>
      </c>
      <c r="M217" s="125">
        <f>ROUND(IF($H$2=0,IF(AND(A217&lt;&gt;"13-930",A217&lt;&gt;"13-940"),(SUM(F217,H217,J217,L217,X217,T217,R217)*Valores!$C$4),0),0),2)</f>
        <v>46871.19</v>
      </c>
      <c r="N217" s="125">
        <f t="shared" si="30"/>
        <v>0</v>
      </c>
      <c r="O217" s="125">
        <f>Valores!$C$7*B217</f>
        <v>49853.880000000005</v>
      </c>
      <c r="P217" s="125">
        <f>ROUND(IF(B217&lt;15,(Valores!$E$5*B217),Valores!$D$5),2)</f>
        <v>27834.84</v>
      </c>
      <c r="Q217" s="125">
        <v>0</v>
      </c>
      <c r="R217" s="125">
        <f>IF($F$4="NO",IF(Valores!$C$49*B217&gt;Valores!$F$46,Valores!$F$46,Valores!$C$49*B217),IF(Valores!$C$49*B217&gt;Valores!$F$46,Valores!$F$46,Valores!$C$49*B217)/2)</f>
        <v>26260.2</v>
      </c>
      <c r="S217" s="125">
        <f>Valores!$C$18*B217</f>
        <v>15679.710000000001</v>
      </c>
      <c r="T217" s="125">
        <f t="shared" si="36"/>
        <v>15679.71</v>
      </c>
      <c r="U217" s="125">
        <v>0</v>
      </c>
      <c r="V217" s="125">
        <v>0</v>
      </c>
      <c r="W217" s="192">
        <v>0</v>
      </c>
      <c r="X217" s="125">
        <f>ROUND(W217*Valores!$C$2,2)</f>
        <v>0</v>
      </c>
      <c r="Y217" s="125">
        <v>0</v>
      </c>
      <c r="Z217" s="125">
        <f>IF(Valores!$C$97*B217&gt;Valores!$C$96,Valores!$C$96,Valores!$C$97*B217)</f>
        <v>47867.219999999994</v>
      </c>
      <c r="AA217" s="125">
        <f>IF((Valores!$C$28)*B217&gt;Valores!$F$28,Valores!$F$28,(Valores!$C$28)*B217)</f>
        <v>1231.74</v>
      </c>
      <c r="AB217" s="214">
        <v>0</v>
      </c>
      <c r="AC217" s="125">
        <f t="shared" si="31"/>
        <v>0</v>
      </c>
      <c r="AD217" s="125">
        <f>IF(Valores!$C$29*B217&gt;Valores!$F$29,Valores!$F$29,Valores!$C$29*B217)</f>
        <v>1025.73</v>
      </c>
      <c r="AE217" s="192">
        <v>0</v>
      </c>
      <c r="AF217" s="125">
        <f>ROUND(AE217*Valores!$C$2,2)</f>
        <v>0</v>
      </c>
      <c r="AG217" s="125">
        <f>IF($F$4="NO",IF(Valores!$D$63*'Escala Docente'!B217&gt;Valores!$F$63,Valores!$F$63,Valores!$D$63*'Escala Docente'!B217),IF(Valores!$D$63*'Escala Docente'!B217&gt;Valores!$F$63,Valores!$F$63,Valores!$D$63*'Escala Docente'!B217)/2)-0.06</f>
        <v>23426.489999999998</v>
      </c>
      <c r="AH217" s="125">
        <f t="shared" si="34"/>
        <v>385595.85</v>
      </c>
      <c r="AI217" s="125">
        <f>IF(Valores!$C$32*B217&gt;Valores!$F$32,Valores!$F$32,Valores!$C$32*B217)</f>
        <v>0</v>
      </c>
      <c r="AJ217" s="125">
        <f>IF(Valores!$C$90*B217&gt;Valores!$C$89,Valores!$C$89,Valores!$C$90*B217)</f>
        <v>0</v>
      </c>
      <c r="AK217" s="125">
        <f>IF(Valores!C$39*B217&gt;Valores!F$38,Valores!F$38,Valores!C$39*B217)</f>
        <v>0</v>
      </c>
      <c r="AL217" s="125">
        <f>IF($F$3="NO",0,IF(Valores!$C$61*B217&gt;Valores!$F$61,Valores!$F$61,Valores!$C$61*B217))</f>
        <v>327.6</v>
      </c>
      <c r="AM217" s="125">
        <f t="shared" si="32"/>
        <v>327.6</v>
      </c>
      <c r="AN217" s="125">
        <f>AH217*Valores!$C$71</f>
        <v>-42415.5435</v>
      </c>
      <c r="AO217" s="125">
        <f>AH217*-Valores!$C$72</f>
        <v>0</v>
      </c>
      <c r="AP217" s="125">
        <f>AH217*Valores!$C$73</f>
        <v>-17351.81325</v>
      </c>
      <c r="AQ217" s="125">
        <f>Valores!$C$100</f>
        <v>-554.86</v>
      </c>
      <c r="AR217" s="125">
        <f>IF($F$5=0,Valores!$C$101,(Valores!$C$101+$F$5*(Valores!$C$101)))</f>
        <v>-852</v>
      </c>
      <c r="AS217" s="125">
        <f t="shared" si="35"/>
        <v>324749.23325</v>
      </c>
      <c r="AT217" s="125">
        <f t="shared" si="29"/>
        <v>-42415.5435</v>
      </c>
      <c r="AU217" s="125">
        <f>AH217*Valores!$C$74</f>
        <v>-10411.08795</v>
      </c>
      <c r="AV217" s="125">
        <f>AH217*Valores!$C$75</f>
        <v>-1156.78755</v>
      </c>
      <c r="AW217" s="125">
        <f t="shared" si="33"/>
        <v>331940.03099999996</v>
      </c>
      <c r="AX217" s="126"/>
      <c r="AY217" s="126">
        <f t="shared" si="28"/>
        <v>27</v>
      </c>
      <c r="AZ217" s="123" t="s">
        <v>8</v>
      </c>
    </row>
    <row r="218" spans="1:52" s="110" customFormat="1" ht="11.25" customHeight="1">
      <c r="A218" s="123" t="s">
        <v>470</v>
      </c>
      <c r="B218" s="123">
        <v>28</v>
      </c>
      <c r="C218" s="126">
        <v>211</v>
      </c>
      <c r="D218" s="124" t="str">
        <f t="shared" si="26"/>
        <v>Hora Cátedra Enseñanza Superior 28 hs</v>
      </c>
      <c r="E218" s="192">
        <f t="shared" si="27"/>
        <v>2772</v>
      </c>
      <c r="F218" s="125">
        <f>ROUND(E218*Valores!$C$2,2)</f>
        <v>150935.4</v>
      </c>
      <c r="G218" s="192">
        <v>0</v>
      </c>
      <c r="H218" s="125">
        <f>ROUND(G218*Valores!$C$2,2)</f>
        <v>0</v>
      </c>
      <c r="I218" s="192">
        <v>0</v>
      </c>
      <c r="J218" s="125">
        <f>ROUND(I218*Valores!$C$2,2)</f>
        <v>0</v>
      </c>
      <c r="K218" s="192">
        <v>0</v>
      </c>
      <c r="L218" s="125">
        <f>ROUND(K218*Valores!$C$2,2)</f>
        <v>0</v>
      </c>
      <c r="M218" s="125">
        <f>ROUND(IF($H$2=0,IF(AND(A218&lt;&gt;"13-930",A218&lt;&gt;"13-940"),(SUM(F218,H218,J218,L218,X218,T218,R218)*Valores!$C$4),0),0),2)</f>
        <v>48607.16</v>
      </c>
      <c r="N218" s="125">
        <f t="shared" si="30"/>
        <v>0</v>
      </c>
      <c r="O218" s="125">
        <f>Valores!$C$7*B218</f>
        <v>51700.32</v>
      </c>
      <c r="P218" s="125">
        <f>ROUND(IF(B218&lt;15,(Valores!$E$5*B218),Valores!$D$5),2)</f>
        <v>27834.84</v>
      </c>
      <c r="Q218" s="125">
        <v>0</v>
      </c>
      <c r="R218" s="125">
        <f>IF($F$4="NO",IF(Valores!$C$49*B218&gt;Valores!$F$46,Valores!$F$46,Valores!$C$49*B218),IF(Valores!$C$49*B218&gt;Valores!$F$46,Valores!$F$46,Valores!$C$49*B218)/2)</f>
        <v>27232.8</v>
      </c>
      <c r="S218" s="125">
        <f>Valores!$C$18*B218</f>
        <v>16260.44</v>
      </c>
      <c r="T218" s="125">
        <f t="shared" si="36"/>
        <v>16260.44</v>
      </c>
      <c r="U218" s="125">
        <v>0</v>
      </c>
      <c r="V218" s="125">
        <v>0</v>
      </c>
      <c r="W218" s="192">
        <v>0</v>
      </c>
      <c r="X218" s="125">
        <f>ROUND(W218*Valores!$C$2,2)</f>
        <v>0</v>
      </c>
      <c r="Y218" s="125">
        <v>0</v>
      </c>
      <c r="Z218" s="125">
        <f>IF(Valores!$C$97*B218&gt;Valores!$C$96,Valores!$C$96,Valores!$C$97*B218)</f>
        <v>49640.079999999994</v>
      </c>
      <c r="AA218" s="125">
        <f>IF((Valores!$C$28)*B218&gt;Valores!$F$28,Valores!$F$28,(Valores!$C$28)*B218)</f>
        <v>1277.36</v>
      </c>
      <c r="AB218" s="214">
        <v>0</v>
      </c>
      <c r="AC218" s="125">
        <f t="shared" si="31"/>
        <v>0</v>
      </c>
      <c r="AD218" s="125">
        <f>IF(Valores!$C$29*B218&gt;Valores!$F$29,Valores!$F$29,Valores!$C$29*B218)</f>
        <v>1063.72</v>
      </c>
      <c r="AE218" s="192">
        <v>0</v>
      </c>
      <c r="AF218" s="125">
        <f>ROUND(AE218*Valores!$C$2,2)</f>
        <v>0</v>
      </c>
      <c r="AG218" s="125">
        <f>IF($F$4="NO",IF(Valores!$D$63*'Escala Docente'!B218&gt;Valores!$F$63,Valores!$F$63,Valores!$D$63*'Escala Docente'!B218),IF(Valores!$D$63*'Escala Docente'!B218&gt;Valores!$F$63,Valores!$F$63,Valores!$D$63*'Escala Docente'!B218)/2)-0.06</f>
        <v>24294.14</v>
      </c>
      <c r="AH218" s="125">
        <f t="shared" si="34"/>
        <v>398846.26</v>
      </c>
      <c r="AI218" s="125">
        <f>IF(Valores!$C$32*B218&gt;Valores!$F$32,Valores!$F$32,Valores!$C$32*B218)</f>
        <v>0</v>
      </c>
      <c r="AJ218" s="125">
        <f>IF(Valores!$C$90*B218&gt;Valores!$C$89,Valores!$C$89,Valores!$C$90*B218)</f>
        <v>0</v>
      </c>
      <c r="AK218" s="125">
        <f>IF(Valores!C$39*B218&gt;Valores!F$38,Valores!F$38,Valores!C$39*B218)</f>
        <v>0</v>
      </c>
      <c r="AL218" s="125">
        <f>IF($F$3="NO",0,IF(Valores!$C$61*B218&gt;Valores!$F$61,Valores!$F$61,Valores!$C$61*B218))</f>
        <v>327.6</v>
      </c>
      <c r="AM218" s="125">
        <f t="shared" si="32"/>
        <v>327.6</v>
      </c>
      <c r="AN218" s="125">
        <f>AH218*Valores!$C$71</f>
        <v>-43873.0886</v>
      </c>
      <c r="AO218" s="125">
        <f>AH218*-Valores!$C$72</f>
        <v>0</v>
      </c>
      <c r="AP218" s="125">
        <f>AH218*Valores!$C$73</f>
        <v>-17948.0817</v>
      </c>
      <c r="AQ218" s="125">
        <f>Valores!$C$100</f>
        <v>-554.86</v>
      </c>
      <c r="AR218" s="125">
        <f>IF($F$5=0,Valores!$C$101,(Valores!$C$101+$F$5*(Valores!$C$101)))</f>
        <v>-852</v>
      </c>
      <c r="AS218" s="125">
        <f t="shared" si="35"/>
        <v>335945.8297</v>
      </c>
      <c r="AT218" s="125">
        <f t="shared" si="29"/>
        <v>-43873.0886</v>
      </c>
      <c r="AU218" s="125">
        <f>AH218*Valores!$C$74</f>
        <v>-10768.84902</v>
      </c>
      <c r="AV218" s="125">
        <f>AH218*Valores!$C$75</f>
        <v>-1196.53878</v>
      </c>
      <c r="AW218" s="125">
        <f t="shared" si="33"/>
        <v>343335.3836</v>
      </c>
      <c r="AX218" s="126"/>
      <c r="AY218" s="126">
        <f t="shared" si="28"/>
        <v>28</v>
      </c>
      <c r="AZ218" s="123" t="s">
        <v>8</v>
      </c>
    </row>
    <row r="219" spans="1:52" s="110" customFormat="1" ht="11.25" customHeight="1">
      <c r="A219" s="123" t="s">
        <v>470</v>
      </c>
      <c r="B219" s="123">
        <v>29</v>
      </c>
      <c r="C219" s="126">
        <v>212</v>
      </c>
      <c r="D219" s="124" t="str">
        <f t="shared" si="26"/>
        <v>Hora Cátedra Enseñanza Superior 29 hs</v>
      </c>
      <c r="E219" s="192">
        <f t="shared" si="27"/>
        <v>2871</v>
      </c>
      <c r="F219" s="125">
        <f>ROUND(E219*Valores!$C$2,2)</f>
        <v>156325.95</v>
      </c>
      <c r="G219" s="192">
        <v>0</v>
      </c>
      <c r="H219" s="125">
        <f>ROUND(G219*Valores!$C$2,2)</f>
        <v>0</v>
      </c>
      <c r="I219" s="192">
        <v>0</v>
      </c>
      <c r="J219" s="125">
        <f>ROUND(I219*Valores!$C$2,2)</f>
        <v>0</v>
      </c>
      <c r="K219" s="192">
        <v>0</v>
      </c>
      <c r="L219" s="125">
        <f>ROUND(K219*Valores!$C$2,2)</f>
        <v>0</v>
      </c>
      <c r="M219" s="125">
        <f>ROUND(IF($H$2=0,IF(AND(A219&lt;&gt;"13-930",A219&lt;&gt;"13-940"),(SUM(F219,H219,J219,L219,X219,T219,R219)*Valores!$C$4),0),0),2)</f>
        <v>50343.13</v>
      </c>
      <c r="N219" s="125">
        <f t="shared" si="30"/>
        <v>0</v>
      </c>
      <c r="O219" s="125">
        <f>Valores!$C$7*B219</f>
        <v>53546.76</v>
      </c>
      <c r="P219" s="125">
        <f>ROUND(IF(B219&lt;15,(Valores!$E$5*B219),Valores!$D$5),2)</f>
        <v>27834.84</v>
      </c>
      <c r="Q219" s="125">
        <v>0</v>
      </c>
      <c r="R219" s="125">
        <f>IF($F$4="NO",IF(Valores!$C$49*B219&gt;Valores!$F$46,Valores!$F$46,Valores!$C$49*B219),IF(Valores!$C$49*B219&gt;Valores!$F$46,Valores!$F$46,Valores!$C$49*B219)/2)</f>
        <v>28205.4</v>
      </c>
      <c r="S219" s="125">
        <f>Valores!$C$18*B219</f>
        <v>16841.170000000002</v>
      </c>
      <c r="T219" s="125">
        <f t="shared" si="36"/>
        <v>16841.17</v>
      </c>
      <c r="U219" s="125">
        <v>0</v>
      </c>
      <c r="V219" s="125">
        <v>0</v>
      </c>
      <c r="W219" s="192">
        <v>0</v>
      </c>
      <c r="X219" s="125">
        <f>ROUND(W219*Valores!$C$2,2)</f>
        <v>0</v>
      </c>
      <c r="Y219" s="125">
        <v>0</v>
      </c>
      <c r="Z219" s="125">
        <f>IF(Valores!$C$97*B219&gt;Valores!$C$96,Valores!$C$96,Valores!$C$97*B219)</f>
        <v>51412.939999999995</v>
      </c>
      <c r="AA219" s="125">
        <f>IF((Valores!$C$28)*B219&gt;Valores!$F$28,Valores!$F$28,(Valores!$C$28)*B219)</f>
        <v>1322.98</v>
      </c>
      <c r="AB219" s="214">
        <v>0</v>
      </c>
      <c r="AC219" s="125">
        <f t="shared" si="31"/>
        <v>0</v>
      </c>
      <c r="AD219" s="125">
        <f>IF(Valores!$C$29*B219&gt;Valores!$F$29,Valores!$F$29,Valores!$C$29*B219)</f>
        <v>1101.71</v>
      </c>
      <c r="AE219" s="192">
        <v>0</v>
      </c>
      <c r="AF219" s="125">
        <f>ROUND(AE219*Valores!$C$2,2)</f>
        <v>0</v>
      </c>
      <c r="AG219" s="125">
        <f>IF($F$4="NO",IF(Valores!$D$63*'Escala Docente'!B219&gt;Valores!$F$63,Valores!$F$63,Valores!$D$63*'Escala Docente'!B219),IF(Valores!$D$63*'Escala Docente'!B219&gt;Valores!$F$63,Valores!$F$63,Valores!$D$63*'Escala Docente'!B219)/2)-0.06</f>
        <v>25161.789999999997</v>
      </c>
      <c r="AH219" s="125">
        <f t="shared" si="34"/>
        <v>412096.67000000004</v>
      </c>
      <c r="AI219" s="125">
        <f>IF(Valores!$C$32*B219&gt;Valores!$F$32,Valores!$F$32,Valores!$C$32*B219)</f>
        <v>0</v>
      </c>
      <c r="AJ219" s="125">
        <f>IF(Valores!$C$90*B219&gt;Valores!$C$89,Valores!$C$89,Valores!$C$90*B219)</f>
        <v>0</v>
      </c>
      <c r="AK219" s="125">
        <f>IF(Valores!C$39*B219&gt;Valores!F$38,Valores!F$38,Valores!C$39*B219)</f>
        <v>0</v>
      </c>
      <c r="AL219" s="125">
        <f>IF($F$3="NO",0,IF(Valores!$C$61*B219&gt;Valores!$F$61,Valores!$F$61,Valores!$C$61*B219))</f>
        <v>327.6</v>
      </c>
      <c r="AM219" s="125">
        <f t="shared" si="32"/>
        <v>327.6</v>
      </c>
      <c r="AN219" s="125">
        <f>AH219*Valores!$C$71</f>
        <v>-45330.633700000006</v>
      </c>
      <c r="AO219" s="125">
        <f>AH219*-Valores!$C$72</f>
        <v>0</v>
      </c>
      <c r="AP219" s="125">
        <f>AH219*Valores!$C$73</f>
        <v>-18544.350150000002</v>
      </c>
      <c r="AQ219" s="125">
        <f>Valores!$C$100</f>
        <v>-554.86</v>
      </c>
      <c r="AR219" s="125">
        <f>IF($F$5=0,Valores!$C$101,(Valores!$C$101+$F$5*(Valores!$C$101)))</f>
        <v>-852</v>
      </c>
      <c r="AS219" s="125">
        <f t="shared" si="35"/>
        <v>347142.42615</v>
      </c>
      <c r="AT219" s="125">
        <f t="shared" si="29"/>
        <v>-45330.633700000006</v>
      </c>
      <c r="AU219" s="125">
        <f>AH219*Valores!$C$74</f>
        <v>-11126.61009</v>
      </c>
      <c r="AV219" s="125">
        <f>AH219*Valores!$C$75</f>
        <v>-1236.2900100000002</v>
      </c>
      <c r="AW219" s="125">
        <f t="shared" si="33"/>
        <v>354730.73620000004</v>
      </c>
      <c r="AX219" s="126"/>
      <c r="AY219" s="126">
        <f t="shared" si="28"/>
        <v>29</v>
      </c>
      <c r="AZ219" s="123" t="s">
        <v>8</v>
      </c>
    </row>
    <row r="220" spans="1:52" s="110" customFormat="1" ht="11.25" customHeight="1">
      <c r="A220" s="123" t="s">
        <v>470</v>
      </c>
      <c r="B220" s="123">
        <v>30</v>
      </c>
      <c r="C220" s="126">
        <v>213</v>
      </c>
      <c r="D220" s="124" t="str">
        <f t="shared" si="26"/>
        <v>Hora Cátedra Enseñanza Superior 30 hs</v>
      </c>
      <c r="E220" s="192">
        <f t="shared" si="27"/>
        <v>2970</v>
      </c>
      <c r="F220" s="125">
        <f>ROUND(E220*Valores!$C$2,2)</f>
        <v>161716.5</v>
      </c>
      <c r="G220" s="192">
        <v>0</v>
      </c>
      <c r="H220" s="125">
        <f>ROUND(G220*Valores!$C$2,2)</f>
        <v>0</v>
      </c>
      <c r="I220" s="192">
        <v>0</v>
      </c>
      <c r="J220" s="125">
        <f>ROUND(I220*Valores!$C$2,2)</f>
        <v>0</v>
      </c>
      <c r="K220" s="192">
        <v>0</v>
      </c>
      <c r="L220" s="125">
        <f>ROUND(K220*Valores!$C$2,2)</f>
        <v>0</v>
      </c>
      <c r="M220" s="125">
        <f>ROUND(IF($H$2=0,IF(AND(A220&lt;&gt;"13-930",A220&lt;&gt;"13-940"),(SUM(F220,H220,J220,L220,X220,T220,R220)*Valores!$C$4),0),0),2)</f>
        <v>52079.1</v>
      </c>
      <c r="N220" s="125">
        <f t="shared" si="30"/>
        <v>0</v>
      </c>
      <c r="O220" s="125">
        <f>Valores!$C$7*B220</f>
        <v>55393.200000000004</v>
      </c>
      <c r="P220" s="125">
        <f>ROUND(IF(B220&lt;15,(Valores!$E$5*B220),Valores!$D$5),2)</f>
        <v>27834.84</v>
      </c>
      <c r="Q220" s="125">
        <v>0</v>
      </c>
      <c r="R220" s="125">
        <f>IF($F$4="NO",IF(Valores!$C$49*B220&gt;Valores!$F$46,Valores!$F$46,Valores!$C$49*B220),IF(Valores!$C$49*B220&gt;Valores!$F$46,Valores!$F$46,Valores!$C$49*B220)/2)</f>
        <v>29178</v>
      </c>
      <c r="S220" s="125">
        <f>Valores!$C$18*B220</f>
        <v>17421.9</v>
      </c>
      <c r="T220" s="125">
        <f t="shared" si="36"/>
        <v>17421.9</v>
      </c>
      <c r="U220" s="125">
        <v>0</v>
      </c>
      <c r="V220" s="125">
        <v>0</v>
      </c>
      <c r="W220" s="192">
        <v>0</v>
      </c>
      <c r="X220" s="125">
        <f>ROUND(W220*Valores!$C$2,2)</f>
        <v>0</v>
      </c>
      <c r="Y220" s="125">
        <v>0</v>
      </c>
      <c r="Z220" s="125">
        <f>IF(Valores!$C$97*B220&gt;Valores!$C$96,Valores!$C$96,Valores!$C$97*B220)</f>
        <v>53185.799999999996</v>
      </c>
      <c r="AA220" s="125">
        <f>IF((Valores!$C$28)*B220&gt;Valores!$F$28,Valores!$F$28,(Valores!$C$28)*B220)</f>
        <v>1368.6</v>
      </c>
      <c r="AB220" s="214">
        <v>0</v>
      </c>
      <c r="AC220" s="125">
        <f t="shared" si="31"/>
        <v>0</v>
      </c>
      <c r="AD220" s="125">
        <f>IF(Valores!$C$29*B220&gt;Valores!$F$29,Valores!$F$29,Valores!$C$29*B220)</f>
        <v>1138.39</v>
      </c>
      <c r="AE220" s="192">
        <v>0</v>
      </c>
      <c r="AF220" s="125">
        <f>ROUND(AE220*Valores!$C$2,2)</f>
        <v>0</v>
      </c>
      <c r="AG220" s="125">
        <f>IF($F$4="NO",IF(Valores!$D$63*'Escala Docente'!B220&gt;Valores!$F$63,Valores!$F$63,Valores!$D$63*'Escala Docente'!B220),IF(Valores!$D$63*'Escala Docente'!B220&gt;Valores!$F$63,Valores!$F$63,Valores!$D$63*'Escala Docente'!B220)/2)</f>
        <v>26029.44</v>
      </c>
      <c r="AH220" s="125">
        <f t="shared" si="34"/>
        <v>425345.77</v>
      </c>
      <c r="AI220" s="125">
        <f>IF(Valores!$C$32*B220&gt;Valores!$F$32,Valores!$F$32,Valores!$C$32*B220)</f>
        <v>0</v>
      </c>
      <c r="AJ220" s="125">
        <f>IF(Valores!$C$90*B220&gt;Valores!$C$89,Valores!$C$89,Valores!$C$90*B220)</f>
        <v>0</v>
      </c>
      <c r="AK220" s="125">
        <f>IF(Valores!C$39*B220&gt;Valores!F$38,Valores!F$38,Valores!C$39*B220)</f>
        <v>0</v>
      </c>
      <c r="AL220" s="125">
        <f>IF($F$3="NO",0,IF(Valores!$C$61*B220&gt;Valores!$F$61,Valores!$F$61,Valores!$C$61*B220))</f>
        <v>327.6</v>
      </c>
      <c r="AM220" s="125">
        <f t="shared" si="32"/>
        <v>327.6</v>
      </c>
      <c r="AN220" s="125">
        <f>AH220*Valores!$C$71</f>
        <v>-46788.034700000004</v>
      </c>
      <c r="AO220" s="125">
        <f>AH220*-Valores!$C$72</f>
        <v>0</v>
      </c>
      <c r="AP220" s="125">
        <f>AH220*Valores!$C$73</f>
        <v>-19140.55965</v>
      </c>
      <c r="AQ220" s="125">
        <f>Valores!$C$100</f>
        <v>-554.86</v>
      </c>
      <c r="AR220" s="125">
        <f>IF($F$5=0,Valores!$C$101,(Valores!$C$101+$F$5*(Valores!$C$101)))</f>
        <v>-852</v>
      </c>
      <c r="AS220" s="125">
        <f t="shared" si="35"/>
        <v>358337.91565</v>
      </c>
      <c r="AT220" s="125">
        <f t="shared" si="29"/>
        <v>-46788.034700000004</v>
      </c>
      <c r="AU220" s="125">
        <f>AH220*Valores!$C$74</f>
        <v>-11484.335790000001</v>
      </c>
      <c r="AV220" s="125">
        <f>AH220*Valores!$C$75</f>
        <v>-1276.0373100000002</v>
      </c>
      <c r="AW220" s="125">
        <f t="shared" si="33"/>
        <v>366124.9622</v>
      </c>
      <c r="AX220" s="126"/>
      <c r="AY220" s="126">
        <f t="shared" si="28"/>
        <v>30</v>
      </c>
      <c r="AZ220" s="123" t="s">
        <v>4</v>
      </c>
    </row>
    <row r="221" spans="1:52" s="110" customFormat="1" ht="11.25" customHeight="1">
      <c r="A221" s="123" t="s">
        <v>470</v>
      </c>
      <c r="B221" s="123">
        <v>31</v>
      </c>
      <c r="C221" s="126">
        <v>214</v>
      </c>
      <c r="D221" s="124" t="str">
        <f t="shared" si="26"/>
        <v>Hora Cátedra Enseñanza Superior 31 hs</v>
      </c>
      <c r="E221" s="192">
        <f t="shared" si="27"/>
        <v>3069</v>
      </c>
      <c r="F221" s="125">
        <f>ROUND(E221*Valores!$C$2,2)</f>
        <v>167107.05</v>
      </c>
      <c r="G221" s="192">
        <v>0</v>
      </c>
      <c r="H221" s="125">
        <f>ROUND(G221*Valores!$C$2,2)</f>
        <v>0</v>
      </c>
      <c r="I221" s="192">
        <v>0</v>
      </c>
      <c r="J221" s="125">
        <f>ROUND(I221*Valores!$C$2,2)</f>
        <v>0</v>
      </c>
      <c r="K221" s="192">
        <v>0</v>
      </c>
      <c r="L221" s="125">
        <f>ROUND(K221*Valores!$C$2,2)</f>
        <v>0</v>
      </c>
      <c r="M221" s="125">
        <f>ROUND(IF($H$2=0,IF(AND(A221&lt;&gt;"13-930",A221&lt;&gt;"13-940"),(SUM(F221,H221,J221,L221,X221,T221,R221)*Valores!$C$4),0),0),2)</f>
        <v>53815.07</v>
      </c>
      <c r="N221" s="125">
        <f t="shared" si="30"/>
        <v>0</v>
      </c>
      <c r="O221" s="125">
        <f>Valores!$C$7*B221</f>
        <v>57239.64</v>
      </c>
      <c r="P221" s="125">
        <f>ROUND(IF(B221&lt;15,(Valores!$E$5*B221),Valores!$D$5),2)</f>
        <v>27834.84</v>
      </c>
      <c r="Q221" s="125">
        <v>0</v>
      </c>
      <c r="R221" s="125">
        <f>IF($F$4="NO",IF(Valores!$C$49*B221&gt;Valores!$F$46,Valores!$F$46,Valores!$C$49*B221),IF(Valores!$C$49*B221&gt;Valores!$F$46,Valores!$F$46,Valores!$C$49*B221)/2)</f>
        <v>30150.600000000002</v>
      </c>
      <c r="S221" s="125">
        <f>Valores!$C$18*B221</f>
        <v>18002.63</v>
      </c>
      <c r="T221" s="125">
        <f t="shared" si="36"/>
        <v>18002.63</v>
      </c>
      <c r="U221" s="125">
        <v>0</v>
      </c>
      <c r="V221" s="125">
        <v>0</v>
      </c>
      <c r="W221" s="192">
        <v>0</v>
      </c>
      <c r="X221" s="125">
        <f>ROUND(W221*Valores!$C$2,2)</f>
        <v>0</v>
      </c>
      <c r="Y221" s="125">
        <v>0</v>
      </c>
      <c r="Z221" s="125">
        <f>IF(Valores!$C$97*B221&gt;Valores!$C$96,Valores!$C$96,Valores!$C$97*B221)</f>
        <v>54958.659999999996</v>
      </c>
      <c r="AA221" s="125">
        <f>IF((Valores!$C$28)*B221&gt;Valores!$F$28,Valores!$F$28,(Valores!$C$28)*B221)</f>
        <v>1414.22</v>
      </c>
      <c r="AB221" s="214">
        <v>0</v>
      </c>
      <c r="AC221" s="125">
        <f t="shared" si="31"/>
        <v>0</v>
      </c>
      <c r="AD221" s="125">
        <f>IF(Valores!$C$29*B221&gt;Valores!$F$29,Valores!$F$29,Valores!$C$29*B221)</f>
        <v>1138.39</v>
      </c>
      <c r="AE221" s="192">
        <v>0</v>
      </c>
      <c r="AF221" s="125">
        <f>ROUND(AE221*Valores!$C$2,2)</f>
        <v>0</v>
      </c>
      <c r="AG221" s="125">
        <f>IF($F$4="NO",IF(Valores!$D$63*'Escala Docente'!B221&gt;Valores!$F$63,Valores!$F$63,Valores!$D$63*'Escala Docente'!B221),IF(Valores!$D$63*'Escala Docente'!B221&gt;Valores!$F$63,Valores!$F$63,Valores!$D$63*'Escala Docente'!B221)/2)</f>
        <v>26029.44</v>
      </c>
      <c r="AH221" s="125">
        <f t="shared" si="34"/>
        <v>437690.54</v>
      </c>
      <c r="AI221" s="125">
        <f>IF(Valores!$C$32*B221&gt;Valores!$F$32,Valores!$F$32,Valores!$C$32*B221)</f>
        <v>0</v>
      </c>
      <c r="AJ221" s="125">
        <f>IF(Valores!$C$90*B221&gt;Valores!$C$89,Valores!$C$89,Valores!$C$90*B221)</f>
        <v>0</v>
      </c>
      <c r="AK221" s="125">
        <f>IF(Valores!C$39*B221&gt;Valores!F$38,Valores!F$38,Valores!C$39*B221)</f>
        <v>0</v>
      </c>
      <c r="AL221" s="125">
        <f>IF($F$3="NO",0,IF(Valores!$C$61*B221&gt;Valores!$F$61,Valores!$F$61,Valores!$C$61*B221))</f>
        <v>327.6</v>
      </c>
      <c r="AM221" s="125">
        <f t="shared" si="32"/>
        <v>327.6</v>
      </c>
      <c r="AN221" s="125">
        <f>AH221*Valores!$C$71</f>
        <v>-48145.9594</v>
      </c>
      <c r="AO221" s="125">
        <f>AH221*-Valores!$C$72</f>
        <v>0</v>
      </c>
      <c r="AP221" s="125">
        <f>AH221*Valores!$C$73</f>
        <v>-19696.074299999997</v>
      </c>
      <c r="AQ221" s="125">
        <f>Valores!$C$100</f>
        <v>-554.86</v>
      </c>
      <c r="AR221" s="125">
        <f>IF($F$5=0,Valores!$C$101,(Valores!$C$101+$F$5*(Valores!$C$101)))</f>
        <v>-852</v>
      </c>
      <c r="AS221" s="125">
        <f t="shared" si="35"/>
        <v>368769.2463</v>
      </c>
      <c r="AT221" s="125">
        <f t="shared" si="29"/>
        <v>-48145.9594</v>
      </c>
      <c r="AU221" s="125">
        <f>AH221*Valores!$C$74</f>
        <v>-11817.64458</v>
      </c>
      <c r="AV221" s="125">
        <f>AH221*Valores!$C$75</f>
        <v>-1313.07162</v>
      </c>
      <c r="AW221" s="125">
        <f t="shared" si="33"/>
        <v>376741.46439999994</v>
      </c>
      <c r="AX221" s="126"/>
      <c r="AY221" s="126">
        <f t="shared" si="28"/>
        <v>31</v>
      </c>
      <c r="AZ221" s="123" t="s">
        <v>8</v>
      </c>
    </row>
    <row r="222" spans="1:52" s="110" customFormat="1" ht="11.25" customHeight="1">
      <c r="A222" s="123" t="s">
        <v>470</v>
      </c>
      <c r="B222" s="123">
        <v>32</v>
      </c>
      <c r="C222" s="126">
        <v>215</v>
      </c>
      <c r="D222" s="124" t="str">
        <f t="shared" si="26"/>
        <v>Hora Cátedra Enseñanza Superior 32 hs</v>
      </c>
      <c r="E222" s="192">
        <f t="shared" si="27"/>
        <v>3168</v>
      </c>
      <c r="F222" s="125">
        <f>ROUND(E222*Valores!$C$2,2)</f>
        <v>172497.6</v>
      </c>
      <c r="G222" s="192">
        <v>0</v>
      </c>
      <c r="H222" s="125">
        <f>ROUND(G222*Valores!$C$2,2)</f>
        <v>0</v>
      </c>
      <c r="I222" s="192">
        <v>0</v>
      </c>
      <c r="J222" s="125">
        <f>ROUND(I222*Valores!$C$2,2)</f>
        <v>0</v>
      </c>
      <c r="K222" s="192">
        <v>0</v>
      </c>
      <c r="L222" s="125">
        <f>ROUND(K222*Valores!$C$2,2)</f>
        <v>0</v>
      </c>
      <c r="M222" s="125">
        <f>ROUND(IF($H$2=0,IF(AND(A222&lt;&gt;"13-930",A222&lt;&gt;"13-940"),(SUM(F222,H222,J222,L222,X222,T222,R222)*Valores!$C$4),0),0),2)</f>
        <v>55551.04</v>
      </c>
      <c r="N222" s="125">
        <f t="shared" si="30"/>
        <v>0</v>
      </c>
      <c r="O222" s="125">
        <f>Valores!$C$7*B222</f>
        <v>59086.08</v>
      </c>
      <c r="P222" s="125">
        <f>ROUND(IF(B222&lt;15,(Valores!$E$5*B222),Valores!$D$5),2)</f>
        <v>27834.84</v>
      </c>
      <c r="Q222" s="125">
        <v>0</v>
      </c>
      <c r="R222" s="125">
        <f>IF($F$4="NO",IF(Valores!$C$49*B222&gt;Valores!$F$46,Valores!$F$46,Valores!$C$49*B222),IF(Valores!$C$49*B222&gt;Valores!$F$46,Valores!$F$46,Valores!$C$49*B222)/2)</f>
        <v>31123.2</v>
      </c>
      <c r="S222" s="125">
        <f>Valores!$C$18*B222</f>
        <v>18583.36</v>
      </c>
      <c r="T222" s="125">
        <f t="shared" si="36"/>
        <v>18583.36</v>
      </c>
      <c r="U222" s="125">
        <v>0</v>
      </c>
      <c r="V222" s="125">
        <v>0</v>
      </c>
      <c r="W222" s="192">
        <v>0</v>
      </c>
      <c r="X222" s="125">
        <f>ROUND(W222*Valores!$C$2,2)</f>
        <v>0</v>
      </c>
      <c r="Y222" s="125">
        <v>0</v>
      </c>
      <c r="Z222" s="125">
        <f>IF(Valores!$C$97*B222&gt;Valores!$C$96,Valores!$C$96,Valores!$C$97*B222)</f>
        <v>56731.52</v>
      </c>
      <c r="AA222" s="125">
        <f>IF((Valores!$C$28)*B222&gt;Valores!$F$28,Valores!$F$28,(Valores!$C$28)*B222)</f>
        <v>1459.84</v>
      </c>
      <c r="AB222" s="214">
        <v>0</v>
      </c>
      <c r="AC222" s="125">
        <f t="shared" si="31"/>
        <v>0</v>
      </c>
      <c r="AD222" s="125">
        <f>IF(Valores!$C$29*B222&gt;Valores!$F$29,Valores!$F$29,Valores!$C$29*B222)</f>
        <v>1138.39</v>
      </c>
      <c r="AE222" s="192">
        <v>0</v>
      </c>
      <c r="AF222" s="125">
        <f>ROUND(AE222*Valores!$C$2,2)</f>
        <v>0</v>
      </c>
      <c r="AG222" s="125">
        <f>IF($F$4="NO",IF(Valores!$D$63*'Escala Docente'!B222&gt;Valores!$F$63,Valores!$F$63,Valores!$D$63*'Escala Docente'!B222),IF(Valores!$D$63*'Escala Docente'!B222&gt;Valores!$F$63,Valores!$F$63,Valores!$D$63*'Escala Docente'!B222)/2)</f>
        <v>26029.44</v>
      </c>
      <c r="AH222" s="125">
        <f t="shared" si="34"/>
        <v>450035.3100000001</v>
      </c>
      <c r="AI222" s="125">
        <f>IF(Valores!$C$32*B222&gt;Valores!$F$32,Valores!$F$32,Valores!$C$32*B222)</f>
        <v>0</v>
      </c>
      <c r="AJ222" s="125">
        <f>IF(Valores!$C$90*B222&gt;Valores!$C$89,Valores!$C$89,Valores!$C$90*B222)</f>
        <v>0</v>
      </c>
      <c r="AK222" s="125">
        <f>IF(Valores!C$39*B222&gt;Valores!F$38,Valores!F$38,Valores!C$39*B222)</f>
        <v>0</v>
      </c>
      <c r="AL222" s="125">
        <f>IF($F$3="NO",0,IF(Valores!$C$61*B222&gt;Valores!$F$61,Valores!$F$61,Valores!$C$61*B222))</f>
        <v>327.6</v>
      </c>
      <c r="AM222" s="125">
        <f t="shared" si="32"/>
        <v>327.6</v>
      </c>
      <c r="AN222" s="125">
        <f>AH222*Valores!$C$71</f>
        <v>-49503.88410000001</v>
      </c>
      <c r="AO222" s="125">
        <f>AH222*-Valores!$C$72</f>
        <v>0</v>
      </c>
      <c r="AP222" s="125">
        <f>AH222*Valores!$C$73</f>
        <v>-20251.588950000005</v>
      </c>
      <c r="AQ222" s="125">
        <f>Valores!$C$100</f>
        <v>-554.86</v>
      </c>
      <c r="AR222" s="125">
        <f>IF($F$5=0,Valores!$C$101,(Valores!$C$101+$F$5*(Valores!$C$101)))</f>
        <v>-852</v>
      </c>
      <c r="AS222" s="125">
        <f t="shared" si="35"/>
        <v>379200.5769500001</v>
      </c>
      <c r="AT222" s="125">
        <f t="shared" si="29"/>
        <v>-49503.88410000001</v>
      </c>
      <c r="AU222" s="125">
        <f>AH222*Valores!$C$74</f>
        <v>-12150.953370000003</v>
      </c>
      <c r="AV222" s="125">
        <f>AH222*Valores!$C$75</f>
        <v>-1350.1059300000004</v>
      </c>
      <c r="AW222" s="125">
        <f t="shared" si="33"/>
        <v>387357.9666000001</v>
      </c>
      <c r="AX222" s="126"/>
      <c r="AY222" s="126">
        <f t="shared" si="28"/>
        <v>32</v>
      </c>
      <c r="AZ222" s="123" t="s">
        <v>8</v>
      </c>
    </row>
    <row r="223" spans="1:52" s="110" customFormat="1" ht="11.25" customHeight="1">
      <c r="A223" s="123" t="s">
        <v>470</v>
      </c>
      <c r="B223" s="123">
        <v>33</v>
      </c>
      <c r="C223" s="126">
        <v>216</v>
      </c>
      <c r="D223" s="124" t="str">
        <f t="shared" si="26"/>
        <v>Hora Cátedra Enseñanza Superior 33 hs</v>
      </c>
      <c r="E223" s="192">
        <f t="shared" si="27"/>
        <v>3267</v>
      </c>
      <c r="F223" s="125">
        <f>ROUND(E223*Valores!$C$2,2)</f>
        <v>177888.15</v>
      </c>
      <c r="G223" s="192">
        <v>0</v>
      </c>
      <c r="H223" s="125">
        <f>ROUND(G223*Valores!$C$2,2)</f>
        <v>0</v>
      </c>
      <c r="I223" s="192">
        <v>0</v>
      </c>
      <c r="J223" s="125">
        <f>ROUND(I223*Valores!$C$2,2)</f>
        <v>0</v>
      </c>
      <c r="K223" s="192">
        <v>0</v>
      </c>
      <c r="L223" s="125">
        <f>ROUND(K223*Valores!$C$2,2)</f>
        <v>0</v>
      </c>
      <c r="M223" s="125">
        <f>ROUND(IF($H$2=0,IF(AND(A223&lt;&gt;"13-930",A223&lt;&gt;"13-940"),(SUM(F223,H223,J223,L223,X223,T223,R223)*Valores!$C$4),0),0),2)</f>
        <v>57287.01</v>
      </c>
      <c r="N223" s="125">
        <f t="shared" si="30"/>
        <v>0</v>
      </c>
      <c r="O223" s="125">
        <f>Valores!$C$7*B223</f>
        <v>60932.520000000004</v>
      </c>
      <c r="P223" s="125">
        <f>ROUND(IF(B223&lt;15,(Valores!$E$5*B223),Valores!$D$5),2)</f>
        <v>27834.84</v>
      </c>
      <c r="Q223" s="125">
        <v>0</v>
      </c>
      <c r="R223" s="125">
        <f>IF($F$4="NO",IF(Valores!$C$49*B223&gt;Valores!$F$46,Valores!$F$46,Valores!$C$49*B223),IF(Valores!$C$49*B223&gt;Valores!$F$46,Valores!$F$46,Valores!$C$49*B223)/2)</f>
        <v>32095.8</v>
      </c>
      <c r="S223" s="125">
        <f>Valores!$C$18*B223</f>
        <v>19164.09</v>
      </c>
      <c r="T223" s="125">
        <f t="shared" si="36"/>
        <v>19164.09</v>
      </c>
      <c r="U223" s="125">
        <v>0</v>
      </c>
      <c r="V223" s="125">
        <v>0</v>
      </c>
      <c r="W223" s="192">
        <v>0</v>
      </c>
      <c r="X223" s="125">
        <f>ROUND(W223*Valores!$C$2,2)</f>
        <v>0</v>
      </c>
      <c r="Y223" s="125">
        <v>0</v>
      </c>
      <c r="Z223" s="125">
        <f>IF(Valores!$C$97*B223&gt;Valores!$C$96,Valores!$C$96,Valores!$C$97*B223)</f>
        <v>58504.38</v>
      </c>
      <c r="AA223" s="125">
        <f>IF((Valores!$C$28)*B223&gt;Valores!$F$28,Valores!$F$28,(Valores!$C$28)*B223)</f>
        <v>1505.4599999999998</v>
      </c>
      <c r="AB223" s="214">
        <v>0</v>
      </c>
      <c r="AC223" s="125">
        <f t="shared" si="31"/>
        <v>0</v>
      </c>
      <c r="AD223" s="125">
        <f>IF(Valores!$C$29*B223&gt;Valores!$F$29,Valores!$F$29,Valores!$C$29*B223)</f>
        <v>1138.39</v>
      </c>
      <c r="AE223" s="192">
        <v>0</v>
      </c>
      <c r="AF223" s="125">
        <f>ROUND(AE223*Valores!$C$2,2)</f>
        <v>0</v>
      </c>
      <c r="AG223" s="125">
        <f>IF($F$4="NO",IF(Valores!$D$63*'Escala Docente'!B223&gt;Valores!$F$63,Valores!$F$63,Valores!$D$63*'Escala Docente'!B223),IF(Valores!$D$63*'Escala Docente'!B223&gt;Valores!$F$63,Valores!$F$63,Valores!$D$63*'Escala Docente'!B223)/2)</f>
        <v>26029.44</v>
      </c>
      <c r="AH223" s="125">
        <f t="shared" si="34"/>
        <v>462380.0800000001</v>
      </c>
      <c r="AI223" s="125">
        <f>IF(Valores!$C$32*B223&gt;Valores!$F$32,Valores!$F$32,Valores!$C$32*B223)</f>
        <v>0</v>
      </c>
      <c r="AJ223" s="125">
        <f>IF(Valores!$C$90*B223&gt;Valores!$C$89,Valores!$C$89,Valores!$C$90*B223)</f>
        <v>0</v>
      </c>
      <c r="AK223" s="125">
        <f>IF(Valores!C$39*B223&gt;Valores!F$38,Valores!F$38,Valores!C$39*B223)</f>
        <v>0</v>
      </c>
      <c r="AL223" s="125">
        <f>IF($F$3="NO",0,IF(Valores!$C$61*B223&gt;Valores!$F$61,Valores!$F$61,Valores!$C$61*B223))</f>
        <v>327.6</v>
      </c>
      <c r="AM223" s="125">
        <f t="shared" si="32"/>
        <v>327.6</v>
      </c>
      <c r="AN223" s="125">
        <f>AH223*Valores!$C$71</f>
        <v>-50861.808800000006</v>
      </c>
      <c r="AO223" s="125">
        <f>AH223*-Valores!$C$72</f>
        <v>0</v>
      </c>
      <c r="AP223" s="125">
        <f>AH223*Valores!$C$73</f>
        <v>-20807.103600000002</v>
      </c>
      <c r="AQ223" s="125">
        <f>Valores!$C$100</f>
        <v>-554.86</v>
      </c>
      <c r="AR223" s="125">
        <f>IF($F$5=0,Valores!$C$101,(Valores!$C$101+$F$5*(Valores!$C$101)))</f>
        <v>-852</v>
      </c>
      <c r="AS223" s="125">
        <f t="shared" si="35"/>
        <v>389631.90760000004</v>
      </c>
      <c r="AT223" s="125">
        <f t="shared" si="29"/>
        <v>-50861.808800000006</v>
      </c>
      <c r="AU223" s="125">
        <f>AH223*Valores!$C$74</f>
        <v>-12484.262160000002</v>
      </c>
      <c r="AV223" s="125">
        <f>AH223*Valores!$C$75</f>
        <v>-1387.1402400000002</v>
      </c>
      <c r="AW223" s="125">
        <f t="shared" si="33"/>
        <v>397974.46880000003</v>
      </c>
      <c r="AX223" s="126"/>
      <c r="AY223" s="126">
        <f aca="true" t="shared" si="37" ref="AY223:AY254">1*B223</f>
        <v>33</v>
      </c>
      <c r="AZ223" s="123" t="s">
        <v>8</v>
      </c>
    </row>
    <row r="224" spans="1:52" s="110" customFormat="1" ht="11.25" customHeight="1">
      <c r="A224" s="123" t="s">
        <v>470</v>
      </c>
      <c r="B224" s="123">
        <v>34</v>
      </c>
      <c r="C224" s="126">
        <v>217</v>
      </c>
      <c r="D224" s="124" t="str">
        <f t="shared" si="26"/>
        <v>Hora Cátedra Enseñanza Superior 34 hs</v>
      </c>
      <c r="E224" s="192">
        <f t="shared" si="27"/>
        <v>3366</v>
      </c>
      <c r="F224" s="125">
        <f>ROUND(E224*Valores!$C$2,2)</f>
        <v>183278.7</v>
      </c>
      <c r="G224" s="192">
        <v>0</v>
      </c>
      <c r="H224" s="125">
        <f>ROUND(G224*Valores!$C$2,2)</f>
        <v>0</v>
      </c>
      <c r="I224" s="192">
        <v>0</v>
      </c>
      <c r="J224" s="125">
        <f>ROUND(I224*Valores!$C$2,2)</f>
        <v>0</v>
      </c>
      <c r="K224" s="192">
        <v>0</v>
      </c>
      <c r="L224" s="125">
        <f>ROUND(K224*Valores!$C$2,2)</f>
        <v>0</v>
      </c>
      <c r="M224" s="125">
        <f>ROUND(IF($H$2=0,IF(AND(A224&lt;&gt;"13-930",A224&lt;&gt;"13-940"),(SUM(F224,H224,J224,L224,X224,T224,R224)*Valores!$C$4),0),0),2)</f>
        <v>59022.98</v>
      </c>
      <c r="N224" s="125">
        <f t="shared" si="30"/>
        <v>0</v>
      </c>
      <c r="O224" s="125">
        <f>Valores!$C$7*B224</f>
        <v>62778.96</v>
      </c>
      <c r="P224" s="125">
        <f>ROUND(IF(B224&lt;15,(Valores!$E$5*B224),Valores!$D$5),2)</f>
        <v>27834.84</v>
      </c>
      <c r="Q224" s="125">
        <v>0</v>
      </c>
      <c r="R224" s="125">
        <f>IF($F$4="NO",IF(Valores!$C$49*B224&gt;Valores!$F$46,Valores!$F$46,Valores!$C$49*B224),IF(Valores!$C$49*B224&gt;Valores!$F$46,Valores!$F$46,Valores!$C$49*B224)/2)</f>
        <v>33068.4</v>
      </c>
      <c r="S224" s="125">
        <f>Valores!$C$18*B224</f>
        <v>19744.82</v>
      </c>
      <c r="T224" s="125">
        <f t="shared" si="36"/>
        <v>19744.82</v>
      </c>
      <c r="U224" s="125">
        <v>0</v>
      </c>
      <c r="V224" s="125">
        <v>0</v>
      </c>
      <c r="W224" s="192">
        <v>0</v>
      </c>
      <c r="X224" s="125">
        <f>ROUND(W224*Valores!$C$2,2)</f>
        <v>0</v>
      </c>
      <c r="Y224" s="125">
        <v>0</v>
      </c>
      <c r="Z224" s="125">
        <f>IF(Valores!$C$97*B224&gt;Valores!$C$96,Valores!$C$96,Valores!$C$97*B224)</f>
        <v>60277.24</v>
      </c>
      <c r="AA224" s="125">
        <f>IF((Valores!$C$28)*B224&gt;Valores!$F$28,Valores!$F$28,(Valores!$C$28)*B224)</f>
        <v>1551.08</v>
      </c>
      <c r="AB224" s="214">
        <v>0</v>
      </c>
      <c r="AC224" s="125">
        <f t="shared" si="31"/>
        <v>0</v>
      </c>
      <c r="AD224" s="125">
        <f>IF(Valores!$C$29*B224&gt;Valores!$F$29,Valores!$F$29,Valores!$C$29*B224)</f>
        <v>1138.39</v>
      </c>
      <c r="AE224" s="192">
        <v>0</v>
      </c>
      <c r="AF224" s="125">
        <f>ROUND(AE224*Valores!$C$2,2)</f>
        <v>0</v>
      </c>
      <c r="AG224" s="125">
        <f>IF($F$4="NO",IF(Valores!$D$63*'Escala Docente'!B224&gt;Valores!$F$63,Valores!$F$63,Valores!$D$63*'Escala Docente'!B224),IF(Valores!$D$63*'Escala Docente'!B224&gt;Valores!$F$63,Valores!$F$63,Valores!$D$63*'Escala Docente'!B224)/2)</f>
        <v>26029.44</v>
      </c>
      <c r="AH224" s="125">
        <f t="shared" si="34"/>
        <v>474724.8500000001</v>
      </c>
      <c r="AI224" s="125">
        <f>IF(Valores!$C$32*B224&gt;Valores!$F$32,Valores!$F$32,Valores!$C$32*B224)</f>
        <v>0</v>
      </c>
      <c r="AJ224" s="125">
        <f>IF(Valores!$C$90*B224&gt;Valores!$C$89,Valores!$C$89,Valores!$C$90*B224)</f>
        <v>0</v>
      </c>
      <c r="AK224" s="125">
        <f>IF(Valores!C$39*B224&gt;Valores!F$38,Valores!F$38,Valores!C$39*B224)</f>
        <v>0</v>
      </c>
      <c r="AL224" s="125">
        <f>IF($F$3="NO",0,IF(Valores!$C$61*B224&gt;Valores!$F$61,Valores!$F$61,Valores!$C$61*B224))</f>
        <v>327.6</v>
      </c>
      <c r="AM224" s="125">
        <f t="shared" si="32"/>
        <v>327.6</v>
      </c>
      <c r="AN224" s="125">
        <f>AH224*Valores!$C$71</f>
        <v>-52219.73350000001</v>
      </c>
      <c r="AO224" s="125">
        <f>AH224*-Valores!$C$72</f>
        <v>0</v>
      </c>
      <c r="AP224" s="125">
        <f>AH224*Valores!$C$73</f>
        <v>-21362.618250000003</v>
      </c>
      <c r="AQ224" s="125">
        <f>Valores!$C$100</f>
        <v>-554.86</v>
      </c>
      <c r="AR224" s="125">
        <f>IF($F$5=0,Valores!$C$101,(Valores!$C$101+$F$5*(Valores!$C$101)))</f>
        <v>-852</v>
      </c>
      <c r="AS224" s="125">
        <f t="shared" si="35"/>
        <v>400063.23825000005</v>
      </c>
      <c r="AT224" s="125">
        <f t="shared" si="29"/>
        <v>-52219.73350000001</v>
      </c>
      <c r="AU224" s="125">
        <f>AH224*Valores!$C$74</f>
        <v>-12817.570950000003</v>
      </c>
      <c r="AV224" s="125">
        <f>AH224*Valores!$C$75</f>
        <v>-1424.1745500000004</v>
      </c>
      <c r="AW224" s="125">
        <f t="shared" si="33"/>
        <v>408590.9710000001</v>
      </c>
      <c r="AX224" s="126"/>
      <c r="AY224" s="126">
        <f t="shared" si="37"/>
        <v>34</v>
      </c>
      <c r="AZ224" s="123" t="s">
        <v>8</v>
      </c>
    </row>
    <row r="225" spans="1:52" s="110" customFormat="1" ht="11.25" customHeight="1">
      <c r="A225" s="123" t="s">
        <v>470</v>
      </c>
      <c r="B225" s="123">
        <v>35</v>
      </c>
      <c r="C225" s="126">
        <v>218</v>
      </c>
      <c r="D225" s="124" t="str">
        <f t="shared" si="26"/>
        <v>Hora Cátedra Enseñanza Superior 35 hs</v>
      </c>
      <c r="E225" s="192">
        <f t="shared" si="27"/>
        <v>3465</v>
      </c>
      <c r="F225" s="125">
        <f>ROUND(E225*Valores!$C$2,2)</f>
        <v>188669.25</v>
      </c>
      <c r="G225" s="192">
        <v>0</v>
      </c>
      <c r="H225" s="125">
        <f>ROUND(G225*Valores!$C$2,2)</f>
        <v>0</v>
      </c>
      <c r="I225" s="192">
        <v>0</v>
      </c>
      <c r="J225" s="125">
        <f>ROUND(I225*Valores!$C$2,2)</f>
        <v>0</v>
      </c>
      <c r="K225" s="192">
        <v>0</v>
      </c>
      <c r="L225" s="125">
        <f>ROUND(K225*Valores!$C$2,2)</f>
        <v>0</v>
      </c>
      <c r="M225" s="125">
        <f>ROUND(IF($H$2=0,IF(AND(A225&lt;&gt;"13-930",A225&lt;&gt;"13-940"),(SUM(F225,H225,J225,L225,X225,T225,R225)*Valores!$C$4),0),0),2)</f>
        <v>60698.94</v>
      </c>
      <c r="N225" s="125">
        <f t="shared" si="30"/>
        <v>0</v>
      </c>
      <c r="O225" s="125">
        <f>Valores!$C$7*B225</f>
        <v>64625.4</v>
      </c>
      <c r="P225" s="125">
        <f>ROUND(IF(B225&lt;15,(Valores!$E$5*B225),Valores!$D$5),2)</f>
        <v>27834.84</v>
      </c>
      <c r="Q225" s="125">
        <v>0</v>
      </c>
      <c r="R225" s="125">
        <f>IF($F$4="NO",IF(Valores!$C$49*B225&gt;Valores!$F$46,Valores!$F$46,Valores!$C$49*B225),IF(Valores!$C$49*B225&gt;Valores!$F$46,Valores!$F$46,Valores!$C$49*B225)/2)</f>
        <v>33800.96</v>
      </c>
      <c r="S225" s="125">
        <f>Valores!$C$18*B225</f>
        <v>20325.55</v>
      </c>
      <c r="T225" s="125">
        <f t="shared" si="36"/>
        <v>20325.55</v>
      </c>
      <c r="U225" s="125">
        <v>0</v>
      </c>
      <c r="V225" s="125">
        <v>0</v>
      </c>
      <c r="W225" s="192">
        <v>0</v>
      </c>
      <c r="X225" s="125">
        <f>ROUND(W225*Valores!$C$2,2)</f>
        <v>0</v>
      </c>
      <c r="Y225" s="125">
        <v>0</v>
      </c>
      <c r="Z225" s="125">
        <f>IF(Valores!$C$97*B225&gt;Valores!$C$96,Valores!$C$96,Valores!$C$97*B225)</f>
        <v>62050.1</v>
      </c>
      <c r="AA225" s="125">
        <f>IF((Valores!$C$28)*B225&gt;Valores!$F$28,Valores!$F$28,(Valores!$C$28)*B225)</f>
        <v>1596.6999999999998</v>
      </c>
      <c r="AB225" s="214">
        <v>0</v>
      </c>
      <c r="AC225" s="125">
        <f t="shared" si="31"/>
        <v>0</v>
      </c>
      <c r="AD225" s="125">
        <f>IF(Valores!$C$29*B225&gt;Valores!$F$29,Valores!$F$29,Valores!$C$29*B225)</f>
        <v>1138.39</v>
      </c>
      <c r="AE225" s="192">
        <v>0</v>
      </c>
      <c r="AF225" s="125">
        <f>ROUND(AE225*Valores!$C$2,2)</f>
        <v>0</v>
      </c>
      <c r="AG225" s="125">
        <f>IF($F$4="NO",IF(Valores!$D$63*'Escala Docente'!B225&gt;Valores!$F$63,Valores!$F$63,Valores!$D$63*'Escala Docente'!B225),IF(Valores!$D$63*'Escala Docente'!B225&gt;Valores!$F$63,Valores!$F$63,Valores!$D$63*'Escala Docente'!B225)/2)</f>
        <v>26029.44</v>
      </c>
      <c r="AH225" s="125">
        <f t="shared" si="34"/>
        <v>486769.57000000007</v>
      </c>
      <c r="AI225" s="125">
        <f>IF(Valores!$C$32*B225&gt;Valores!$F$32,Valores!$F$32,Valores!$C$32*B225)</f>
        <v>0</v>
      </c>
      <c r="AJ225" s="125">
        <f>IF(Valores!$C$90*B225&gt;Valores!$C$89,Valores!$C$89,Valores!$C$90*B225)</f>
        <v>0</v>
      </c>
      <c r="AK225" s="125">
        <f>IF(Valores!C$39*B225&gt;Valores!F$38,Valores!F$38,Valores!C$39*B225)</f>
        <v>0</v>
      </c>
      <c r="AL225" s="125">
        <f>IF($F$3="NO",0,IF(Valores!$C$61*B225&gt;Valores!$F$61,Valores!$F$61,Valores!$C$61*B225))</f>
        <v>327.6</v>
      </c>
      <c r="AM225" s="125">
        <f t="shared" si="32"/>
        <v>327.6</v>
      </c>
      <c r="AN225" s="125">
        <f>AH225*Valores!$C$71</f>
        <v>-53544.652700000006</v>
      </c>
      <c r="AO225" s="125">
        <f>AH225*-Valores!$C$72</f>
        <v>0</v>
      </c>
      <c r="AP225" s="125">
        <f>AH225*Valores!$C$73</f>
        <v>-21904.630650000003</v>
      </c>
      <c r="AQ225" s="125">
        <f>Valores!$C$100</f>
        <v>-554.86</v>
      </c>
      <c r="AR225" s="125">
        <f>IF($F$5=0,Valores!$C$101,(Valores!$C$101+$F$5*(Valores!$C$101)))</f>
        <v>-852</v>
      </c>
      <c r="AS225" s="125">
        <f t="shared" si="35"/>
        <v>410241.0266500001</v>
      </c>
      <c r="AT225" s="125">
        <f t="shared" si="29"/>
        <v>-53544.652700000006</v>
      </c>
      <c r="AU225" s="125">
        <f>AH225*Valores!$C$74</f>
        <v>-13142.778390000001</v>
      </c>
      <c r="AV225" s="125">
        <f>AH225*Valores!$C$75</f>
        <v>-1460.3087100000002</v>
      </c>
      <c r="AW225" s="125">
        <f t="shared" si="33"/>
        <v>418949.43020000006</v>
      </c>
      <c r="AX225" s="126"/>
      <c r="AY225" s="126">
        <f t="shared" si="37"/>
        <v>35</v>
      </c>
      <c r="AZ225" s="123" t="s">
        <v>8</v>
      </c>
    </row>
    <row r="226" spans="1:52" s="110" customFormat="1" ht="11.25" customHeight="1">
      <c r="A226" s="123" t="s">
        <v>470</v>
      </c>
      <c r="B226" s="123">
        <v>36</v>
      </c>
      <c r="C226" s="126">
        <v>219</v>
      </c>
      <c r="D226" s="124" t="str">
        <f t="shared" si="26"/>
        <v>Hora Cátedra Enseñanza Superior 36 hs</v>
      </c>
      <c r="E226" s="192">
        <f t="shared" si="27"/>
        <v>3564</v>
      </c>
      <c r="F226" s="125">
        <f>ROUND(E226*Valores!$C$2,2)</f>
        <v>194059.8</v>
      </c>
      <c r="G226" s="192">
        <v>0</v>
      </c>
      <c r="H226" s="125">
        <f>ROUND(G226*Valores!$C$2,2)</f>
        <v>0</v>
      </c>
      <c r="I226" s="192">
        <v>0</v>
      </c>
      <c r="J226" s="125">
        <f>ROUND(I226*Valores!$C$2,2)</f>
        <v>0</v>
      </c>
      <c r="K226" s="192">
        <v>0</v>
      </c>
      <c r="L226" s="125">
        <f>ROUND(K226*Valores!$C$2,2)</f>
        <v>0</v>
      </c>
      <c r="M226" s="125">
        <f>ROUND(IF($H$2=0,IF(AND(A226&lt;&gt;"13-930",A226&lt;&gt;"13-940"),(SUM(F226,H226,J226,L226,X226,T226,R226)*Valores!$C$4),0),0),2)</f>
        <v>62191.76</v>
      </c>
      <c r="N226" s="125">
        <f t="shared" si="30"/>
        <v>0</v>
      </c>
      <c r="O226" s="125">
        <f>Valores!$C$7*B226</f>
        <v>66471.84</v>
      </c>
      <c r="P226" s="125">
        <f>ROUND(IF(B226&lt;15,(Valores!$E$5*B226),Valores!$D$5),2)</f>
        <v>27834.84</v>
      </c>
      <c r="Q226" s="125">
        <v>0</v>
      </c>
      <c r="R226" s="125">
        <f>IF($F$4="NO",IF(Valores!$C$49*B226&gt;Valores!$F$46,Valores!$F$46,Valores!$C$49*B226),IF(Valores!$C$49*B226&gt;Valores!$F$46,Valores!$F$46,Valores!$C$49*B226)/2)</f>
        <v>33800.96</v>
      </c>
      <c r="S226" s="125">
        <f>Valores!$C$18*B226</f>
        <v>20906.28</v>
      </c>
      <c r="T226" s="125">
        <f t="shared" si="36"/>
        <v>20906.28</v>
      </c>
      <c r="U226" s="125">
        <v>0</v>
      </c>
      <c r="V226" s="125">
        <v>0</v>
      </c>
      <c r="W226" s="192">
        <v>0</v>
      </c>
      <c r="X226" s="125">
        <f>ROUND(W226*Valores!$C$2,2)</f>
        <v>0</v>
      </c>
      <c r="Y226" s="125">
        <v>0</v>
      </c>
      <c r="Z226" s="125">
        <f>IF(Valores!$C$97*B226&gt;Valores!$C$96,Valores!$C$96,Valores!$C$97*B226)</f>
        <v>63822.96</v>
      </c>
      <c r="AA226" s="125">
        <f>IF((Valores!$C$28)*B226&gt;Valores!$F$28,Valores!$F$28,(Valores!$C$28)*B226)</f>
        <v>1642.32</v>
      </c>
      <c r="AB226" s="214">
        <v>0</v>
      </c>
      <c r="AC226" s="125">
        <f t="shared" si="31"/>
        <v>0</v>
      </c>
      <c r="AD226" s="125">
        <f>IF(Valores!$C$29*B226&gt;Valores!$F$29,Valores!$F$29,Valores!$C$29*B226)</f>
        <v>1138.39</v>
      </c>
      <c r="AE226" s="192">
        <v>0</v>
      </c>
      <c r="AF226" s="125">
        <f>ROUND(AE226*Valores!$C$2,2)</f>
        <v>0</v>
      </c>
      <c r="AG226" s="125">
        <f>IF($F$4="NO",IF(Valores!$D$63*'Escala Docente'!B226&gt;Valores!$F$63,Valores!$F$63,Valores!$D$63*'Escala Docente'!B226),IF(Valores!$D$63*'Escala Docente'!B226&gt;Valores!$F$63,Valores!$F$63,Valores!$D$63*'Escala Docente'!B226)/2)</f>
        <v>26029.44</v>
      </c>
      <c r="AH226" s="125">
        <f t="shared" si="34"/>
        <v>497898.59000000014</v>
      </c>
      <c r="AI226" s="125">
        <f>IF(Valores!$C$32*B226&gt;Valores!$F$32,Valores!$F$32,Valores!$C$32*B226)</f>
        <v>0</v>
      </c>
      <c r="AJ226" s="125">
        <f>IF(Valores!$C$90*B226&gt;Valores!$C$89,Valores!$C$89,Valores!$C$90*B226)</f>
        <v>0</v>
      </c>
      <c r="AK226" s="125">
        <f>IF(Valores!C$39*B226&gt;Valores!F$38,Valores!F$38,Valores!C$39*B226)</f>
        <v>0</v>
      </c>
      <c r="AL226" s="125">
        <f>IF($F$3="NO",0,IF(Valores!$C$61*B226&gt;Valores!$F$61,Valores!$F$61,Valores!$C$61*B226))</f>
        <v>327.6</v>
      </c>
      <c r="AM226" s="125">
        <f t="shared" si="32"/>
        <v>327.6</v>
      </c>
      <c r="AN226" s="125">
        <f>AH226*Valores!$C$71</f>
        <v>-54768.84490000002</v>
      </c>
      <c r="AO226" s="125">
        <f>AH226*-Valores!$C$72</f>
        <v>0</v>
      </c>
      <c r="AP226" s="125">
        <f>AH226*Valores!$C$73</f>
        <v>-22405.436550000006</v>
      </c>
      <c r="AQ226" s="125">
        <f>Valores!$C$100</f>
        <v>-554.86</v>
      </c>
      <c r="AR226" s="125">
        <f>IF($F$5=0,Valores!$C$101,(Valores!$C$101+$F$5*(Valores!$C$101)))</f>
        <v>-852</v>
      </c>
      <c r="AS226" s="125">
        <f t="shared" si="35"/>
        <v>419645.0485500001</v>
      </c>
      <c r="AT226" s="125">
        <f t="shared" si="29"/>
        <v>-54768.84490000002</v>
      </c>
      <c r="AU226" s="125">
        <f>AH226*Valores!$C$74</f>
        <v>-13443.261930000004</v>
      </c>
      <c r="AV226" s="125">
        <f>AH226*Valores!$C$75</f>
        <v>-1493.6957700000005</v>
      </c>
      <c r="AW226" s="125">
        <f t="shared" si="33"/>
        <v>428520.3874000001</v>
      </c>
      <c r="AX226" s="126"/>
      <c r="AY226" s="126">
        <f t="shared" si="37"/>
        <v>36</v>
      </c>
      <c r="AZ226" s="123" t="s">
        <v>8</v>
      </c>
    </row>
    <row r="227" spans="1:52" s="110" customFormat="1" ht="11.25" customHeight="1">
      <c r="A227" s="123" t="s">
        <v>471</v>
      </c>
      <c r="B227" s="123">
        <v>1</v>
      </c>
      <c r="C227" s="126">
        <v>220</v>
      </c>
      <c r="D227" s="124" t="str">
        <f>CONCATENATE("Hora Cátedra Enseñanza Media ",B227," hs")</f>
        <v>Hora Cátedra Enseñanza Media 1 hs</v>
      </c>
      <c r="E227" s="192">
        <f aca="true" t="shared" si="38" ref="E227:E258">79*B227</f>
        <v>79</v>
      </c>
      <c r="F227" s="125">
        <f>ROUND(E227*Valores!$C$2,2)</f>
        <v>4301.55</v>
      </c>
      <c r="G227" s="192">
        <v>0</v>
      </c>
      <c r="H227" s="125">
        <f>ROUND(G227*Valores!$C$2,2)</f>
        <v>0</v>
      </c>
      <c r="I227" s="192">
        <v>0</v>
      </c>
      <c r="J227" s="125">
        <f>ROUND(I227*Valores!$C$2,2)</f>
        <v>0</v>
      </c>
      <c r="K227" s="192">
        <v>0</v>
      </c>
      <c r="L227" s="125">
        <f>ROUND(K227*Valores!$C$2,2)</f>
        <v>0</v>
      </c>
      <c r="M227" s="125">
        <f>ROUND(IF($H$2=0,IF(AND(A227&lt;&gt;"13-930",A227&lt;&gt;"13-940"),(SUM(F227,H227,J227,L227,X227,T227,R227)*Valores!$C$4),0),0),2)</f>
        <v>1463.72</v>
      </c>
      <c r="N227" s="125">
        <f t="shared" si="30"/>
        <v>0</v>
      </c>
      <c r="O227" s="125">
        <f>Valores!$C$7*B227</f>
        <v>1846.44</v>
      </c>
      <c r="P227" s="125">
        <f>ROUND(IF(B227&lt;15,(Valores!$E$5*B227),Valores!$D$5),2)</f>
        <v>1855.66</v>
      </c>
      <c r="Q227" s="125">
        <v>0</v>
      </c>
      <c r="R227" s="125">
        <f>IF($F$4="NO",IF(Valores!$C$49*B227&gt;Valores!$F$46,Valores!$F$46,Valores!$C$49*B227),IF(Valores!$C$49*B227&gt;Valores!$F$46,Valores!$F$46,Valores!$C$49*B227)/2)</f>
        <v>972.6</v>
      </c>
      <c r="S227" s="125">
        <f>Valores!$C$18*B227</f>
        <v>580.73</v>
      </c>
      <c r="T227" s="125">
        <f t="shared" si="36"/>
        <v>580.73</v>
      </c>
      <c r="U227" s="125">
        <v>0</v>
      </c>
      <c r="V227" s="125">
        <v>0</v>
      </c>
      <c r="W227" s="192">
        <v>0</v>
      </c>
      <c r="X227" s="125">
        <f>ROUND(W227*Valores!$C$2,2)</f>
        <v>0</v>
      </c>
      <c r="Y227" s="125">
        <v>0</v>
      </c>
      <c r="Z227" s="125">
        <f>IF(Valores!$C$97*B227&gt;Valores!$C$96,Valores!$C$96,Valores!$C$97*B227)</f>
        <v>1772.86</v>
      </c>
      <c r="AA227" s="125">
        <f>IF((Valores!$C$28)*B227&gt;Valores!$F$28,Valores!$F$28,(Valores!$C$28)*B227)</f>
        <v>45.62</v>
      </c>
      <c r="AB227" s="214">
        <v>0</v>
      </c>
      <c r="AC227" s="125">
        <f t="shared" si="31"/>
        <v>0</v>
      </c>
      <c r="AD227" s="125">
        <f>IF(Valores!$C$29*B227&gt;Valores!$F$29,Valores!$F$29,Valores!$C$29*B227)</f>
        <v>37.99</v>
      </c>
      <c r="AE227" s="192">
        <v>0</v>
      </c>
      <c r="AF227" s="125">
        <f>ROUND(AE227*Valores!$C$2,2)</f>
        <v>0</v>
      </c>
      <c r="AG227" s="125">
        <f>IF($F$4="NO",IF(Valores!$D$63*'Escala Docente'!B227&gt;Valores!$F$63,Valores!$F$63,Valores!$D$63*'Escala Docente'!B227),IF(Valores!$D$63*'Escala Docente'!B227&gt;Valores!$F$63,Valores!$F$63,Valores!$D$63*'Escala Docente'!B227)/2)</f>
        <v>867.65</v>
      </c>
      <c r="AH227" s="125">
        <f t="shared" si="34"/>
        <v>13744.820000000002</v>
      </c>
      <c r="AI227" s="125">
        <f>IF(Valores!$C$32*B227&gt;Valores!$F$32,Valores!$F$32,Valores!$C$32*B227)</f>
        <v>0</v>
      </c>
      <c r="AJ227" s="125">
        <f>IF(Valores!$C$90*B227&gt;Valores!$C$89,Valores!$C$89,Valores!$C$90*B227)</f>
        <v>0</v>
      </c>
      <c r="AK227" s="125">
        <f>IF(Valores!C$39*B227&gt;Valores!F$38,Valores!F$38,Valores!C$39*B227)</f>
        <v>0</v>
      </c>
      <c r="AL227" s="125">
        <f>IF($F$3="NO",0,IF(Valores!$C$62*B227&gt;Valores!$F$62,Valores!$F$62,Valores!$C$62*B227))</f>
        <v>11.3559</v>
      </c>
      <c r="AM227" s="125">
        <f t="shared" si="32"/>
        <v>11.3559</v>
      </c>
      <c r="AN227" s="125">
        <f>AH227*Valores!$C$71</f>
        <v>-1511.9302000000002</v>
      </c>
      <c r="AO227" s="125">
        <f>AH227*-Valores!$C$72</f>
        <v>0</v>
      </c>
      <c r="AP227" s="125">
        <f>AH227*Valores!$C$73</f>
        <v>-618.5169000000001</v>
      </c>
      <c r="AQ227" s="125">
        <f>Valores!$C$100</f>
        <v>-554.86</v>
      </c>
      <c r="AR227" s="125">
        <f>IF($F$5=0,Valores!$C$101,(Valores!$C$101+$F$5*(Valores!$C$101)))</f>
        <v>-852</v>
      </c>
      <c r="AS227" s="125">
        <f t="shared" si="35"/>
        <v>10218.8688</v>
      </c>
      <c r="AT227" s="125">
        <f t="shared" si="29"/>
        <v>-1511.9302000000002</v>
      </c>
      <c r="AU227" s="125">
        <f>AH227*Valores!$C$74</f>
        <v>-371.11014000000006</v>
      </c>
      <c r="AV227" s="125">
        <f>AH227*Valores!$C$75</f>
        <v>-41.234460000000006</v>
      </c>
      <c r="AW227" s="125">
        <f t="shared" si="33"/>
        <v>11831.901100000003</v>
      </c>
      <c r="AX227" s="126"/>
      <c r="AY227" s="126">
        <f t="shared" si="37"/>
        <v>1</v>
      </c>
      <c r="AZ227" s="123" t="s">
        <v>4</v>
      </c>
    </row>
    <row r="228" spans="1:52" s="110" customFormat="1" ht="11.25" customHeight="1">
      <c r="A228" s="123" t="s">
        <v>471</v>
      </c>
      <c r="B228" s="123">
        <v>1</v>
      </c>
      <c r="C228" s="126">
        <v>221</v>
      </c>
      <c r="D228" s="124" t="str">
        <f>CONCATENATE("Hora Cátedra Enseñanza Media ",B228," hs Esc Esp")</f>
        <v>Hora Cátedra Enseñanza Media 1 hs Esc Esp</v>
      </c>
      <c r="E228" s="192">
        <f t="shared" si="38"/>
        <v>79</v>
      </c>
      <c r="F228" s="125">
        <f>ROUND(E228*Valores!$C$2,2)</f>
        <v>4301.55</v>
      </c>
      <c r="G228" s="192">
        <v>0</v>
      </c>
      <c r="H228" s="125">
        <f>ROUND(G228*Valores!$C$2,2)</f>
        <v>0</v>
      </c>
      <c r="I228" s="192">
        <v>0</v>
      </c>
      <c r="J228" s="125">
        <f>ROUND(I228*Valores!$C$2,2)</f>
        <v>0</v>
      </c>
      <c r="K228" s="192">
        <v>0</v>
      </c>
      <c r="L228" s="125">
        <f>ROUND(K228*Valores!$C$2,2)</f>
        <v>0</v>
      </c>
      <c r="M228" s="125">
        <f>ROUND(IF($H$2=0,IF(AND(A228&lt;&gt;"13-930",A228&lt;&gt;"13-940"),(SUM(F228,H228,J228,L228,X228,T228,R228)*Valores!$C$4),0),0),2)</f>
        <v>1463.72</v>
      </c>
      <c r="N228" s="125">
        <f t="shared" si="30"/>
        <v>0</v>
      </c>
      <c r="O228" s="125">
        <f>Valores!$C$7*B228</f>
        <v>1846.44</v>
      </c>
      <c r="P228" s="125">
        <f>ROUND(IF(B228&lt;15,(Valores!$E$5*B228),Valores!$D$5),2)</f>
        <v>1855.66</v>
      </c>
      <c r="Q228" s="125">
        <v>0</v>
      </c>
      <c r="R228" s="125">
        <f>IF($F$4="NO",IF(Valores!$C$49*B228&gt;Valores!$F$46,Valores!$F$46,Valores!$C$49*B228),IF(Valores!$C$49*B228&gt;Valores!$F$46,Valores!$F$46,Valores!$C$49*B228)/2)</f>
        <v>972.6</v>
      </c>
      <c r="S228" s="125">
        <f>Valores!$C$18*B228</f>
        <v>580.73</v>
      </c>
      <c r="T228" s="125">
        <f t="shared" si="36"/>
        <v>580.73</v>
      </c>
      <c r="U228" s="125">
        <v>0</v>
      </c>
      <c r="V228" s="125">
        <v>0</v>
      </c>
      <c r="W228" s="192">
        <v>0</v>
      </c>
      <c r="X228" s="125">
        <f>ROUND(W228*Valores!$C$2,2)</f>
        <v>0</v>
      </c>
      <c r="Y228" s="125">
        <v>0</v>
      </c>
      <c r="Z228" s="125">
        <f>IF(Valores!$C$97*B228&gt;Valores!$C$96,Valores!$C$96,Valores!$C$97*B228)</f>
        <v>1772.86</v>
      </c>
      <c r="AA228" s="125">
        <f>IF((Valores!$C$28)*B228&gt;Valores!$F$28,Valores!$F$28,(Valores!$C$28)*B228)</f>
        <v>45.62</v>
      </c>
      <c r="AB228" s="214">
        <v>0</v>
      </c>
      <c r="AC228" s="125">
        <f t="shared" si="31"/>
        <v>0</v>
      </c>
      <c r="AD228" s="125">
        <f>IF(Valores!$C$29*B228&gt;Valores!$F$29,Valores!$F$29,Valores!$C$29*B228)</f>
        <v>37.99</v>
      </c>
      <c r="AE228" s="192">
        <v>94</v>
      </c>
      <c r="AF228" s="125">
        <f>ROUND(AE228*Valores!$C$2,2)</f>
        <v>5118.3</v>
      </c>
      <c r="AG228" s="125">
        <f>IF($F$4="NO",IF(Valores!$D$63*'Escala Docente'!B228&gt;Valores!$F$63,Valores!$F$63,Valores!$D$63*'Escala Docente'!B228),IF(Valores!$D$63*'Escala Docente'!B228&gt;Valores!$F$63,Valores!$F$63,Valores!$D$63*'Escala Docente'!B228)/2)</f>
        <v>867.65</v>
      </c>
      <c r="AH228" s="125">
        <f t="shared" si="34"/>
        <v>18863.120000000003</v>
      </c>
      <c r="AI228" s="125">
        <f>IF(Valores!$C$32*B228&gt;Valores!$F$32,Valores!$F$32,Valores!$C$32*B228)</f>
        <v>0</v>
      </c>
      <c r="AJ228" s="125">
        <f>IF(Valores!$C$90*B228&gt;Valores!$C$89,Valores!$C$89,Valores!$C$90*B228)</f>
        <v>0</v>
      </c>
      <c r="AK228" s="125">
        <f>IF(Valores!C$39*B228&gt;Valores!F$38,Valores!F$38,Valores!C$39*B228)</f>
        <v>0</v>
      </c>
      <c r="AL228" s="125">
        <f>IF($F$3="NO",0,IF(Valores!$C$62*B228&gt;Valores!$F$62,Valores!$F$62,Valores!$C$62*B228))</f>
        <v>11.3559</v>
      </c>
      <c r="AM228" s="125">
        <f t="shared" si="32"/>
        <v>11.3559</v>
      </c>
      <c r="AN228" s="125">
        <f>AH228*Valores!$C$71</f>
        <v>-2074.9432</v>
      </c>
      <c r="AO228" s="125">
        <f>AH228*-Valores!$C$72</f>
        <v>0</v>
      </c>
      <c r="AP228" s="125">
        <f>AH228*Valores!$C$73</f>
        <v>-848.8404</v>
      </c>
      <c r="AQ228" s="125">
        <f>Valores!$C$100</f>
        <v>-554.86</v>
      </c>
      <c r="AR228" s="125">
        <f>IF($F$5=0,Valores!$C$101,(Valores!$C$101+$F$5*(Valores!$C$101)))</f>
        <v>-852</v>
      </c>
      <c r="AS228" s="125">
        <f t="shared" si="35"/>
        <v>14543.832300000002</v>
      </c>
      <c r="AT228" s="125">
        <f t="shared" si="29"/>
        <v>-2074.9432</v>
      </c>
      <c r="AU228" s="125">
        <f>AH228*Valores!$C$74</f>
        <v>-509.30424000000005</v>
      </c>
      <c r="AV228" s="125">
        <f>AH228*Valores!$C$75</f>
        <v>-56.589360000000006</v>
      </c>
      <c r="AW228" s="125">
        <f t="shared" si="33"/>
        <v>16233.6391</v>
      </c>
      <c r="AX228" s="126"/>
      <c r="AY228" s="126">
        <f t="shared" si="37"/>
        <v>1</v>
      </c>
      <c r="AZ228" s="123" t="s">
        <v>4</v>
      </c>
    </row>
    <row r="229" spans="1:52" s="110" customFormat="1" ht="11.25" customHeight="1">
      <c r="A229" s="123" t="s">
        <v>471</v>
      </c>
      <c r="B229" s="123">
        <v>2</v>
      </c>
      <c r="C229" s="126">
        <v>222</v>
      </c>
      <c r="D229" s="124" t="str">
        <f>CONCATENATE("Hora Cátedra Enseñanza Media ",B229," hs")</f>
        <v>Hora Cátedra Enseñanza Media 2 hs</v>
      </c>
      <c r="E229" s="192">
        <f t="shared" si="38"/>
        <v>158</v>
      </c>
      <c r="F229" s="125">
        <f>ROUND(E229*Valores!$C$2,2)</f>
        <v>8603.1</v>
      </c>
      <c r="G229" s="192">
        <v>0</v>
      </c>
      <c r="H229" s="125">
        <f>ROUND(G229*Valores!$C$2,2)</f>
        <v>0</v>
      </c>
      <c r="I229" s="192">
        <v>0</v>
      </c>
      <c r="J229" s="125">
        <f>ROUND(I229*Valores!$C$2,2)</f>
        <v>0</v>
      </c>
      <c r="K229" s="192">
        <v>0</v>
      </c>
      <c r="L229" s="125">
        <f>ROUND(K229*Valores!$C$2,2)</f>
        <v>0</v>
      </c>
      <c r="M229" s="125">
        <f>ROUND(IF($H$2=0,IF(AND(A229&lt;&gt;"13-930",A229&lt;&gt;"13-940"),(SUM(F229,H229,J229,L229,X229,T229,R229)*Valores!$C$4),0),0),2)</f>
        <v>2927.44</v>
      </c>
      <c r="N229" s="125">
        <f t="shared" si="30"/>
        <v>0</v>
      </c>
      <c r="O229" s="125">
        <f>Valores!$C$7*B229</f>
        <v>3692.88</v>
      </c>
      <c r="P229" s="125">
        <f>ROUND(IF(B229&lt;15,(Valores!$E$5*B229),Valores!$D$5),2)</f>
        <v>3711.32</v>
      </c>
      <c r="Q229" s="125">
        <v>0</v>
      </c>
      <c r="R229" s="125">
        <f>IF($F$4="NO",IF(Valores!$C$49*B229&gt;Valores!$F$46,Valores!$F$46,Valores!$C$49*B229),IF(Valores!$C$49*B229&gt;Valores!$F$46,Valores!$F$46,Valores!$C$49*B229)/2)</f>
        <v>1945.2</v>
      </c>
      <c r="S229" s="125">
        <f>Valores!$C$18*B229</f>
        <v>1161.46</v>
      </c>
      <c r="T229" s="125">
        <f t="shared" si="36"/>
        <v>1161.46</v>
      </c>
      <c r="U229" s="125">
        <v>0</v>
      </c>
      <c r="V229" s="125">
        <v>0</v>
      </c>
      <c r="W229" s="192">
        <v>0</v>
      </c>
      <c r="X229" s="125">
        <f>ROUND(W229*Valores!$C$2,2)</f>
        <v>0</v>
      </c>
      <c r="Y229" s="125">
        <v>0</v>
      </c>
      <c r="Z229" s="125">
        <f>IF(Valores!$C$97*B229&gt;Valores!$C$96,Valores!$C$96,Valores!$C$97*B229)</f>
        <v>3545.72</v>
      </c>
      <c r="AA229" s="125">
        <f>IF((Valores!$C$28)*B229&gt;Valores!$F$28,Valores!$F$28,(Valores!$C$28)*B229)</f>
        <v>91.24</v>
      </c>
      <c r="AB229" s="214">
        <v>0</v>
      </c>
      <c r="AC229" s="125">
        <f t="shared" si="31"/>
        <v>0</v>
      </c>
      <c r="AD229" s="125">
        <f>IF(Valores!$C$29*B229&gt;Valores!$F$29,Valores!$F$29,Valores!$C$29*B229)</f>
        <v>75.98</v>
      </c>
      <c r="AE229" s="192">
        <v>0</v>
      </c>
      <c r="AF229" s="125">
        <f>ROUND(AE229*Valores!$C$2,2)</f>
        <v>0</v>
      </c>
      <c r="AG229" s="125">
        <f>IF($F$4="NO",IF(Valores!$D$63*'Escala Docente'!B229&gt;Valores!$F$63,Valores!$F$63,Valores!$D$63*'Escala Docente'!B229),IF(Valores!$D$63*'Escala Docente'!B229&gt;Valores!$F$63,Valores!$F$63,Valores!$D$63*'Escala Docente'!B229)/2)</f>
        <v>1735.3</v>
      </c>
      <c r="AH229" s="125">
        <f t="shared" si="34"/>
        <v>27489.640000000003</v>
      </c>
      <c r="AI229" s="125">
        <f>IF(Valores!$C$32*B229&gt;Valores!$F$32,Valores!$F$32,Valores!$C$32*B229)</f>
        <v>0</v>
      </c>
      <c r="AJ229" s="125">
        <f>IF(Valores!$C$90*B229&gt;Valores!$C$89,Valores!$C$89,Valores!$C$90*B229)</f>
        <v>0</v>
      </c>
      <c r="AK229" s="125">
        <f>IF(Valores!C$39*B229&gt;Valores!F$38,Valores!F$38,Valores!C$39*B229)</f>
        <v>0</v>
      </c>
      <c r="AL229" s="125">
        <f>IF($F$3="NO",0,IF(Valores!$C$62*B229&gt;Valores!$F$62,Valores!$F$62,Valores!$C$62*B229))</f>
        <v>22.7118</v>
      </c>
      <c r="AM229" s="125">
        <f t="shared" si="32"/>
        <v>22.7118</v>
      </c>
      <c r="AN229" s="125">
        <f>AH229*Valores!$C$71</f>
        <v>-3023.8604000000005</v>
      </c>
      <c r="AO229" s="125">
        <f>AH229*-Valores!$C$72</f>
        <v>0</v>
      </c>
      <c r="AP229" s="125">
        <f>AH229*Valores!$C$73</f>
        <v>-1237.0338000000002</v>
      </c>
      <c r="AQ229" s="125">
        <f>Valores!$C$100</f>
        <v>-554.86</v>
      </c>
      <c r="AR229" s="125">
        <f>IF($F$5=0,Valores!$C$101,(Valores!$C$101+$F$5*(Valores!$C$101)))</f>
        <v>-852</v>
      </c>
      <c r="AS229" s="125">
        <f t="shared" si="35"/>
        <v>21844.5976</v>
      </c>
      <c r="AT229" s="125">
        <f t="shared" si="29"/>
        <v>-3023.8604000000005</v>
      </c>
      <c r="AU229" s="125">
        <f>AH229*Valores!$C$74</f>
        <v>-742.2202800000001</v>
      </c>
      <c r="AV229" s="125">
        <f>AH229*Valores!$C$75</f>
        <v>-82.46892000000001</v>
      </c>
      <c r="AW229" s="125">
        <f t="shared" si="33"/>
        <v>23663.802200000006</v>
      </c>
      <c r="AX229" s="126"/>
      <c r="AY229" s="126">
        <f t="shared" si="37"/>
        <v>2</v>
      </c>
      <c r="AZ229" s="123" t="s">
        <v>4</v>
      </c>
    </row>
    <row r="230" spans="1:52" s="110" customFormat="1" ht="11.25" customHeight="1">
      <c r="A230" s="123" t="s">
        <v>471</v>
      </c>
      <c r="B230" s="123">
        <v>2</v>
      </c>
      <c r="C230" s="126">
        <v>223</v>
      </c>
      <c r="D230" s="124" t="str">
        <f>CONCATENATE("Hora Cátedra Enseñanza Media ",B230," hs Esc Esp")</f>
        <v>Hora Cátedra Enseñanza Media 2 hs Esc Esp</v>
      </c>
      <c r="E230" s="192">
        <f t="shared" si="38"/>
        <v>158</v>
      </c>
      <c r="F230" s="125">
        <f>ROUND(E230*Valores!$C$2,2)</f>
        <v>8603.1</v>
      </c>
      <c r="G230" s="192">
        <v>0</v>
      </c>
      <c r="H230" s="125">
        <f>ROUND(G230*Valores!$C$2,2)</f>
        <v>0</v>
      </c>
      <c r="I230" s="192">
        <v>0</v>
      </c>
      <c r="J230" s="125">
        <f>ROUND(I230*Valores!$C$2,2)</f>
        <v>0</v>
      </c>
      <c r="K230" s="192">
        <v>0</v>
      </c>
      <c r="L230" s="125">
        <f>ROUND(K230*Valores!$C$2,2)</f>
        <v>0</v>
      </c>
      <c r="M230" s="125">
        <f>ROUND(IF($H$2=0,IF(AND(A230&lt;&gt;"13-930",A230&lt;&gt;"13-940"),(SUM(F230,H230,J230,L230,X230,T230,R230)*Valores!$C$4),0),0),2)</f>
        <v>2927.44</v>
      </c>
      <c r="N230" s="125">
        <f t="shared" si="30"/>
        <v>0</v>
      </c>
      <c r="O230" s="125">
        <f>Valores!$C$7*B230</f>
        <v>3692.88</v>
      </c>
      <c r="P230" s="125">
        <f>ROUND(IF(B230&lt;15,(Valores!$E$5*B230),Valores!$D$5),2)</f>
        <v>3711.32</v>
      </c>
      <c r="Q230" s="125">
        <v>0</v>
      </c>
      <c r="R230" s="125">
        <f>IF($F$4="NO",IF(Valores!$C$49*B230&gt;Valores!$F$46,Valores!$F$46,Valores!$C$49*B230),IF(Valores!$C$49*B230&gt;Valores!$F$46,Valores!$F$46,Valores!$C$49*B230)/2)</f>
        <v>1945.2</v>
      </c>
      <c r="S230" s="125">
        <f>Valores!$C$18*B230</f>
        <v>1161.46</v>
      </c>
      <c r="T230" s="125">
        <f t="shared" si="36"/>
        <v>1161.46</v>
      </c>
      <c r="U230" s="125">
        <v>0</v>
      </c>
      <c r="V230" s="125">
        <v>0</v>
      </c>
      <c r="W230" s="192">
        <v>0</v>
      </c>
      <c r="X230" s="125">
        <f>ROUND(W230*Valores!$C$2,2)</f>
        <v>0</v>
      </c>
      <c r="Y230" s="125">
        <v>0</v>
      </c>
      <c r="Z230" s="125">
        <f>IF(Valores!$C$97*B230&gt;Valores!$C$96,Valores!$C$96,Valores!$C$97*B230)</f>
        <v>3545.72</v>
      </c>
      <c r="AA230" s="125">
        <f>IF((Valores!$C$28)*B230&gt;Valores!$F$28,Valores!$F$28,(Valores!$C$28)*B230)</f>
        <v>91.24</v>
      </c>
      <c r="AB230" s="214">
        <v>0</v>
      </c>
      <c r="AC230" s="125">
        <f t="shared" si="31"/>
        <v>0</v>
      </c>
      <c r="AD230" s="125">
        <f>IF(Valores!$C$29*B230&gt;Valores!$F$29,Valores!$F$29,Valores!$C$29*B230)</f>
        <v>75.98</v>
      </c>
      <c r="AE230" s="192">
        <v>94</v>
      </c>
      <c r="AF230" s="125">
        <f>ROUND(AE230*Valores!$C$2,2)</f>
        <v>5118.3</v>
      </c>
      <c r="AG230" s="125">
        <f>IF($F$4="NO",IF(Valores!$D$63*'Escala Docente'!B230&gt;Valores!$F$63,Valores!$F$63,Valores!$D$63*'Escala Docente'!B230),IF(Valores!$D$63*'Escala Docente'!B230&gt;Valores!$F$63,Valores!$F$63,Valores!$D$63*'Escala Docente'!B230)/2)</f>
        <v>1735.3</v>
      </c>
      <c r="AH230" s="125">
        <f t="shared" si="34"/>
        <v>32607.940000000002</v>
      </c>
      <c r="AI230" s="125">
        <f>IF(Valores!$C$32*B230&gt;Valores!$F$32,Valores!$F$32,Valores!$C$32*B230)</f>
        <v>0</v>
      </c>
      <c r="AJ230" s="125">
        <f>IF(Valores!$C$90*B230&gt;Valores!$C$89,Valores!$C$89,Valores!$C$90*B230)</f>
        <v>0</v>
      </c>
      <c r="AK230" s="125">
        <f>IF(Valores!C$39*B230&gt;Valores!F$38,Valores!F$38,Valores!C$39*B230)</f>
        <v>0</v>
      </c>
      <c r="AL230" s="125">
        <f>IF($F$3="NO",0,IF(Valores!$C$62*B230&gt;Valores!$F$62,Valores!$F$62,Valores!$C$62*B230))</f>
        <v>22.7118</v>
      </c>
      <c r="AM230" s="125">
        <f t="shared" si="32"/>
        <v>22.7118</v>
      </c>
      <c r="AN230" s="125">
        <f>AH230*Valores!$C$71</f>
        <v>-3586.8734000000004</v>
      </c>
      <c r="AO230" s="125">
        <f>AH230*-Valores!$C$72</f>
        <v>0</v>
      </c>
      <c r="AP230" s="125">
        <f>AH230*Valores!$C$73</f>
        <v>-1467.3573000000001</v>
      </c>
      <c r="AQ230" s="125">
        <f>Valores!$C$100</f>
        <v>-554.86</v>
      </c>
      <c r="AR230" s="125">
        <f>IF($F$5=0,Valores!$C$101,(Valores!$C$101+$F$5*(Valores!$C$101)))</f>
        <v>-852</v>
      </c>
      <c r="AS230" s="125">
        <f t="shared" si="35"/>
        <v>26169.561100000003</v>
      </c>
      <c r="AT230" s="125">
        <f t="shared" si="29"/>
        <v>-3586.8734000000004</v>
      </c>
      <c r="AU230" s="125">
        <f>AH230*Valores!$C$74</f>
        <v>-880.41438</v>
      </c>
      <c r="AV230" s="125">
        <f>AH230*Valores!$C$75</f>
        <v>-97.82382000000001</v>
      </c>
      <c r="AW230" s="125">
        <f t="shared" si="33"/>
        <v>28065.540200000003</v>
      </c>
      <c r="AX230" s="126"/>
      <c r="AY230" s="126">
        <f t="shared" si="37"/>
        <v>2</v>
      </c>
      <c r="AZ230" s="123" t="s">
        <v>4</v>
      </c>
    </row>
    <row r="231" spans="1:52" s="110" customFormat="1" ht="11.25" customHeight="1">
      <c r="A231" s="123" t="s">
        <v>471</v>
      </c>
      <c r="B231" s="123">
        <v>3</v>
      </c>
      <c r="C231" s="126">
        <v>224</v>
      </c>
      <c r="D231" s="124" t="str">
        <f>CONCATENATE("Hora Cátedra Enseñanza Media ",B231," hs")</f>
        <v>Hora Cátedra Enseñanza Media 3 hs</v>
      </c>
      <c r="E231" s="192">
        <f t="shared" si="38"/>
        <v>237</v>
      </c>
      <c r="F231" s="125">
        <f>ROUND(E231*Valores!$C$2,2)</f>
        <v>12904.65</v>
      </c>
      <c r="G231" s="192">
        <v>0</v>
      </c>
      <c r="H231" s="125">
        <f>ROUND(G231*Valores!$C$2,2)</f>
        <v>0</v>
      </c>
      <c r="I231" s="192">
        <v>0</v>
      </c>
      <c r="J231" s="125">
        <f>ROUND(I231*Valores!$C$2,2)</f>
        <v>0</v>
      </c>
      <c r="K231" s="192">
        <v>0</v>
      </c>
      <c r="L231" s="125">
        <f>ROUND(K231*Valores!$C$2,2)</f>
        <v>0</v>
      </c>
      <c r="M231" s="125">
        <f>ROUND(IF($H$2=0,IF(AND(A231&lt;&gt;"13-930",A231&lt;&gt;"13-940"),(SUM(F231,H231,J231,L231,X231,T231,R231)*Valores!$C$4),0),0),2)</f>
        <v>4391.16</v>
      </c>
      <c r="N231" s="125">
        <f t="shared" si="30"/>
        <v>0</v>
      </c>
      <c r="O231" s="125">
        <f>Valores!$C$7*B231</f>
        <v>5539.32</v>
      </c>
      <c r="P231" s="125">
        <f>ROUND(IF(B231&lt;15,(Valores!$E$5*B231),Valores!$D$5),2)</f>
        <v>5566.98</v>
      </c>
      <c r="Q231" s="125">
        <v>0</v>
      </c>
      <c r="R231" s="125">
        <f>IF($F$4="NO",IF(Valores!$C$49*B231&gt;Valores!$F$46,Valores!$F$46,Valores!$C$49*B231),IF(Valores!$C$49*B231&gt;Valores!$F$46,Valores!$F$46,Valores!$C$49*B231)/2)</f>
        <v>2917.8</v>
      </c>
      <c r="S231" s="125">
        <f>Valores!$C$18*B231</f>
        <v>1742.19</v>
      </c>
      <c r="T231" s="125">
        <f t="shared" si="36"/>
        <v>1742.19</v>
      </c>
      <c r="U231" s="125">
        <v>0</v>
      </c>
      <c r="V231" s="125">
        <v>0</v>
      </c>
      <c r="W231" s="192">
        <v>0</v>
      </c>
      <c r="X231" s="125">
        <f>ROUND(W231*Valores!$C$2,2)</f>
        <v>0</v>
      </c>
      <c r="Y231" s="125">
        <v>0</v>
      </c>
      <c r="Z231" s="125">
        <f>IF(Valores!$C$97*B231&gt;Valores!$C$96,Valores!$C$96,Valores!$C$97*B231)</f>
        <v>5318.58</v>
      </c>
      <c r="AA231" s="125">
        <f>IF((Valores!$C$28)*B231&gt;Valores!$F$28,Valores!$F$28,(Valores!$C$28)*B231)</f>
        <v>136.85999999999999</v>
      </c>
      <c r="AB231" s="214">
        <v>0</v>
      </c>
      <c r="AC231" s="125">
        <f t="shared" si="31"/>
        <v>0</v>
      </c>
      <c r="AD231" s="125">
        <f>IF(Valores!$C$29*B231&gt;Valores!$F$29,Valores!$F$29,Valores!$C$29*B231)</f>
        <v>113.97</v>
      </c>
      <c r="AE231" s="192">
        <v>0</v>
      </c>
      <c r="AF231" s="125">
        <f>ROUND(AE231*Valores!$C$2,2)</f>
        <v>0</v>
      </c>
      <c r="AG231" s="125">
        <f>IF($F$4="NO",IF(Valores!$D$63*'Escala Docente'!B231&gt;Valores!$F$63,Valores!$F$63,Valores!$D$63*'Escala Docente'!B231),IF(Valores!$D$63*'Escala Docente'!B231&gt;Valores!$F$63,Valores!$F$63,Valores!$D$63*'Escala Docente'!B231)/2)-0.01</f>
        <v>2602.9399999999996</v>
      </c>
      <c r="AH231" s="125">
        <f t="shared" si="34"/>
        <v>41234.450000000004</v>
      </c>
      <c r="AI231" s="125">
        <f>IF(Valores!$C$32*B231&gt;Valores!$F$32,Valores!$F$32,Valores!$C$32*B231)</f>
        <v>0</v>
      </c>
      <c r="AJ231" s="125">
        <f>IF(Valores!$C$90*B231&gt;Valores!$C$89,Valores!$C$89,Valores!$C$90*B231)</f>
        <v>0</v>
      </c>
      <c r="AK231" s="125">
        <f>IF(Valores!C$39*B231&gt;Valores!F$38,Valores!F$38,Valores!C$39*B231)</f>
        <v>0</v>
      </c>
      <c r="AL231" s="125">
        <f>IF($F$3="NO",0,IF(Valores!$C$62*B231&gt;Valores!$F$62,Valores!$F$62,Valores!$C$62*B231))</f>
        <v>34.0677</v>
      </c>
      <c r="AM231" s="125">
        <f t="shared" si="32"/>
        <v>34.0677</v>
      </c>
      <c r="AN231" s="125">
        <f>AH231*Valores!$C$71</f>
        <v>-4535.789500000001</v>
      </c>
      <c r="AO231" s="125">
        <f>AH231*-Valores!$C$72</f>
        <v>0</v>
      </c>
      <c r="AP231" s="125">
        <f>AH231*Valores!$C$73</f>
        <v>-1855.5502500000002</v>
      </c>
      <c r="AQ231" s="125">
        <f>Valores!$C$100</f>
        <v>-554.86</v>
      </c>
      <c r="AR231" s="125">
        <f>IF($F$5=0,Valores!$C$101,(Valores!$C$101+$F$5*(Valores!$C$101)))</f>
        <v>-852</v>
      </c>
      <c r="AS231" s="125">
        <f t="shared" si="35"/>
        <v>33470.317950000004</v>
      </c>
      <c r="AT231" s="125">
        <f t="shared" si="29"/>
        <v>-4535.789500000001</v>
      </c>
      <c r="AU231" s="125">
        <f>AH231*Valores!$C$74</f>
        <v>-1113.33015</v>
      </c>
      <c r="AV231" s="125">
        <f>AH231*Valores!$C$75</f>
        <v>-123.70335000000001</v>
      </c>
      <c r="AW231" s="125">
        <f t="shared" si="33"/>
        <v>35495.69470000001</v>
      </c>
      <c r="AX231" s="126"/>
      <c r="AY231" s="126">
        <f t="shared" si="37"/>
        <v>3</v>
      </c>
      <c r="AZ231" s="123" t="s">
        <v>4</v>
      </c>
    </row>
    <row r="232" spans="1:52" s="110" customFormat="1" ht="11.25" customHeight="1">
      <c r="A232" s="123" t="s">
        <v>471</v>
      </c>
      <c r="B232" s="123">
        <v>3</v>
      </c>
      <c r="C232" s="126">
        <v>225</v>
      </c>
      <c r="D232" s="124" t="str">
        <f>CONCATENATE("Hora Cátedra Enseñanza Media ",B232," hs Esc Esp")</f>
        <v>Hora Cátedra Enseñanza Media 3 hs Esc Esp</v>
      </c>
      <c r="E232" s="192">
        <f t="shared" si="38"/>
        <v>237</v>
      </c>
      <c r="F232" s="125">
        <f>ROUND(E232*Valores!$C$2,2)</f>
        <v>12904.65</v>
      </c>
      <c r="G232" s="192">
        <v>0</v>
      </c>
      <c r="H232" s="125">
        <f>ROUND(G232*Valores!$C$2,2)</f>
        <v>0</v>
      </c>
      <c r="I232" s="192">
        <v>0</v>
      </c>
      <c r="J232" s="125">
        <f>ROUND(I232*Valores!$C$2,2)</f>
        <v>0</v>
      </c>
      <c r="K232" s="192">
        <v>0</v>
      </c>
      <c r="L232" s="125">
        <f>ROUND(K232*Valores!$C$2,2)</f>
        <v>0</v>
      </c>
      <c r="M232" s="125">
        <f>ROUND(IF($H$2=0,IF(AND(A232&lt;&gt;"13-930",A232&lt;&gt;"13-940"),(SUM(F232,H232,J232,L232,X232,T232,R232)*Valores!$C$4),0),0),2)</f>
        <v>4391.16</v>
      </c>
      <c r="N232" s="125">
        <f t="shared" si="30"/>
        <v>0</v>
      </c>
      <c r="O232" s="125">
        <f>Valores!$C$7*B232</f>
        <v>5539.32</v>
      </c>
      <c r="P232" s="125">
        <f>ROUND(IF(B232&lt;15,(Valores!$E$5*B232),Valores!$D$5),2)</f>
        <v>5566.98</v>
      </c>
      <c r="Q232" s="125">
        <v>0</v>
      </c>
      <c r="R232" s="125">
        <f>IF($F$4="NO",IF(Valores!$C$49*B232&gt;Valores!$F$46,Valores!$F$46,Valores!$C$49*B232),IF(Valores!$C$49*B232&gt;Valores!$F$46,Valores!$F$46,Valores!$C$49*B232)/2)</f>
        <v>2917.8</v>
      </c>
      <c r="S232" s="125">
        <f>Valores!$C$18*B232</f>
        <v>1742.19</v>
      </c>
      <c r="T232" s="125">
        <f t="shared" si="36"/>
        <v>1742.19</v>
      </c>
      <c r="U232" s="125">
        <v>0</v>
      </c>
      <c r="V232" s="125">
        <v>0</v>
      </c>
      <c r="W232" s="192">
        <v>0</v>
      </c>
      <c r="X232" s="125">
        <f>ROUND(W232*Valores!$C$2,2)</f>
        <v>0</v>
      </c>
      <c r="Y232" s="125">
        <v>0</v>
      </c>
      <c r="Z232" s="125">
        <f>IF(Valores!$C$97*B232&gt;Valores!$C$96,Valores!$C$96,Valores!$C$97*B232)</f>
        <v>5318.58</v>
      </c>
      <c r="AA232" s="125">
        <f>IF((Valores!$C$28)*B232&gt;Valores!$F$28,Valores!$F$28,(Valores!$C$28)*B232)</f>
        <v>136.85999999999999</v>
      </c>
      <c r="AB232" s="214">
        <v>0</v>
      </c>
      <c r="AC232" s="125">
        <f t="shared" si="31"/>
        <v>0</v>
      </c>
      <c r="AD232" s="125">
        <f>IF(Valores!$C$29*B232&gt;Valores!$F$29,Valores!$F$29,Valores!$C$29*B232)</f>
        <v>113.97</v>
      </c>
      <c r="AE232" s="192">
        <v>94</v>
      </c>
      <c r="AF232" s="125">
        <f>ROUND(AE232*Valores!$C$2,2)</f>
        <v>5118.3</v>
      </c>
      <c r="AG232" s="125">
        <f>IF($F$4="NO",IF(Valores!$D$63*'Escala Docente'!B232&gt;Valores!$F$63,Valores!$F$63,Valores!$D$63*'Escala Docente'!B232),IF(Valores!$D$63*'Escala Docente'!B232&gt;Valores!$F$63,Valores!$F$63,Valores!$D$63*'Escala Docente'!B232)/2)-0.01</f>
        <v>2602.9399999999996</v>
      </c>
      <c r="AH232" s="125">
        <f t="shared" si="34"/>
        <v>46352.75000000001</v>
      </c>
      <c r="AI232" s="125">
        <f>IF(Valores!$C$32*B232&gt;Valores!$F$32,Valores!$F$32,Valores!$C$32*B232)</f>
        <v>0</v>
      </c>
      <c r="AJ232" s="125">
        <f>IF(Valores!$C$90*B232&gt;Valores!$C$89,Valores!$C$89,Valores!$C$90*B232)</f>
        <v>0</v>
      </c>
      <c r="AK232" s="125">
        <f>IF(Valores!C$39*B232&gt;Valores!F$38,Valores!F$38,Valores!C$39*B232)</f>
        <v>0</v>
      </c>
      <c r="AL232" s="125">
        <f>IF($F$3="NO",0,IF(Valores!$C$62*B232&gt;Valores!$F$62,Valores!$F$62,Valores!$C$62*B232))</f>
        <v>34.0677</v>
      </c>
      <c r="AM232" s="125">
        <f t="shared" si="32"/>
        <v>34.0677</v>
      </c>
      <c r="AN232" s="125">
        <f>AH232*Valores!$C$71</f>
        <v>-5098.802500000001</v>
      </c>
      <c r="AO232" s="125">
        <f>AH232*-Valores!$C$72</f>
        <v>0</v>
      </c>
      <c r="AP232" s="125">
        <f>AH232*Valores!$C$73</f>
        <v>-2085.87375</v>
      </c>
      <c r="AQ232" s="125">
        <f>Valores!$C$100</f>
        <v>-554.86</v>
      </c>
      <c r="AR232" s="125">
        <f>IF($F$5=0,Valores!$C$101,(Valores!$C$101+$F$5*(Valores!$C$101)))</f>
        <v>-852</v>
      </c>
      <c r="AS232" s="125">
        <f t="shared" si="35"/>
        <v>37795.28145000001</v>
      </c>
      <c r="AT232" s="125">
        <f t="shared" si="29"/>
        <v>-5098.802500000001</v>
      </c>
      <c r="AU232" s="125">
        <f>AH232*Valores!$C$74</f>
        <v>-1251.5242500000002</v>
      </c>
      <c r="AV232" s="125">
        <f>AH232*Valores!$C$75</f>
        <v>-139.05825000000002</v>
      </c>
      <c r="AW232" s="125">
        <f t="shared" si="33"/>
        <v>39897.432700000005</v>
      </c>
      <c r="AX232" s="126"/>
      <c r="AY232" s="126">
        <f t="shared" si="37"/>
        <v>3</v>
      </c>
      <c r="AZ232" s="123" t="s">
        <v>4</v>
      </c>
    </row>
    <row r="233" spans="1:52" s="110" customFormat="1" ht="11.25" customHeight="1">
      <c r="A233" s="123" t="s">
        <v>471</v>
      </c>
      <c r="B233" s="123">
        <v>4</v>
      </c>
      <c r="C233" s="126">
        <v>226</v>
      </c>
      <c r="D233" s="124" t="str">
        <f>CONCATENATE("Hora Cátedra Enseñanza Media ",B233," hs")</f>
        <v>Hora Cátedra Enseñanza Media 4 hs</v>
      </c>
      <c r="E233" s="192">
        <f t="shared" si="38"/>
        <v>316</v>
      </c>
      <c r="F233" s="125">
        <f>ROUND(E233*Valores!$C$2,2)</f>
        <v>17206.2</v>
      </c>
      <c r="G233" s="192">
        <v>0</v>
      </c>
      <c r="H233" s="125">
        <f>ROUND(G233*Valores!$C$2,2)</f>
        <v>0</v>
      </c>
      <c r="I233" s="192">
        <v>0</v>
      </c>
      <c r="J233" s="125">
        <f>ROUND(I233*Valores!$C$2,2)</f>
        <v>0</v>
      </c>
      <c r="K233" s="192">
        <v>0</v>
      </c>
      <c r="L233" s="125">
        <f>ROUND(K233*Valores!$C$2,2)</f>
        <v>0</v>
      </c>
      <c r="M233" s="125">
        <f>ROUND(IF($H$2=0,IF(AND(A233&lt;&gt;"13-930",A233&lt;&gt;"13-940"),(SUM(F233,H233,J233,L233,X233,T233,R233)*Valores!$C$4),0),0),2)</f>
        <v>5854.88</v>
      </c>
      <c r="N233" s="125">
        <f t="shared" si="30"/>
        <v>0</v>
      </c>
      <c r="O233" s="125">
        <f>Valores!$C$7*B233</f>
        <v>7385.76</v>
      </c>
      <c r="P233" s="125">
        <f>ROUND(IF(B233&lt;15,(Valores!$E$5*B233),Valores!$D$5),2)</f>
        <v>7422.64</v>
      </c>
      <c r="Q233" s="125">
        <v>0</v>
      </c>
      <c r="R233" s="125">
        <f>IF($F$4="NO",IF(Valores!$C$49*B233&gt;Valores!$F$46,Valores!$F$46,Valores!$C$49*B233),IF(Valores!$C$49*B233&gt;Valores!$F$46,Valores!$F$46,Valores!$C$49*B233)/2)</f>
        <v>3890.4</v>
      </c>
      <c r="S233" s="125">
        <f>Valores!$C$18*B233</f>
        <v>2322.92</v>
      </c>
      <c r="T233" s="125">
        <f t="shared" si="36"/>
        <v>2322.92</v>
      </c>
      <c r="U233" s="125">
        <v>0</v>
      </c>
      <c r="V233" s="125">
        <v>0</v>
      </c>
      <c r="W233" s="192">
        <v>0</v>
      </c>
      <c r="X233" s="125">
        <f>ROUND(W233*Valores!$C$2,2)</f>
        <v>0</v>
      </c>
      <c r="Y233" s="125">
        <v>0</v>
      </c>
      <c r="Z233" s="125">
        <f>IF(Valores!$C$97*B233&gt;Valores!$C$96,Valores!$C$96,Valores!$C$97*B233)</f>
        <v>7091.44</v>
      </c>
      <c r="AA233" s="125">
        <f>IF((Valores!$C$28)*B233&gt;Valores!$F$28,Valores!$F$28,(Valores!$C$28)*B233)</f>
        <v>182.48</v>
      </c>
      <c r="AB233" s="214">
        <v>0</v>
      </c>
      <c r="AC233" s="125">
        <f t="shared" si="31"/>
        <v>0</v>
      </c>
      <c r="AD233" s="125">
        <f>IF(Valores!$C$29*B233&gt;Valores!$F$29,Valores!$F$29,Valores!$C$29*B233)</f>
        <v>151.96</v>
      </c>
      <c r="AE233" s="192">
        <v>0</v>
      </c>
      <c r="AF233" s="125">
        <f>ROUND(AE233*Valores!$C$2,2)</f>
        <v>0</v>
      </c>
      <c r="AG233" s="125">
        <f>IF($F$4="NO",IF(Valores!$D$63*'Escala Docente'!B233&gt;Valores!$F$63,Valores!$F$63,Valores!$D$63*'Escala Docente'!B233),IF(Valores!$D$63*'Escala Docente'!B233&gt;Valores!$F$63,Valores!$F$63,Valores!$D$63*'Escala Docente'!B233)/2)-0.01</f>
        <v>3470.5899999999997</v>
      </c>
      <c r="AH233" s="125">
        <f t="shared" si="34"/>
        <v>54979.270000000004</v>
      </c>
      <c r="AI233" s="125">
        <f>IF(Valores!$C$32*B233&gt;Valores!$F$32,Valores!$F$32,Valores!$C$32*B233)</f>
        <v>0</v>
      </c>
      <c r="AJ233" s="125">
        <f>IF(Valores!$C$90*B233&gt;Valores!$C$89,Valores!$C$89,Valores!$C$90*B233)</f>
        <v>0</v>
      </c>
      <c r="AK233" s="125">
        <f>IF(Valores!C$39*B233&gt;Valores!F$38,Valores!F$38,Valores!C$39*B233)</f>
        <v>0</v>
      </c>
      <c r="AL233" s="125">
        <f>IF($F$3="NO",0,IF(Valores!$C$62*B233&gt;Valores!$F$62,Valores!$F$62,Valores!$C$62*B233))</f>
        <v>45.4236</v>
      </c>
      <c r="AM233" s="125">
        <f t="shared" si="32"/>
        <v>45.4236</v>
      </c>
      <c r="AN233" s="125">
        <f>AH233*Valores!$C$71</f>
        <v>-6047.719700000001</v>
      </c>
      <c r="AO233" s="125">
        <f>AH233*-Valores!$C$72</f>
        <v>0</v>
      </c>
      <c r="AP233" s="125">
        <f>AH233*Valores!$C$73</f>
        <v>-2474.0671500000003</v>
      </c>
      <c r="AQ233" s="125">
        <f>Valores!$C$100</f>
        <v>-554.86</v>
      </c>
      <c r="AR233" s="125">
        <f>IF($F$5=0,Valores!$C$101,(Valores!$C$101+$F$5*(Valores!$C$101)))</f>
        <v>-852</v>
      </c>
      <c r="AS233" s="125">
        <f t="shared" si="35"/>
        <v>45096.04675</v>
      </c>
      <c r="AT233" s="125">
        <f t="shared" si="29"/>
        <v>-6047.719700000001</v>
      </c>
      <c r="AU233" s="125">
        <f>AH233*Valores!$C$74</f>
        <v>-1484.44029</v>
      </c>
      <c r="AV233" s="125">
        <f>AH233*Valores!$C$75</f>
        <v>-164.93781</v>
      </c>
      <c r="AW233" s="125">
        <f t="shared" si="33"/>
        <v>47327.5958</v>
      </c>
      <c r="AX233" s="126"/>
      <c r="AY233" s="126">
        <f t="shared" si="37"/>
        <v>4</v>
      </c>
      <c r="AZ233" s="123" t="s">
        <v>4</v>
      </c>
    </row>
    <row r="234" spans="1:52" s="110" customFormat="1" ht="11.25" customHeight="1">
      <c r="A234" s="123" t="s">
        <v>471</v>
      </c>
      <c r="B234" s="123">
        <v>4</v>
      </c>
      <c r="C234" s="126">
        <v>227</v>
      </c>
      <c r="D234" s="124" t="str">
        <f>CONCATENATE("Hora Cátedra Enseñanza Media ",B234," hs Esc Esp")</f>
        <v>Hora Cátedra Enseñanza Media 4 hs Esc Esp</v>
      </c>
      <c r="E234" s="192">
        <f t="shared" si="38"/>
        <v>316</v>
      </c>
      <c r="F234" s="125">
        <f>ROUND(E234*Valores!$C$2,2)</f>
        <v>17206.2</v>
      </c>
      <c r="G234" s="192">
        <v>0</v>
      </c>
      <c r="H234" s="125">
        <f>ROUND(G234*Valores!$C$2,2)</f>
        <v>0</v>
      </c>
      <c r="I234" s="192">
        <v>0</v>
      </c>
      <c r="J234" s="125">
        <f>ROUND(I234*Valores!$C$2,2)</f>
        <v>0</v>
      </c>
      <c r="K234" s="192">
        <v>0</v>
      </c>
      <c r="L234" s="125">
        <f>ROUND(K234*Valores!$C$2,2)</f>
        <v>0</v>
      </c>
      <c r="M234" s="125">
        <f>ROUND(IF($H$2=0,IF(AND(A234&lt;&gt;"13-930",A234&lt;&gt;"13-940"),(SUM(F234,H234,J234,L234,X234,T234,R234)*Valores!$C$4),0),0),2)</f>
        <v>5854.88</v>
      </c>
      <c r="N234" s="125">
        <f t="shared" si="30"/>
        <v>0</v>
      </c>
      <c r="O234" s="125">
        <f>Valores!$C$7*B234</f>
        <v>7385.76</v>
      </c>
      <c r="P234" s="125">
        <f>ROUND(IF(B234&lt;15,(Valores!$E$5*B234),Valores!$D$5),2)</f>
        <v>7422.64</v>
      </c>
      <c r="Q234" s="125">
        <v>0</v>
      </c>
      <c r="R234" s="125">
        <f>IF($F$4="NO",IF(Valores!$C$49*B234&gt;Valores!$F$46,Valores!$F$46,Valores!$C$49*B234),IF(Valores!$C$49*B234&gt;Valores!$F$46,Valores!$F$46,Valores!$C$49*B234)/2)</f>
        <v>3890.4</v>
      </c>
      <c r="S234" s="125">
        <f>Valores!$C$18*B234</f>
        <v>2322.92</v>
      </c>
      <c r="T234" s="125">
        <f t="shared" si="36"/>
        <v>2322.92</v>
      </c>
      <c r="U234" s="125">
        <v>0</v>
      </c>
      <c r="V234" s="125">
        <v>0</v>
      </c>
      <c r="W234" s="192">
        <v>0</v>
      </c>
      <c r="X234" s="125">
        <f>ROUND(W234*Valores!$C$2,2)</f>
        <v>0</v>
      </c>
      <c r="Y234" s="125">
        <v>0</v>
      </c>
      <c r="Z234" s="125">
        <f>IF(Valores!$C$97*B234&gt;Valores!$C$96,Valores!$C$96,Valores!$C$97*B234)</f>
        <v>7091.44</v>
      </c>
      <c r="AA234" s="125">
        <f>IF((Valores!$C$28)*B234&gt;Valores!$F$28,Valores!$F$28,(Valores!$C$28)*B234)</f>
        <v>182.48</v>
      </c>
      <c r="AB234" s="214">
        <v>0</v>
      </c>
      <c r="AC234" s="125">
        <f t="shared" si="31"/>
        <v>0</v>
      </c>
      <c r="AD234" s="125">
        <f>IF(Valores!$C$29*B234&gt;Valores!$F$29,Valores!$F$29,Valores!$C$29*B234)</f>
        <v>151.96</v>
      </c>
      <c r="AE234" s="192">
        <v>94</v>
      </c>
      <c r="AF234" s="125">
        <f>ROUND(AE234*Valores!$C$2,2)</f>
        <v>5118.3</v>
      </c>
      <c r="AG234" s="125">
        <f>IF($F$4="NO",IF(Valores!$D$63*'Escala Docente'!B234&gt;Valores!$F$63,Valores!$F$63,Valores!$D$63*'Escala Docente'!B234),IF(Valores!$D$63*'Escala Docente'!B234&gt;Valores!$F$63,Valores!$F$63,Valores!$D$63*'Escala Docente'!B234)/2)-0.01</f>
        <v>3470.5899999999997</v>
      </c>
      <c r="AH234" s="125">
        <f t="shared" si="34"/>
        <v>60097.57000000001</v>
      </c>
      <c r="AI234" s="125">
        <f>IF(Valores!$C$32*B234&gt;Valores!$F$32,Valores!$F$32,Valores!$C$32*B234)</f>
        <v>0</v>
      </c>
      <c r="AJ234" s="125">
        <f>IF(Valores!$C$90*B234&gt;Valores!$C$89,Valores!$C$89,Valores!$C$90*B234)</f>
        <v>0</v>
      </c>
      <c r="AK234" s="125">
        <f>IF(Valores!C$39*B234&gt;Valores!F$38,Valores!F$38,Valores!C$39*B234)</f>
        <v>0</v>
      </c>
      <c r="AL234" s="125">
        <f>IF($F$3="NO",0,IF(Valores!$C$62*B234&gt;Valores!$F$62,Valores!$F$62,Valores!$C$62*B234))</f>
        <v>45.4236</v>
      </c>
      <c r="AM234" s="125">
        <f t="shared" si="32"/>
        <v>45.4236</v>
      </c>
      <c r="AN234" s="125">
        <f>AH234*Valores!$C$71</f>
        <v>-6610.7327000000005</v>
      </c>
      <c r="AO234" s="125">
        <f>AH234*-Valores!$C$72</f>
        <v>0</v>
      </c>
      <c r="AP234" s="125">
        <f>AH234*Valores!$C$73</f>
        <v>-2704.3906500000003</v>
      </c>
      <c r="AQ234" s="125">
        <f>Valores!$C$100</f>
        <v>-554.86</v>
      </c>
      <c r="AR234" s="125">
        <f>IF($F$5=0,Valores!$C$101,(Valores!$C$101+$F$5*(Valores!$C$101)))</f>
        <v>-852</v>
      </c>
      <c r="AS234" s="125">
        <f t="shared" si="35"/>
        <v>49421.01025000001</v>
      </c>
      <c r="AT234" s="125">
        <f t="shared" si="29"/>
        <v>-6610.7327000000005</v>
      </c>
      <c r="AU234" s="125">
        <f>AH234*Valores!$C$74</f>
        <v>-1622.6343900000002</v>
      </c>
      <c r="AV234" s="125">
        <f>AH234*Valores!$C$75</f>
        <v>-180.29271000000003</v>
      </c>
      <c r="AW234" s="125">
        <f t="shared" si="33"/>
        <v>51729.33380000001</v>
      </c>
      <c r="AX234" s="126"/>
      <c r="AY234" s="126">
        <f t="shared" si="37"/>
        <v>4</v>
      </c>
      <c r="AZ234" s="123" t="s">
        <v>4</v>
      </c>
    </row>
    <row r="235" spans="1:52" s="110" customFormat="1" ht="11.25" customHeight="1">
      <c r="A235" s="123" t="s">
        <v>471</v>
      </c>
      <c r="B235" s="123">
        <v>5</v>
      </c>
      <c r="C235" s="126">
        <v>228</v>
      </c>
      <c r="D235" s="124" t="str">
        <f>CONCATENATE("Hora Cátedra Enseñanza Media ",B235," hs")</f>
        <v>Hora Cátedra Enseñanza Media 5 hs</v>
      </c>
      <c r="E235" s="192">
        <f t="shared" si="38"/>
        <v>395</v>
      </c>
      <c r="F235" s="125">
        <f>ROUND(E235*Valores!$C$2,2)</f>
        <v>21507.75</v>
      </c>
      <c r="G235" s="192">
        <v>0</v>
      </c>
      <c r="H235" s="125">
        <f>ROUND(G235*Valores!$C$2,2)</f>
        <v>0</v>
      </c>
      <c r="I235" s="192">
        <v>0</v>
      </c>
      <c r="J235" s="125">
        <f>ROUND(I235*Valores!$C$2,2)</f>
        <v>0</v>
      </c>
      <c r="K235" s="192">
        <v>0</v>
      </c>
      <c r="L235" s="125">
        <f>ROUND(K235*Valores!$C$2,2)</f>
        <v>0</v>
      </c>
      <c r="M235" s="125">
        <f>ROUND(IF($H$2=0,IF(AND(A235&lt;&gt;"13-930",A235&lt;&gt;"13-940"),(SUM(F235,H235,J235,L235,X235,T235,R235)*Valores!$C$4),0),0),2)</f>
        <v>7318.6</v>
      </c>
      <c r="N235" s="125">
        <f t="shared" si="30"/>
        <v>0</v>
      </c>
      <c r="O235" s="125">
        <f>Valores!$C$7*B235</f>
        <v>9232.2</v>
      </c>
      <c r="P235" s="125">
        <f>ROUND(IF(B235&lt;15,(Valores!$E$5*B235),Valores!$D$5),2)</f>
        <v>9278.3</v>
      </c>
      <c r="Q235" s="125">
        <v>0</v>
      </c>
      <c r="R235" s="125">
        <f>IF($F$4="NO",IF(Valores!$C$49*B235&gt;Valores!$F$46,Valores!$F$46,Valores!$C$49*B235),IF(Valores!$C$49*B235&gt;Valores!$F$46,Valores!$F$46,Valores!$C$49*B235)/2)</f>
        <v>4863</v>
      </c>
      <c r="S235" s="125">
        <f>Valores!$C$18*B235</f>
        <v>2903.65</v>
      </c>
      <c r="T235" s="125">
        <f t="shared" si="36"/>
        <v>2903.65</v>
      </c>
      <c r="U235" s="125">
        <v>0</v>
      </c>
      <c r="V235" s="125">
        <v>0</v>
      </c>
      <c r="W235" s="192">
        <v>0</v>
      </c>
      <c r="X235" s="125">
        <f>ROUND(W235*Valores!$C$2,2)</f>
        <v>0</v>
      </c>
      <c r="Y235" s="125">
        <v>0</v>
      </c>
      <c r="Z235" s="125">
        <f>IF(Valores!$C$97*B235&gt;Valores!$C$96,Valores!$C$96,Valores!$C$97*B235)</f>
        <v>8864.3</v>
      </c>
      <c r="AA235" s="125">
        <f>IF((Valores!$C$28)*B235&gt;Valores!$F$28,Valores!$F$28,(Valores!$C$28)*B235)</f>
        <v>228.1</v>
      </c>
      <c r="AB235" s="214">
        <v>0</v>
      </c>
      <c r="AC235" s="125">
        <f t="shared" si="31"/>
        <v>0</v>
      </c>
      <c r="AD235" s="125">
        <f>IF(Valores!$C$29*B235&gt;Valores!$F$29,Valores!$F$29,Valores!$C$29*B235)</f>
        <v>189.95000000000002</v>
      </c>
      <c r="AE235" s="192">
        <v>0</v>
      </c>
      <c r="AF235" s="125">
        <f>ROUND(AE235*Valores!$C$2,2)</f>
        <v>0</v>
      </c>
      <c r="AG235" s="125">
        <f>IF($F$4="NO",IF(Valores!$D$63*'Escala Docente'!B235&gt;Valores!$F$63,Valores!$F$63,Valores!$D$63*'Escala Docente'!B235),IF(Valores!$D$63*'Escala Docente'!B235&gt;Valores!$F$63,Valores!$F$63,Valores!$D$63*'Escala Docente'!B235)/2)-0.01</f>
        <v>4338.24</v>
      </c>
      <c r="AH235" s="125">
        <f t="shared" si="34"/>
        <v>68724.09</v>
      </c>
      <c r="AI235" s="125">
        <f>IF(Valores!$C$32*B235&gt;Valores!$F$32,Valores!$F$32,Valores!$C$32*B235)</f>
        <v>0</v>
      </c>
      <c r="AJ235" s="125">
        <f>IF(Valores!$C$90*B235&gt;Valores!$C$89,Valores!$C$89,Valores!$C$90*B235)</f>
        <v>0</v>
      </c>
      <c r="AK235" s="125">
        <f>IF(Valores!C$39*B235&gt;Valores!F$38,Valores!F$38,Valores!C$39*B235)</f>
        <v>0</v>
      </c>
      <c r="AL235" s="125">
        <f>IF($F$3="NO",0,IF(Valores!$C$62*B235&gt;Valores!$F$62,Valores!$F$62,Valores!$C$62*B235))</f>
        <v>56.7795</v>
      </c>
      <c r="AM235" s="125">
        <f t="shared" si="32"/>
        <v>56.7795</v>
      </c>
      <c r="AN235" s="125">
        <f>AH235*Valores!$C$71</f>
        <v>-7559.649899999999</v>
      </c>
      <c r="AO235" s="125">
        <f>AH235*-Valores!$C$72</f>
        <v>0</v>
      </c>
      <c r="AP235" s="125">
        <f>AH235*Valores!$C$73</f>
        <v>-3092.58405</v>
      </c>
      <c r="AQ235" s="125">
        <f>Valores!$C$100</f>
        <v>-554.86</v>
      </c>
      <c r="AR235" s="125">
        <f>IF($F$5=0,Valores!$C$101,(Valores!$C$101+$F$5*(Valores!$C$101)))</f>
        <v>-852</v>
      </c>
      <c r="AS235" s="125">
        <f t="shared" si="35"/>
        <v>56721.77555</v>
      </c>
      <c r="AT235" s="125">
        <f t="shared" si="29"/>
        <v>-7559.649899999999</v>
      </c>
      <c r="AU235" s="125">
        <f>AH235*Valores!$C$74</f>
        <v>-1855.5504299999998</v>
      </c>
      <c r="AV235" s="125">
        <f>AH235*Valores!$C$75</f>
        <v>-206.17227</v>
      </c>
      <c r="AW235" s="125">
        <f t="shared" si="33"/>
        <v>59159.4969</v>
      </c>
      <c r="AX235" s="126"/>
      <c r="AY235" s="126">
        <f t="shared" si="37"/>
        <v>5</v>
      </c>
      <c r="AZ235" s="123" t="s">
        <v>4</v>
      </c>
    </row>
    <row r="236" spans="1:52" s="110" customFormat="1" ht="11.25" customHeight="1">
      <c r="A236" s="123" t="s">
        <v>471</v>
      </c>
      <c r="B236" s="123">
        <v>5</v>
      </c>
      <c r="C236" s="126">
        <v>229</v>
      </c>
      <c r="D236" s="124" t="str">
        <f>CONCATENATE("Hora Cátedra Enseñanza Media ",B236," hs Esc Esp")</f>
        <v>Hora Cátedra Enseñanza Media 5 hs Esc Esp</v>
      </c>
      <c r="E236" s="192">
        <f t="shared" si="38"/>
        <v>395</v>
      </c>
      <c r="F236" s="125">
        <f>ROUND(E236*Valores!$C$2,2)</f>
        <v>21507.75</v>
      </c>
      <c r="G236" s="192">
        <v>0</v>
      </c>
      <c r="H236" s="125">
        <f>ROUND(G236*Valores!$C$2,2)</f>
        <v>0</v>
      </c>
      <c r="I236" s="192">
        <v>0</v>
      </c>
      <c r="J236" s="125">
        <f>ROUND(I236*Valores!$C$2,2)</f>
        <v>0</v>
      </c>
      <c r="K236" s="192">
        <v>0</v>
      </c>
      <c r="L236" s="125">
        <f>ROUND(K236*Valores!$C$2,2)</f>
        <v>0</v>
      </c>
      <c r="M236" s="125">
        <f>ROUND(IF($H$2=0,IF(AND(A236&lt;&gt;"13-930",A236&lt;&gt;"13-940"),(SUM(F236,H236,J236,L236,X236,T236,R236)*Valores!$C$4),0),0),2)</f>
        <v>7318.6</v>
      </c>
      <c r="N236" s="125">
        <f t="shared" si="30"/>
        <v>0</v>
      </c>
      <c r="O236" s="125">
        <f>Valores!$C$7*B236</f>
        <v>9232.2</v>
      </c>
      <c r="P236" s="125">
        <f>ROUND(IF(B236&lt;15,(Valores!$E$5*B236),Valores!$D$5),2)</f>
        <v>9278.3</v>
      </c>
      <c r="Q236" s="125">
        <v>0</v>
      </c>
      <c r="R236" s="125">
        <f>IF($F$4="NO",IF(Valores!$C$49*B236&gt;Valores!$F$46,Valores!$F$46,Valores!$C$49*B236),IF(Valores!$C$49*B236&gt;Valores!$F$46,Valores!$F$46,Valores!$C$49*B236)/2)</f>
        <v>4863</v>
      </c>
      <c r="S236" s="125">
        <f>Valores!$C$18*B236</f>
        <v>2903.65</v>
      </c>
      <c r="T236" s="125">
        <f t="shared" si="36"/>
        <v>2903.65</v>
      </c>
      <c r="U236" s="125">
        <v>0</v>
      </c>
      <c r="V236" s="125">
        <v>0</v>
      </c>
      <c r="W236" s="192">
        <v>0</v>
      </c>
      <c r="X236" s="125">
        <f>ROUND(W236*Valores!$C$2,2)</f>
        <v>0</v>
      </c>
      <c r="Y236" s="125">
        <v>0</v>
      </c>
      <c r="Z236" s="125">
        <f>IF(Valores!$C$97*B236&gt;Valores!$C$96,Valores!$C$96,Valores!$C$97*B236)</f>
        <v>8864.3</v>
      </c>
      <c r="AA236" s="125">
        <f>IF((Valores!$C$28)*B236&gt;Valores!$F$28,Valores!$F$28,(Valores!$C$28)*B236)</f>
        <v>228.1</v>
      </c>
      <c r="AB236" s="214">
        <v>0</v>
      </c>
      <c r="AC236" s="125">
        <f t="shared" si="31"/>
        <v>0</v>
      </c>
      <c r="AD236" s="125">
        <f>IF(Valores!$C$29*B236&gt;Valores!$F$29,Valores!$F$29,Valores!$C$29*B236)</f>
        <v>189.95000000000002</v>
      </c>
      <c r="AE236" s="192">
        <v>94</v>
      </c>
      <c r="AF236" s="125">
        <f>ROUND(AE236*Valores!$C$2,2)</f>
        <v>5118.3</v>
      </c>
      <c r="AG236" s="125">
        <f>IF($F$4="NO",IF(Valores!$D$63*'Escala Docente'!B236&gt;Valores!$F$63,Valores!$F$63,Valores!$D$63*'Escala Docente'!B236),IF(Valores!$D$63*'Escala Docente'!B236&gt;Valores!$F$63,Valores!$F$63,Valores!$D$63*'Escala Docente'!B236)/2)-0.01</f>
        <v>4338.24</v>
      </c>
      <c r="AH236" s="125">
        <f t="shared" si="34"/>
        <v>73842.39</v>
      </c>
      <c r="AI236" s="125">
        <f>IF(Valores!$C$32*B236&gt;Valores!$F$32,Valores!$F$32,Valores!$C$32*B236)</f>
        <v>0</v>
      </c>
      <c r="AJ236" s="125">
        <f>IF(Valores!$C$90*B236&gt;Valores!$C$89,Valores!$C$89,Valores!$C$90*B236)</f>
        <v>0</v>
      </c>
      <c r="AK236" s="125">
        <f>IF(Valores!C$39*B236&gt;Valores!F$38,Valores!F$38,Valores!C$39*B236)</f>
        <v>0</v>
      </c>
      <c r="AL236" s="125">
        <f>IF($F$3="NO",0,IF(Valores!$C$62*B236&gt;Valores!$F$62,Valores!$F$62,Valores!$C$62*B236))</f>
        <v>56.7795</v>
      </c>
      <c r="AM236" s="125">
        <f t="shared" si="32"/>
        <v>56.7795</v>
      </c>
      <c r="AN236" s="125">
        <f>AH236*Valores!$C$71</f>
        <v>-8122.6629</v>
      </c>
      <c r="AO236" s="125">
        <f>AH236*-Valores!$C$72</f>
        <v>0</v>
      </c>
      <c r="AP236" s="125">
        <f>AH236*Valores!$C$73</f>
        <v>-3322.90755</v>
      </c>
      <c r="AQ236" s="125">
        <f>Valores!$C$100</f>
        <v>-554.86</v>
      </c>
      <c r="AR236" s="125">
        <f>IF($F$5=0,Valores!$C$101,(Valores!$C$101+$F$5*(Valores!$C$101)))</f>
        <v>-852</v>
      </c>
      <c r="AS236" s="125">
        <f t="shared" si="35"/>
        <v>61046.73905</v>
      </c>
      <c r="AT236" s="125">
        <f t="shared" si="29"/>
        <v>-8122.6629</v>
      </c>
      <c r="AU236" s="125">
        <f>AH236*Valores!$C$74</f>
        <v>-1993.74453</v>
      </c>
      <c r="AV236" s="125">
        <f>AH236*Valores!$C$75</f>
        <v>-221.52717</v>
      </c>
      <c r="AW236" s="125">
        <f t="shared" si="33"/>
        <v>63561.2349</v>
      </c>
      <c r="AX236" s="126"/>
      <c r="AY236" s="126">
        <f t="shared" si="37"/>
        <v>5</v>
      </c>
      <c r="AZ236" s="123" t="s">
        <v>4</v>
      </c>
    </row>
    <row r="237" spans="1:52" s="110" customFormat="1" ht="11.25" customHeight="1">
      <c r="A237" s="123" t="s">
        <v>471</v>
      </c>
      <c r="B237" s="123">
        <v>6</v>
      </c>
      <c r="C237" s="126">
        <v>230</v>
      </c>
      <c r="D237" s="124" t="str">
        <f>CONCATENATE("Hora Cátedra Enseñanza Media ",B237," hs")</f>
        <v>Hora Cátedra Enseñanza Media 6 hs</v>
      </c>
      <c r="E237" s="192">
        <f t="shared" si="38"/>
        <v>474</v>
      </c>
      <c r="F237" s="125">
        <f>ROUND(E237*Valores!$C$2,2)</f>
        <v>25809.3</v>
      </c>
      <c r="G237" s="192">
        <v>0</v>
      </c>
      <c r="H237" s="125">
        <f>ROUND(G237*Valores!$C$2,2)</f>
        <v>0</v>
      </c>
      <c r="I237" s="192">
        <v>0</v>
      </c>
      <c r="J237" s="125">
        <f>ROUND(I237*Valores!$C$2,2)</f>
        <v>0</v>
      </c>
      <c r="K237" s="192">
        <v>0</v>
      </c>
      <c r="L237" s="125">
        <f>ROUND(K237*Valores!$C$2,2)</f>
        <v>0</v>
      </c>
      <c r="M237" s="125">
        <f>ROUND(IF($H$2=0,IF(AND(A237&lt;&gt;"13-930",A237&lt;&gt;"13-940"),(SUM(F237,H237,J237,L237,X237,T237,R237)*Valores!$C$4),0),0),2)</f>
        <v>8782.32</v>
      </c>
      <c r="N237" s="125">
        <f t="shared" si="30"/>
        <v>0</v>
      </c>
      <c r="O237" s="125">
        <f>Valores!$C$7*B237</f>
        <v>11078.64</v>
      </c>
      <c r="P237" s="125">
        <f>ROUND(IF(B237&lt;15,(Valores!$E$5*B237),Valores!$D$5),2)</f>
        <v>11133.96</v>
      </c>
      <c r="Q237" s="125">
        <v>0</v>
      </c>
      <c r="R237" s="125">
        <f>IF($F$4="NO",IF(Valores!$C$49*B237&gt;Valores!$F$46,Valores!$F$46,Valores!$C$49*B237),IF(Valores!$C$49*B237&gt;Valores!$F$46,Valores!$F$46,Valores!$C$49*B237)/2)</f>
        <v>5835.6</v>
      </c>
      <c r="S237" s="125">
        <f>Valores!$C$18*B237</f>
        <v>3484.38</v>
      </c>
      <c r="T237" s="125">
        <f t="shared" si="36"/>
        <v>3484.38</v>
      </c>
      <c r="U237" s="125">
        <v>0</v>
      </c>
      <c r="V237" s="125">
        <v>0</v>
      </c>
      <c r="W237" s="192">
        <v>0</v>
      </c>
      <c r="X237" s="125">
        <f>ROUND(W237*Valores!$C$2,2)</f>
        <v>0</v>
      </c>
      <c r="Y237" s="125">
        <v>0</v>
      </c>
      <c r="Z237" s="125">
        <f>IF(Valores!$C$97*B237&gt;Valores!$C$96,Valores!$C$96,Valores!$C$97*B237)</f>
        <v>10637.16</v>
      </c>
      <c r="AA237" s="125">
        <f>IF((Valores!$C$28)*B237&gt;Valores!$F$28,Valores!$F$28,(Valores!$C$28)*B237)</f>
        <v>273.71999999999997</v>
      </c>
      <c r="AB237" s="214">
        <v>0</v>
      </c>
      <c r="AC237" s="125">
        <f t="shared" si="31"/>
        <v>0</v>
      </c>
      <c r="AD237" s="125">
        <f>IF(Valores!$C$29*B237&gt;Valores!$F$29,Valores!$F$29,Valores!$C$29*B237)</f>
        <v>227.94</v>
      </c>
      <c r="AE237" s="192">
        <v>0</v>
      </c>
      <c r="AF237" s="125">
        <f>ROUND(AE237*Valores!$C$2,2)</f>
        <v>0</v>
      </c>
      <c r="AG237" s="125">
        <f>IF($F$4="NO",IF(Valores!$D$63*'Escala Docente'!B237&gt;Valores!$F$63,Valores!$F$63,Valores!$D$63*'Escala Docente'!B237),IF(Valores!$D$63*'Escala Docente'!B237&gt;Valores!$F$63,Valores!$F$63,Valores!$D$63*'Escala Docente'!B237)/2)-0.01</f>
        <v>5205.889999999999</v>
      </c>
      <c r="AH237" s="125">
        <f t="shared" si="34"/>
        <v>82468.91</v>
      </c>
      <c r="AI237" s="125">
        <f>IF(Valores!$C$32*B237&gt;Valores!$F$32,Valores!$F$32,Valores!$C$32*B237)</f>
        <v>0</v>
      </c>
      <c r="AJ237" s="125">
        <f>IF(Valores!$C$90*B237&gt;Valores!$C$89,Valores!$C$89,Valores!$C$90*B237)</f>
        <v>0</v>
      </c>
      <c r="AK237" s="125">
        <f>IF(Valores!C$39*B237&gt;Valores!F$38,Valores!F$38,Valores!C$39*B237)</f>
        <v>0</v>
      </c>
      <c r="AL237" s="125">
        <f>IF($F$3="NO",0,IF(Valores!$C$62*B237&gt;Valores!$F$62,Valores!$F$62,Valores!$C$62*B237))</f>
        <v>68.1354</v>
      </c>
      <c r="AM237" s="125">
        <f t="shared" si="32"/>
        <v>68.1354</v>
      </c>
      <c r="AN237" s="125">
        <f>AH237*Valores!$C$71</f>
        <v>-9071.580100000001</v>
      </c>
      <c r="AO237" s="125">
        <f>AH237*-Valores!$C$72</f>
        <v>0</v>
      </c>
      <c r="AP237" s="125">
        <f>AH237*Valores!$C$73</f>
        <v>-3711.10095</v>
      </c>
      <c r="AQ237" s="125">
        <f>Valores!$C$100</f>
        <v>-554.86</v>
      </c>
      <c r="AR237" s="125">
        <f>IF($F$5=0,Valores!$C$101,(Valores!$C$101+$F$5*(Valores!$C$101)))</f>
        <v>-852</v>
      </c>
      <c r="AS237" s="125">
        <f t="shared" si="35"/>
        <v>68347.50435</v>
      </c>
      <c r="AT237" s="125">
        <f t="shared" si="29"/>
        <v>-9071.580100000001</v>
      </c>
      <c r="AU237" s="125">
        <f>AH237*Valores!$C$74</f>
        <v>-2226.66057</v>
      </c>
      <c r="AV237" s="125">
        <f>AH237*Valores!$C$75</f>
        <v>-247.40673</v>
      </c>
      <c r="AW237" s="125">
        <f t="shared" si="33"/>
        <v>70991.398</v>
      </c>
      <c r="AX237" s="126"/>
      <c r="AY237" s="126">
        <f t="shared" si="37"/>
        <v>6</v>
      </c>
      <c r="AZ237" s="123" t="s">
        <v>4</v>
      </c>
    </row>
    <row r="238" spans="1:52" s="110" customFormat="1" ht="11.25" customHeight="1">
      <c r="A238" s="123" t="s">
        <v>471</v>
      </c>
      <c r="B238" s="123">
        <v>6</v>
      </c>
      <c r="C238" s="126">
        <v>231</v>
      </c>
      <c r="D238" s="124" t="str">
        <f>CONCATENATE("Hora Cátedra Enseñanza Media ",B238," hs Esc Esp")</f>
        <v>Hora Cátedra Enseñanza Media 6 hs Esc Esp</v>
      </c>
      <c r="E238" s="192">
        <f t="shared" si="38"/>
        <v>474</v>
      </c>
      <c r="F238" s="125">
        <f>ROUND(E238*Valores!$C$2,2)</f>
        <v>25809.3</v>
      </c>
      <c r="G238" s="192">
        <v>0</v>
      </c>
      <c r="H238" s="125">
        <f>ROUND(G238*Valores!$C$2,2)</f>
        <v>0</v>
      </c>
      <c r="I238" s="192">
        <v>0</v>
      </c>
      <c r="J238" s="125">
        <f>ROUND(I238*Valores!$C$2,2)</f>
        <v>0</v>
      </c>
      <c r="K238" s="192">
        <v>0</v>
      </c>
      <c r="L238" s="125">
        <f>ROUND(K238*Valores!$C$2,2)</f>
        <v>0</v>
      </c>
      <c r="M238" s="125">
        <f>ROUND(IF($H$2=0,IF(AND(A238&lt;&gt;"13-930",A238&lt;&gt;"13-940"),(SUM(F238,H238,J238,L238,X238,T238,R238)*Valores!$C$4),0),0),2)</f>
        <v>8782.32</v>
      </c>
      <c r="N238" s="125">
        <f t="shared" si="30"/>
        <v>0</v>
      </c>
      <c r="O238" s="125">
        <f>Valores!$C$7*B238</f>
        <v>11078.64</v>
      </c>
      <c r="P238" s="125">
        <f>ROUND(IF(B238&lt;15,(Valores!$E$5*B238),Valores!$D$5),2)</f>
        <v>11133.96</v>
      </c>
      <c r="Q238" s="125">
        <v>0</v>
      </c>
      <c r="R238" s="125">
        <f>IF($F$4="NO",IF(Valores!$C$49*B238&gt;Valores!$F$46,Valores!$F$46,Valores!$C$49*B238),IF(Valores!$C$49*B238&gt;Valores!$F$46,Valores!$F$46,Valores!$C$49*B238)/2)</f>
        <v>5835.6</v>
      </c>
      <c r="S238" s="125">
        <f>Valores!$C$18*B238</f>
        <v>3484.38</v>
      </c>
      <c r="T238" s="125">
        <f t="shared" si="36"/>
        <v>3484.38</v>
      </c>
      <c r="U238" s="125">
        <v>0</v>
      </c>
      <c r="V238" s="125">
        <v>0</v>
      </c>
      <c r="W238" s="192">
        <v>0</v>
      </c>
      <c r="X238" s="125">
        <f>ROUND(W238*Valores!$C$2,2)</f>
        <v>0</v>
      </c>
      <c r="Y238" s="125">
        <v>0</v>
      </c>
      <c r="Z238" s="125">
        <f>IF(Valores!$C$97*B238&gt;Valores!$C$96,Valores!$C$96,Valores!$C$97*B238)</f>
        <v>10637.16</v>
      </c>
      <c r="AA238" s="125">
        <f>IF((Valores!$C$28)*B238&gt;Valores!$F$28,Valores!$F$28,(Valores!$C$28)*B238)</f>
        <v>273.71999999999997</v>
      </c>
      <c r="AB238" s="214">
        <v>0</v>
      </c>
      <c r="AC238" s="125">
        <f t="shared" si="31"/>
        <v>0</v>
      </c>
      <c r="AD238" s="125">
        <f>IF(Valores!$C$29*B238&gt;Valores!$F$29,Valores!$F$29,Valores!$C$29*B238)</f>
        <v>227.94</v>
      </c>
      <c r="AE238" s="192">
        <v>94</v>
      </c>
      <c r="AF238" s="125">
        <f>ROUND(AE238*Valores!$C$2,2)</f>
        <v>5118.3</v>
      </c>
      <c r="AG238" s="125">
        <f>IF($F$4="NO",IF(Valores!$D$63*'Escala Docente'!B238&gt;Valores!$F$63,Valores!$F$63,Valores!$D$63*'Escala Docente'!B238),IF(Valores!$D$63*'Escala Docente'!B238&gt;Valores!$F$63,Valores!$F$63,Valores!$D$63*'Escala Docente'!B238)/2)-0.01</f>
        <v>5205.889999999999</v>
      </c>
      <c r="AH238" s="125">
        <f t="shared" si="34"/>
        <v>87587.21</v>
      </c>
      <c r="AI238" s="125">
        <f>IF(Valores!$C$32*B238&gt;Valores!$F$32,Valores!$F$32,Valores!$C$32*B238)</f>
        <v>0</v>
      </c>
      <c r="AJ238" s="125">
        <f>IF(Valores!$C$90*B238&gt;Valores!$C$89,Valores!$C$89,Valores!$C$90*B238)</f>
        <v>0</v>
      </c>
      <c r="AK238" s="125">
        <f>IF(Valores!C$39*B238&gt;Valores!F$38,Valores!F$38,Valores!C$39*B238)</f>
        <v>0</v>
      </c>
      <c r="AL238" s="125">
        <f>IF($F$3="NO",0,IF(Valores!$C$62*B238&gt;Valores!$F$62,Valores!$F$62,Valores!$C$62*B238))</f>
        <v>68.1354</v>
      </c>
      <c r="AM238" s="125">
        <f t="shared" si="32"/>
        <v>68.1354</v>
      </c>
      <c r="AN238" s="125">
        <f>AH238*Valores!$C$71</f>
        <v>-9634.5931</v>
      </c>
      <c r="AO238" s="125">
        <f>AH238*-Valores!$C$72</f>
        <v>0</v>
      </c>
      <c r="AP238" s="125">
        <f>AH238*Valores!$C$73</f>
        <v>-3941.42445</v>
      </c>
      <c r="AQ238" s="125">
        <f>Valores!$C$100</f>
        <v>-554.86</v>
      </c>
      <c r="AR238" s="125">
        <f>IF($F$5=0,Valores!$C$101,(Valores!$C$101+$F$5*(Valores!$C$101)))</f>
        <v>-852</v>
      </c>
      <c r="AS238" s="125">
        <f t="shared" si="35"/>
        <v>72672.46785</v>
      </c>
      <c r="AT238" s="125">
        <f t="shared" si="29"/>
        <v>-9634.5931</v>
      </c>
      <c r="AU238" s="125">
        <f>AH238*Valores!$C$74</f>
        <v>-2364.85467</v>
      </c>
      <c r="AV238" s="125">
        <f>AH238*Valores!$C$75</f>
        <v>-262.76163</v>
      </c>
      <c r="AW238" s="125">
        <f t="shared" si="33"/>
        <v>75393.136</v>
      </c>
      <c r="AX238" s="126"/>
      <c r="AY238" s="126">
        <f t="shared" si="37"/>
        <v>6</v>
      </c>
      <c r="AZ238" s="123" t="s">
        <v>4</v>
      </c>
    </row>
    <row r="239" spans="1:52" s="110" customFormat="1" ht="11.25" customHeight="1">
      <c r="A239" s="123" t="s">
        <v>471</v>
      </c>
      <c r="B239" s="123">
        <v>7</v>
      </c>
      <c r="C239" s="126">
        <v>232</v>
      </c>
      <c r="D239" s="124" t="str">
        <f>CONCATENATE("Hora Cátedra Enseñanza Media ",B239," hs")</f>
        <v>Hora Cátedra Enseñanza Media 7 hs</v>
      </c>
      <c r="E239" s="192">
        <f t="shared" si="38"/>
        <v>553</v>
      </c>
      <c r="F239" s="125">
        <f>ROUND(E239*Valores!$C$2,2)</f>
        <v>30110.85</v>
      </c>
      <c r="G239" s="192">
        <v>0</v>
      </c>
      <c r="H239" s="125">
        <f>ROUND(G239*Valores!$C$2,2)</f>
        <v>0</v>
      </c>
      <c r="I239" s="192">
        <v>0</v>
      </c>
      <c r="J239" s="125">
        <f>ROUND(I239*Valores!$C$2,2)</f>
        <v>0</v>
      </c>
      <c r="K239" s="192">
        <v>0</v>
      </c>
      <c r="L239" s="125">
        <f>ROUND(K239*Valores!$C$2,2)</f>
        <v>0</v>
      </c>
      <c r="M239" s="125">
        <f>ROUND(IF($H$2=0,IF(AND(A239&lt;&gt;"13-930",A239&lt;&gt;"13-940"),(SUM(F239,H239,J239,L239,X239,T239,R239)*Valores!$C$4),0),0),2)</f>
        <v>10246.04</v>
      </c>
      <c r="N239" s="125">
        <f t="shared" si="30"/>
        <v>0</v>
      </c>
      <c r="O239" s="125">
        <f>Valores!$C$7*B239</f>
        <v>12925.08</v>
      </c>
      <c r="P239" s="125">
        <f>ROUND(IF(B239&lt;15,(Valores!$E$5*B239),Valores!$D$5),2)</f>
        <v>12989.62</v>
      </c>
      <c r="Q239" s="125">
        <v>0</v>
      </c>
      <c r="R239" s="125">
        <f>IF($F$4="NO",IF(Valores!$C$49*B239&gt;Valores!$F$46,Valores!$F$46,Valores!$C$49*B239),IF(Valores!$C$49*B239&gt;Valores!$F$46,Valores!$F$46,Valores!$C$49*B239)/2)</f>
        <v>6808.2</v>
      </c>
      <c r="S239" s="125">
        <f>Valores!$C$18*B239</f>
        <v>4065.11</v>
      </c>
      <c r="T239" s="125">
        <f t="shared" si="36"/>
        <v>4065.11</v>
      </c>
      <c r="U239" s="125">
        <v>0</v>
      </c>
      <c r="V239" s="125">
        <v>0</v>
      </c>
      <c r="W239" s="192">
        <v>0</v>
      </c>
      <c r="X239" s="125">
        <f>ROUND(W239*Valores!$C$2,2)</f>
        <v>0</v>
      </c>
      <c r="Y239" s="125">
        <v>0</v>
      </c>
      <c r="Z239" s="125">
        <f>IF(Valores!$C$97*B239&gt;Valores!$C$96,Valores!$C$96,Valores!$C$97*B239)</f>
        <v>12410.019999999999</v>
      </c>
      <c r="AA239" s="125">
        <f>IF((Valores!$C$28)*B239&gt;Valores!$F$28,Valores!$F$28,(Valores!$C$28)*B239)</f>
        <v>319.34</v>
      </c>
      <c r="AB239" s="214">
        <v>0</v>
      </c>
      <c r="AC239" s="125">
        <f t="shared" si="31"/>
        <v>0</v>
      </c>
      <c r="AD239" s="125">
        <f>IF(Valores!$C$29*B239&gt;Valores!$F$29,Valores!$F$29,Valores!$C$29*B239)</f>
        <v>265.93</v>
      </c>
      <c r="AE239" s="192">
        <v>0</v>
      </c>
      <c r="AF239" s="125">
        <f>ROUND(AE239*Valores!$C$2,2)</f>
        <v>0</v>
      </c>
      <c r="AG239" s="125">
        <f>IF($F$4="NO",IF(Valores!$D$63*'Escala Docente'!B239&gt;Valores!$F$63,Valores!$F$63,Valores!$D$63*'Escala Docente'!B239),IF(Valores!$D$63*'Escala Docente'!B239&gt;Valores!$F$63,Valores!$F$63,Valores!$D$63*'Escala Docente'!B239)/2)-0.01</f>
        <v>6073.54</v>
      </c>
      <c r="AH239" s="125">
        <f t="shared" si="34"/>
        <v>96213.72999999998</v>
      </c>
      <c r="AI239" s="125">
        <f>IF(Valores!$C$32*B239&gt;Valores!$F$32,Valores!$F$32,Valores!$C$32*B239)</f>
        <v>0</v>
      </c>
      <c r="AJ239" s="125">
        <f>IF(Valores!$C$90*B239&gt;Valores!$C$89,Valores!$C$89,Valores!$C$90*B239)</f>
        <v>0</v>
      </c>
      <c r="AK239" s="125">
        <f>IF(Valores!C$39*B239&gt;Valores!F$38,Valores!F$38,Valores!C$39*B239)</f>
        <v>0</v>
      </c>
      <c r="AL239" s="125">
        <f>IF($F$3="NO",0,IF(Valores!$C$62*B239&gt;Valores!$F$62,Valores!$F$62,Valores!$C$62*B239))</f>
        <v>79.4913</v>
      </c>
      <c r="AM239" s="125">
        <f t="shared" si="32"/>
        <v>79.4913</v>
      </c>
      <c r="AN239" s="125">
        <f>AH239*Valores!$C$71</f>
        <v>-10583.510299999998</v>
      </c>
      <c r="AO239" s="125">
        <f>AH239*-Valores!$C$72</f>
        <v>0</v>
      </c>
      <c r="AP239" s="125">
        <f>AH239*Valores!$C$73</f>
        <v>-4329.617849999999</v>
      </c>
      <c r="AQ239" s="125">
        <f>Valores!$C$100</f>
        <v>-554.86</v>
      </c>
      <c r="AR239" s="125">
        <f>IF($F$5=0,Valores!$C$101,(Valores!$C$101+$F$5*(Valores!$C$101)))</f>
        <v>-852</v>
      </c>
      <c r="AS239" s="125">
        <f t="shared" si="35"/>
        <v>79973.23314999999</v>
      </c>
      <c r="AT239" s="125">
        <f t="shared" si="29"/>
        <v>-10583.510299999998</v>
      </c>
      <c r="AU239" s="125">
        <f>AH239*Valores!$C$74</f>
        <v>-2597.7707099999993</v>
      </c>
      <c r="AV239" s="125">
        <f>AH239*Valores!$C$75</f>
        <v>-288.64118999999994</v>
      </c>
      <c r="AW239" s="125">
        <f t="shared" si="33"/>
        <v>82823.29909999997</v>
      </c>
      <c r="AX239" s="126"/>
      <c r="AY239" s="126">
        <f t="shared" si="37"/>
        <v>7</v>
      </c>
      <c r="AZ239" s="123" t="s">
        <v>4</v>
      </c>
    </row>
    <row r="240" spans="1:52" s="110" customFormat="1" ht="11.25" customHeight="1">
      <c r="A240" s="123" t="s">
        <v>471</v>
      </c>
      <c r="B240" s="123">
        <v>7</v>
      </c>
      <c r="C240" s="126">
        <v>233</v>
      </c>
      <c r="D240" s="124" t="str">
        <f>CONCATENATE("Hora Cátedra Enseñanza Media ",B240," hs Esc Esp")</f>
        <v>Hora Cátedra Enseñanza Media 7 hs Esc Esp</v>
      </c>
      <c r="E240" s="192">
        <f t="shared" si="38"/>
        <v>553</v>
      </c>
      <c r="F240" s="125">
        <f>ROUND(E240*Valores!$C$2,2)</f>
        <v>30110.85</v>
      </c>
      <c r="G240" s="192">
        <v>0</v>
      </c>
      <c r="H240" s="125">
        <f>ROUND(G240*Valores!$C$2,2)</f>
        <v>0</v>
      </c>
      <c r="I240" s="192">
        <v>0</v>
      </c>
      <c r="J240" s="125">
        <f>ROUND(I240*Valores!$C$2,2)</f>
        <v>0</v>
      </c>
      <c r="K240" s="192">
        <v>0</v>
      </c>
      <c r="L240" s="125">
        <f>ROUND(K240*Valores!$C$2,2)</f>
        <v>0</v>
      </c>
      <c r="M240" s="125">
        <f>ROUND(IF($H$2=0,IF(AND(A240&lt;&gt;"13-930",A240&lt;&gt;"13-940"),(SUM(F240,H240,J240,L240,X240,T240,R240)*Valores!$C$4),0),0),2)</f>
        <v>10246.04</v>
      </c>
      <c r="N240" s="125">
        <f t="shared" si="30"/>
        <v>0</v>
      </c>
      <c r="O240" s="125">
        <f>Valores!$C$7*B240</f>
        <v>12925.08</v>
      </c>
      <c r="P240" s="125">
        <f>ROUND(IF(B240&lt;15,(Valores!$E$5*B240),Valores!$D$5),2)</f>
        <v>12989.62</v>
      </c>
      <c r="Q240" s="125">
        <v>0</v>
      </c>
      <c r="R240" s="125">
        <f>IF($F$4="NO",IF(Valores!$C$49*B240&gt;Valores!$F$46,Valores!$F$46,Valores!$C$49*B240),IF(Valores!$C$49*B240&gt;Valores!$F$46,Valores!$F$46,Valores!$C$49*B240)/2)</f>
        <v>6808.2</v>
      </c>
      <c r="S240" s="125">
        <f>Valores!$C$18*B240</f>
        <v>4065.11</v>
      </c>
      <c r="T240" s="125">
        <f t="shared" si="36"/>
        <v>4065.11</v>
      </c>
      <c r="U240" s="125">
        <v>0</v>
      </c>
      <c r="V240" s="125">
        <v>0</v>
      </c>
      <c r="W240" s="192">
        <v>0</v>
      </c>
      <c r="X240" s="125">
        <f>ROUND(W240*Valores!$C$2,2)</f>
        <v>0</v>
      </c>
      <c r="Y240" s="125">
        <v>0</v>
      </c>
      <c r="Z240" s="125">
        <f>IF(Valores!$C$97*B240&gt;Valores!$C$96,Valores!$C$96,Valores!$C$97*B240)</f>
        <v>12410.019999999999</v>
      </c>
      <c r="AA240" s="125">
        <f>IF((Valores!$C$28)*B240&gt;Valores!$F$28,Valores!$F$28,(Valores!$C$28)*B240)</f>
        <v>319.34</v>
      </c>
      <c r="AB240" s="214">
        <v>0</v>
      </c>
      <c r="AC240" s="125">
        <f t="shared" si="31"/>
        <v>0</v>
      </c>
      <c r="AD240" s="125">
        <f>IF(Valores!$C$29*B240&gt;Valores!$F$29,Valores!$F$29,Valores!$C$29*B240)</f>
        <v>265.93</v>
      </c>
      <c r="AE240" s="192">
        <v>94</v>
      </c>
      <c r="AF240" s="125">
        <f>ROUND(AE240*Valores!$C$2,2)</f>
        <v>5118.3</v>
      </c>
      <c r="AG240" s="125">
        <f>IF($F$4="NO",IF(Valores!$D$63*'Escala Docente'!B240&gt;Valores!$F$63,Valores!$F$63,Valores!$D$63*'Escala Docente'!B240),IF(Valores!$D$63*'Escala Docente'!B240&gt;Valores!$F$63,Valores!$F$63,Valores!$D$63*'Escala Docente'!B240)/2)-0.01</f>
        <v>6073.54</v>
      </c>
      <c r="AH240" s="125">
        <f t="shared" si="34"/>
        <v>101332.02999999998</v>
      </c>
      <c r="AI240" s="125">
        <f>IF(Valores!$C$32*B240&gt;Valores!$F$32,Valores!$F$32,Valores!$C$32*B240)</f>
        <v>0</v>
      </c>
      <c r="AJ240" s="125">
        <f>IF(Valores!$C$90*B240&gt;Valores!$C$89,Valores!$C$89,Valores!$C$90*B240)</f>
        <v>0</v>
      </c>
      <c r="AK240" s="125">
        <f>IF(Valores!C$39*B240&gt;Valores!F$38,Valores!F$38,Valores!C$39*B240)</f>
        <v>0</v>
      </c>
      <c r="AL240" s="125">
        <f>IF($F$3="NO",0,IF(Valores!$C$62*B240&gt;Valores!$F$62,Valores!$F$62,Valores!$C$62*B240))</f>
        <v>79.4913</v>
      </c>
      <c r="AM240" s="125">
        <f t="shared" si="32"/>
        <v>79.4913</v>
      </c>
      <c r="AN240" s="125">
        <f>AH240*Valores!$C$71</f>
        <v>-11146.523299999999</v>
      </c>
      <c r="AO240" s="125">
        <f>AH240*-Valores!$C$72</f>
        <v>0</v>
      </c>
      <c r="AP240" s="125">
        <f>AH240*Valores!$C$73</f>
        <v>-4559.941349999999</v>
      </c>
      <c r="AQ240" s="125">
        <f>Valores!$C$100</f>
        <v>-554.86</v>
      </c>
      <c r="AR240" s="125">
        <f>IF($F$5=0,Valores!$C$101,(Valores!$C$101+$F$5*(Valores!$C$101)))</f>
        <v>-852</v>
      </c>
      <c r="AS240" s="125">
        <f t="shared" si="35"/>
        <v>84298.19664999998</v>
      </c>
      <c r="AT240" s="125">
        <f t="shared" si="29"/>
        <v>-11146.523299999999</v>
      </c>
      <c r="AU240" s="125">
        <f>AH240*Valores!$C$74</f>
        <v>-2735.9648099999995</v>
      </c>
      <c r="AV240" s="125">
        <f>AH240*Valores!$C$75</f>
        <v>-303.99609</v>
      </c>
      <c r="AW240" s="125">
        <f t="shared" si="33"/>
        <v>87225.03709999999</v>
      </c>
      <c r="AX240" s="126"/>
      <c r="AY240" s="126">
        <f t="shared" si="37"/>
        <v>7</v>
      </c>
      <c r="AZ240" s="123" t="s">
        <v>4</v>
      </c>
    </row>
    <row r="241" spans="1:52" s="110" customFormat="1" ht="11.25" customHeight="1">
      <c r="A241" s="123" t="s">
        <v>471</v>
      </c>
      <c r="B241" s="123">
        <v>8</v>
      </c>
      <c r="C241" s="126">
        <v>234</v>
      </c>
      <c r="D241" s="124" t="str">
        <f>CONCATENATE("Hora Cátedra Enseñanza Media ",B241," hs")</f>
        <v>Hora Cátedra Enseñanza Media 8 hs</v>
      </c>
      <c r="E241" s="192">
        <f t="shared" si="38"/>
        <v>632</v>
      </c>
      <c r="F241" s="125">
        <f>ROUND(E241*Valores!$C$2,2)</f>
        <v>34412.4</v>
      </c>
      <c r="G241" s="192">
        <v>0</v>
      </c>
      <c r="H241" s="125">
        <f>ROUND(G241*Valores!$C$2,2)</f>
        <v>0</v>
      </c>
      <c r="I241" s="192">
        <v>0</v>
      </c>
      <c r="J241" s="125">
        <f>ROUND(I241*Valores!$C$2,2)</f>
        <v>0</v>
      </c>
      <c r="K241" s="192">
        <v>0</v>
      </c>
      <c r="L241" s="125">
        <f>ROUND(K241*Valores!$C$2,2)</f>
        <v>0</v>
      </c>
      <c r="M241" s="125">
        <f>ROUND(IF($H$2=0,IF(AND(A241&lt;&gt;"13-930",A241&lt;&gt;"13-940"),(SUM(F241,H241,J241,L241,X241,T241,R241)*Valores!$C$4),0),0),2)</f>
        <v>11709.76</v>
      </c>
      <c r="N241" s="125">
        <f t="shared" si="30"/>
        <v>0</v>
      </c>
      <c r="O241" s="125">
        <f>Valores!$C$7*B241</f>
        <v>14771.52</v>
      </c>
      <c r="P241" s="125">
        <f>ROUND(IF(B241&lt;15,(Valores!$E$5*B241),Valores!$D$5),2)</f>
        <v>14845.28</v>
      </c>
      <c r="Q241" s="125">
        <v>0</v>
      </c>
      <c r="R241" s="125">
        <f>IF($F$4="NO",IF(Valores!$C$49*B241&gt;Valores!$F$46,Valores!$F$46,Valores!$C$49*B241),IF(Valores!$C$49*B241&gt;Valores!$F$46,Valores!$F$46,Valores!$C$49*B241)/2)</f>
        <v>7780.8</v>
      </c>
      <c r="S241" s="125">
        <f>Valores!$C$18*B241</f>
        <v>4645.84</v>
      </c>
      <c r="T241" s="125">
        <f t="shared" si="36"/>
        <v>4645.84</v>
      </c>
      <c r="U241" s="125">
        <v>0</v>
      </c>
      <c r="V241" s="125">
        <v>0</v>
      </c>
      <c r="W241" s="192">
        <v>0</v>
      </c>
      <c r="X241" s="125">
        <f>ROUND(W241*Valores!$C$2,2)</f>
        <v>0</v>
      </c>
      <c r="Y241" s="125">
        <v>0</v>
      </c>
      <c r="Z241" s="125">
        <f>IF(Valores!$C$97*B241&gt;Valores!$C$96,Valores!$C$96,Valores!$C$97*B241)</f>
        <v>14182.88</v>
      </c>
      <c r="AA241" s="125">
        <f>IF((Valores!$C$28)*B241&gt;Valores!$F$28,Valores!$F$28,(Valores!$C$28)*B241)</f>
        <v>364.96</v>
      </c>
      <c r="AB241" s="214">
        <v>0</v>
      </c>
      <c r="AC241" s="125">
        <f t="shared" si="31"/>
        <v>0</v>
      </c>
      <c r="AD241" s="125">
        <f>IF(Valores!$C$29*B241&gt;Valores!$F$29,Valores!$F$29,Valores!$C$29*B241)</f>
        <v>303.92</v>
      </c>
      <c r="AE241" s="192">
        <v>0</v>
      </c>
      <c r="AF241" s="125">
        <f>ROUND(AE241*Valores!$C$2,2)</f>
        <v>0</v>
      </c>
      <c r="AG241" s="125">
        <f>IF($F$4="NO",IF(Valores!$D$63*'Escala Docente'!B241&gt;Valores!$F$63,Valores!$F$63,Valores!$D$63*'Escala Docente'!B241),IF(Valores!$D$63*'Escala Docente'!B241&gt;Valores!$F$63,Valores!$F$63,Valores!$D$63*'Escala Docente'!B241)/2)-0.02</f>
        <v>6941.179999999999</v>
      </c>
      <c r="AH241" s="125">
        <f t="shared" si="34"/>
        <v>109958.54000000001</v>
      </c>
      <c r="AI241" s="125">
        <f>IF(Valores!$C$32*B241&gt;Valores!$F$32,Valores!$F$32,Valores!$C$32*B241)</f>
        <v>0</v>
      </c>
      <c r="AJ241" s="125">
        <f>IF(Valores!$C$90*B241&gt;Valores!$C$89,Valores!$C$89,Valores!$C$90*B241)</f>
        <v>0</v>
      </c>
      <c r="AK241" s="125">
        <f>IF(Valores!C$39*B241&gt;Valores!F$38,Valores!F$38,Valores!C$39*B241)</f>
        <v>0</v>
      </c>
      <c r="AL241" s="125">
        <f>IF($F$3="NO",0,IF(Valores!$C$62*B241&gt;Valores!$F$62,Valores!$F$62,Valores!$C$62*B241))</f>
        <v>90.8472</v>
      </c>
      <c r="AM241" s="125">
        <f t="shared" si="32"/>
        <v>90.8472</v>
      </c>
      <c r="AN241" s="125">
        <f>AH241*Valores!$C$71</f>
        <v>-12095.439400000001</v>
      </c>
      <c r="AO241" s="125">
        <f>AH241*-Valores!$C$72</f>
        <v>0</v>
      </c>
      <c r="AP241" s="125">
        <f>AH241*Valores!$C$73</f>
        <v>-4948.134300000001</v>
      </c>
      <c r="AQ241" s="125">
        <f>Valores!$C$100</f>
        <v>-554.86</v>
      </c>
      <c r="AR241" s="125">
        <f>IF($F$5=0,Valores!$C$101,(Valores!$C$101+$F$5*(Valores!$C$101)))</f>
        <v>-852</v>
      </c>
      <c r="AS241" s="125">
        <f t="shared" si="35"/>
        <v>91598.9535</v>
      </c>
      <c r="AT241" s="125">
        <f t="shared" si="29"/>
        <v>-12095.439400000001</v>
      </c>
      <c r="AU241" s="125">
        <f>AH241*Valores!$C$74</f>
        <v>-2968.88058</v>
      </c>
      <c r="AV241" s="125">
        <f>AH241*Valores!$C$75</f>
        <v>-329.87562</v>
      </c>
      <c r="AW241" s="125">
        <f t="shared" si="33"/>
        <v>94655.1916</v>
      </c>
      <c r="AX241" s="126"/>
      <c r="AY241" s="126">
        <f t="shared" si="37"/>
        <v>8</v>
      </c>
      <c r="AZ241" s="123" t="s">
        <v>4</v>
      </c>
    </row>
    <row r="242" spans="1:52" s="110" customFormat="1" ht="11.25" customHeight="1">
      <c r="A242" s="123" t="s">
        <v>471</v>
      </c>
      <c r="B242" s="123">
        <v>8</v>
      </c>
      <c r="C242" s="126">
        <v>235</v>
      </c>
      <c r="D242" s="124" t="str">
        <f>CONCATENATE("Hora Cátedra Enseñanza Media ",B242," hs Esc Esp")</f>
        <v>Hora Cátedra Enseñanza Media 8 hs Esc Esp</v>
      </c>
      <c r="E242" s="192">
        <f t="shared" si="38"/>
        <v>632</v>
      </c>
      <c r="F242" s="125">
        <f>ROUND(E242*Valores!$C$2,2)</f>
        <v>34412.4</v>
      </c>
      <c r="G242" s="192">
        <v>0</v>
      </c>
      <c r="H242" s="125">
        <f>ROUND(G242*Valores!$C$2,2)</f>
        <v>0</v>
      </c>
      <c r="I242" s="192">
        <v>0</v>
      </c>
      <c r="J242" s="125">
        <f>ROUND(I242*Valores!$C$2,2)</f>
        <v>0</v>
      </c>
      <c r="K242" s="192">
        <v>0</v>
      </c>
      <c r="L242" s="125">
        <f>ROUND(K242*Valores!$C$2,2)</f>
        <v>0</v>
      </c>
      <c r="M242" s="125">
        <f>ROUND(IF($H$2=0,IF(AND(A242&lt;&gt;"13-930",A242&lt;&gt;"13-940"),(SUM(F242,H242,J242,L242,X242,T242,R242)*Valores!$C$4),0),0),2)</f>
        <v>11709.76</v>
      </c>
      <c r="N242" s="125">
        <f t="shared" si="30"/>
        <v>0</v>
      </c>
      <c r="O242" s="125">
        <f>Valores!$C$7*B242</f>
        <v>14771.52</v>
      </c>
      <c r="P242" s="125">
        <f>ROUND(IF(B242&lt;15,(Valores!$E$5*B242),Valores!$D$5),2)</f>
        <v>14845.28</v>
      </c>
      <c r="Q242" s="125">
        <v>0</v>
      </c>
      <c r="R242" s="125">
        <f>IF($F$4="NO",IF(Valores!$C$49*B242&gt;Valores!$F$46,Valores!$F$46,Valores!$C$49*B242),IF(Valores!$C$49*B242&gt;Valores!$F$46,Valores!$F$46,Valores!$C$49*B242)/2)</f>
        <v>7780.8</v>
      </c>
      <c r="S242" s="125">
        <f>Valores!$C$18*B242</f>
        <v>4645.84</v>
      </c>
      <c r="T242" s="125">
        <f t="shared" si="36"/>
        <v>4645.84</v>
      </c>
      <c r="U242" s="125">
        <v>0</v>
      </c>
      <c r="V242" s="125">
        <v>0</v>
      </c>
      <c r="W242" s="192">
        <v>0</v>
      </c>
      <c r="X242" s="125">
        <f>ROUND(W242*Valores!$C$2,2)</f>
        <v>0</v>
      </c>
      <c r="Y242" s="125">
        <v>0</v>
      </c>
      <c r="Z242" s="125">
        <f>IF(Valores!$C$97*B242&gt;Valores!$C$96,Valores!$C$96,Valores!$C$97*B242)</f>
        <v>14182.88</v>
      </c>
      <c r="AA242" s="125">
        <f>IF((Valores!$C$28)*B242&gt;Valores!$F$28,Valores!$F$28,(Valores!$C$28)*B242)</f>
        <v>364.96</v>
      </c>
      <c r="AB242" s="214">
        <v>0</v>
      </c>
      <c r="AC242" s="125">
        <f t="shared" si="31"/>
        <v>0</v>
      </c>
      <c r="AD242" s="125">
        <f>IF(Valores!$C$29*B242&gt;Valores!$F$29,Valores!$F$29,Valores!$C$29*B242)</f>
        <v>303.92</v>
      </c>
      <c r="AE242" s="192">
        <v>94</v>
      </c>
      <c r="AF242" s="125">
        <f>ROUND(AE242*Valores!$C$2,2)</f>
        <v>5118.3</v>
      </c>
      <c r="AG242" s="125">
        <f>IF($F$4="NO",IF(Valores!$D$63*'Escala Docente'!B242&gt;Valores!$F$63,Valores!$F$63,Valores!$D$63*'Escala Docente'!B242),IF(Valores!$D$63*'Escala Docente'!B242&gt;Valores!$F$63,Valores!$F$63,Valores!$D$63*'Escala Docente'!B242)/2)-0.02</f>
        <v>6941.179999999999</v>
      </c>
      <c r="AH242" s="125">
        <f t="shared" si="34"/>
        <v>115076.84000000001</v>
      </c>
      <c r="AI242" s="125">
        <f>IF(Valores!$C$32*B242&gt;Valores!$F$32,Valores!$F$32,Valores!$C$32*B242)</f>
        <v>0</v>
      </c>
      <c r="AJ242" s="125">
        <f>IF(Valores!$C$90*B242&gt;Valores!$C$89,Valores!$C$89,Valores!$C$90*B242)</f>
        <v>0</v>
      </c>
      <c r="AK242" s="125">
        <f>IF(Valores!C$39*B242&gt;Valores!F$38,Valores!F$38,Valores!C$39*B242)</f>
        <v>0</v>
      </c>
      <c r="AL242" s="125">
        <f>IF($F$3="NO",0,IF(Valores!$C$62*B242&gt;Valores!$F$62,Valores!$F$62,Valores!$C$62*B242))</f>
        <v>90.8472</v>
      </c>
      <c r="AM242" s="125">
        <f t="shared" si="32"/>
        <v>90.8472</v>
      </c>
      <c r="AN242" s="125">
        <f>AH242*Valores!$C$71</f>
        <v>-12658.452400000002</v>
      </c>
      <c r="AO242" s="125">
        <f>AH242*-Valores!$C$72</f>
        <v>0</v>
      </c>
      <c r="AP242" s="125">
        <f>AH242*Valores!$C$73</f>
        <v>-5178.4578</v>
      </c>
      <c r="AQ242" s="125">
        <f>Valores!$C$100</f>
        <v>-554.86</v>
      </c>
      <c r="AR242" s="125">
        <f>IF($F$5=0,Valores!$C$101,(Valores!$C$101+$F$5*(Valores!$C$101)))</f>
        <v>-852</v>
      </c>
      <c r="AS242" s="125">
        <f t="shared" si="35"/>
        <v>95923.91700000002</v>
      </c>
      <c r="AT242" s="125">
        <f t="shared" si="29"/>
        <v>-12658.452400000002</v>
      </c>
      <c r="AU242" s="125">
        <f>AH242*Valores!$C$74</f>
        <v>-3107.07468</v>
      </c>
      <c r="AV242" s="125">
        <f>AH242*Valores!$C$75</f>
        <v>-345.23052</v>
      </c>
      <c r="AW242" s="125">
        <f t="shared" si="33"/>
        <v>99056.92960000002</v>
      </c>
      <c r="AX242" s="126"/>
      <c r="AY242" s="126">
        <f t="shared" si="37"/>
        <v>8</v>
      </c>
      <c r="AZ242" s="123" t="s">
        <v>4</v>
      </c>
    </row>
    <row r="243" spans="1:52" s="110" customFormat="1" ht="11.25" customHeight="1">
      <c r="A243" s="123" t="s">
        <v>471</v>
      </c>
      <c r="B243" s="123">
        <v>9</v>
      </c>
      <c r="C243" s="126">
        <v>236</v>
      </c>
      <c r="D243" s="124" t="str">
        <f>CONCATENATE("Hora Cátedra Enseñanza Media ",B243," hs")</f>
        <v>Hora Cátedra Enseñanza Media 9 hs</v>
      </c>
      <c r="E243" s="192">
        <f t="shared" si="38"/>
        <v>711</v>
      </c>
      <c r="F243" s="125">
        <f>ROUND(E243*Valores!$C$2,2)</f>
        <v>38713.95</v>
      </c>
      <c r="G243" s="192">
        <v>0</v>
      </c>
      <c r="H243" s="125">
        <f>ROUND(G243*Valores!$C$2,2)</f>
        <v>0</v>
      </c>
      <c r="I243" s="192">
        <v>0</v>
      </c>
      <c r="J243" s="125">
        <f>ROUND(I243*Valores!$C$2,2)</f>
        <v>0</v>
      </c>
      <c r="K243" s="192">
        <v>0</v>
      </c>
      <c r="L243" s="125">
        <f>ROUND(K243*Valores!$C$2,2)</f>
        <v>0</v>
      </c>
      <c r="M243" s="125">
        <f>ROUND(IF($H$2=0,IF(AND(A243&lt;&gt;"13-930",A243&lt;&gt;"13-940"),(SUM(F243,H243,J243,L243,X243,T243,R243)*Valores!$C$4),0),0),2)</f>
        <v>13173.48</v>
      </c>
      <c r="N243" s="125">
        <f t="shared" si="30"/>
        <v>0</v>
      </c>
      <c r="O243" s="125">
        <f>Valores!$C$7*B243</f>
        <v>16617.96</v>
      </c>
      <c r="P243" s="125">
        <f>ROUND(IF(B243&lt;15,(Valores!$E$5*B243),Valores!$D$5),2)</f>
        <v>16700.94</v>
      </c>
      <c r="Q243" s="125">
        <v>0</v>
      </c>
      <c r="R243" s="125">
        <f>IF($F$4="NO",IF(Valores!$C$49*B243&gt;Valores!$F$46,Valores!$F$46,Valores!$C$49*B243),IF(Valores!$C$49*B243&gt;Valores!$F$46,Valores!$F$46,Valores!$C$49*B243)/2)</f>
        <v>8753.4</v>
      </c>
      <c r="S243" s="125">
        <f>Valores!$C$18*B243</f>
        <v>5226.57</v>
      </c>
      <c r="T243" s="125">
        <f t="shared" si="36"/>
        <v>5226.57</v>
      </c>
      <c r="U243" s="125">
        <v>0</v>
      </c>
      <c r="V243" s="125">
        <v>0</v>
      </c>
      <c r="W243" s="192">
        <v>0</v>
      </c>
      <c r="X243" s="125">
        <f>ROUND(W243*Valores!$C$2,2)</f>
        <v>0</v>
      </c>
      <c r="Y243" s="125">
        <v>0</v>
      </c>
      <c r="Z243" s="125">
        <f>IF(Valores!$C$97*B243&gt;Valores!$C$96,Valores!$C$96,Valores!$C$97*B243)</f>
        <v>15955.74</v>
      </c>
      <c r="AA243" s="125">
        <f>IF((Valores!$C$28)*B243&gt;Valores!$F$28,Valores!$F$28,(Valores!$C$28)*B243)</f>
        <v>410.58</v>
      </c>
      <c r="AB243" s="214">
        <v>0</v>
      </c>
      <c r="AC243" s="125">
        <f t="shared" si="31"/>
        <v>0</v>
      </c>
      <c r="AD243" s="125">
        <f>IF(Valores!$C$29*B243&gt;Valores!$F$29,Valores!$F$29,Valores!$C$29*B243)</f>
        <v>341.91</v>
      </c>
      <c r="AE243" s="192">
        <v>0</v>
      </c>
      <c r="AF243" s="125">
        <f>ROUND(AE243*Valores!$C$2,2)</f>
        <v>0</v>
      </c>
      <c r="AG243" s="125">
        <f>IF($F$4="NO",IF(Valores!$D$63*'Escala Docente'!B243&gt;Valores!$F$63,Valores!$F$63,Valores!$D$63*'Escala Docente'!B243),IF(Valores!$D$63*'Escala Docente'!B243&gt;Valores!$F$63,Valores!$F$63,Valores!$D$63*'Escala Docente'!B243)/2)-0.02</f>
        <v>7808.829999999999</v>
      </c>
      <c r="AH243" s="125">
        <f t="shared" si="34"/>
        <v>123703.36</v>
      </c>
      <c r="AI243" s="125">
        <f>IF(Valores!$C$32*B243&gt;Valores!$F$32,Valores!$F$32,Valores!$C$32*B243)</f>
        <v>0</v>
      </c>
      <c r="AJ243" s="125">
        <f>IF(Valores!$C$90*B243&gt;Valores!$C$89,Valores!$C$89,Valores!$C$90*B243)</f>
        <v>0</v>
      </c>
      <c r="AK243" s="125">
        <f>IF(Valores!C$39*B243&gt;Valores!F$38,Valores!F$38,Valores!C$39*B243)</f>
        <v>0</v>
      </c>
      <c r="AL243" s="125">
        <f>IF($F$3="NO",0,IF(Valores!$C$62*B243&gt;Valores!$F$62,Valores!$F$62,Valores!$C$62*B243))</f>
        <v>102.2031</v>
      </c>
      <c r="AM243" s="125">
        <f t="shared" si="32"/>
        <v>102.2031</v>
      </c>
      <c r="AN243" s="125">
        <f>AH243*Valores!$C$71</f>
        <v>-13607.3696</v>
      </c>
      <c r="AO243" s="125">
        <f>AH243*-Valores!$C$72</f>
        <v>0</v>
      </c>
      <c r="AP243" s="125">
        <f>AH243*Valores!$C$73</f>
        <v>-5566.6512</v>
      </c>
      <c r="AQ243" s="125">
        <f>Valores!$C$100</f>
        <v>-554.86</v>
      </c>
      <c r="AR243" s="125">
        <f>IF($F$5=0,Valores!$C$101,(Valores!$C$101+$F$5*(Valores!$C$101)))</f>
        <v>-852</v>
      </c>
      <c r="AS243" s="125">
        <f t="shared" si="35"/>
        <v>103224.6823</v>
      </c>
      <c r="AT243" s="125">
        <f t="shared" si="29"/>
        <v>-13607.3696</v>
      </c>
      <c r="AU243" s="125">
        <f>AH243*Valores!$C$74</f>
        <v>-3339.99072</v>
      </c>
      <c r="AV243" s="125">
        <f>AH243*Valores!$C$75</f>
        <v>-371.11008</v>
      </c>
      <c r="AW243" s="125">
        <f t="shared" si="33"/>
        <v>106487.09270000001</v>
      </c>
      <c r="AX243" s="126"/>
      <c r="AY243" s="126">
        <f t="shared" si="37"/>
        <v>9</v>
      </c>
      <c r="AZ243" s="123" t="s">
        <v>4</v>
      </c>
    </row>
    <row r="244" spans="1:52" s="110" customFormat="1" ht="11.25" customHeight="1">
      <c r="A244" s="123" t="s">
        <v>471</v>
      </c>
      <c r="B244" s="123">
        <v>9</v>
      </c>
      <c r="C244" s="126">
        <v>237</v>
      </c>
      <c r="D244" s="124" t="str">
        <f>CONCATENATE("Hora Cátedra Enseñanza Media ",B244," hs Esc Esp")</f>
        <v>Hora Cátedra Enseñanza Media 9 hs Esc Esp</v>
      </c>
      <c r="E244" s="192">
        <f t="shared" si="38"/>
        <v>711</v>
      </c>
      <c r="F244" s="125">
        <f>ROUND(E244*Valores!$C$2,2)</f>
        <v>38713.95</v>
      </c>
      <c r="G244" s="192">
        <v>0</v>
      </c>
      <c r="H244" s="125">
        <f>ROUND(G244*Valores!$C$2,2)</f>
        <v>0</v>
      </c>
      <c r="I244" s="192">
        <v>0</v>
      </c>
      <c r="J244" s="125">
        <f>ROUND(I244*Valores!$C$2,2)</f>
        <v>0</v>
      </c>
      <c r="K244" s="192">
        <v>0</v>
      </c>
      <c r="L244" s="125">
        <f>ROUND(K244*Valores!$C$2,2)</f>
        <v>0</v>
      </c>
      <c r="M244" s="125">
        <f>ROUND(IF($H$2=0,IF(AND(A244&lt;&gt;"13-930",A244&lt;&gt;"13-940"),(SUM(F244,H244,J244,L244,X244,T244,R244)*Valores!$C$4),0),0),2)</f>
        <v>13173.48</v>
      </c>
      <c r="N244" s="125">
        <f t="shared" si="30"/>
        <v>0</v>
      </c>
      <c r="O244" s="125">
        <f>Valores!$C$7*B244</f>
        <v>16617.96</v>
      </c>
      <c r="P244" s="125">
        <f>ROUND(IF(B244&lt;15,(Valores!$E$5*B244),Valores!$D$5),2)</f>
        <v>16700.94</v>
      </c>
      <c r="Q244" s="125">
        <v>0</v>
      </c>
      <c r="R244" s="125">
        <f>IF($F$4="NO",IF(Valores!$C$49*B244&gt;Valores!$F$46,Valores!$F$46,Valores!$C$49*B244),IF(Valores!$C$49*B244&gt;Valores!$F$46,Valores!$F$46,Valores!$C$49*B244)/2)</f>
        <v>8753.4</v>
      </c>
      <c r="S244" s="125">
        <f>Valores!$C$18*B244</f>
        <v>5226.57</v>
      </c>
      <c r="T244" s="125">
        <f t="shared" si="36"/>
        <v>5226.57</v>
      </c>
      <c r="U244" s="125">
        <v>0</v>
      </c>
      <c r="V244" s="125">
        <v>0</v>
      </c>
      <c r="W244" s="192">
        <v>0</v>
      </c>
      <c r="X244" s="125">
        <f>ROUND(W244*Valores!$C$2,2)</f>
        <v>0</v>
      </c>
      <c r="Y244" s="125">
        <v>0</v>
      </c>
      <c r="Z244" s="125">
        <f>IF(Valores!$C$97*B244&gt;Valores!$C$96,Valores!$C$96,Valores!$C$97*B244)</f>
        <v>15955.74</v>
      </c>
      <c r="AA244" s="125">
        <f>IF((Valores!$C$28)*B244&gt;Valores!$F$28,Valores!$F$28,(Valores!$C$28)*B244)</f>
        <v>410.58</v>
      </c>
      <c r="AB244" s="214">
        <v>0</v>
      </c>
      <c r="AC244" s="125">
        <f t="shared" si="31"/>
        <v>0</v>
      </c>
      <c r="AD244" s="125">
        <f>IF(Valores!$C$29*B244&gt;Valores!$F$29,Valores!$F$29,Valores!$C$29*B244)</f>
        <v>341.91</v>
      </c>
      <c r="AE244" s="192">
        <v>94</v>
      </c>
      <c r="AF244" s="125">
        <f>ROUND(AE244*Valores!$C$2,2)</f>
        <v>5118.3</v>
      </c>
      <c r="AG244" s="125">
        <f>IF($F$4="NO",IF(Valores!$D$63*'Escala Docente'!B244&gt;Valores!$F$63,Valores!$F$63,Valores!$D$63*'Escala Docente'!B244),IF(Valores!$D$63*'Escala Docente'!B244&gt;Valores!$F$63,Valores!$F$63,Valores!$D$63*'Escala Docente'!B244)/2)-0.02</f>
        <v>7808.829999999999</v>
      </c>
      <c r="AH244" s="125">
        <f t="shared" si="34"/>
        <v>128821.66</v>
      </c>
      <c r="AI244" s="125">
        <f>IF(Valores!$C$32*B244&gt;Valores!$F$32,Valores!$F$32,Valores!$C$32*B244)</f>
        <v>0</v>
      </c>
      <c r="AJ244" s="125">
        <f>IF(Valores!$C$90*B244&gt;Valores!$C$89,Valores!$C$89,Valores!$C$90*B244)</f>
        <v>0</v>
      </c>
      <c r="AK244" s="125">
        <f>IF(Valores!C$39*B244&gt;Valores!F$38,Valores!F$38,Valores!C$39*B244)</f>
        <v>0</v>
      </c>
      <c r="AL244" s="125">
        <f>IF($F$3="NO",0,IF(Valores!$C$62*B244&gt;Valores!$F$62,Valores!$F$62,Valores!$C$62*B244))</f>
        <v>102.2031</v>
      </c>
      <c r="AM244" s="125">
        <f t="shared" si="32"/>
        <v>102.2031</v>
      </c>
      <c r="AN244" s="125">
        <f>AH244*Valores!$C$71</f>
        <v>-14170.3826</v>
      </c>
      <c r="AO244" s="125">
        <f>AH244*-Valores!$C$72</f>
        <v>0</v>
      </c>
      <c r="AP244" s="125">
        <f>AH244*Valores!$C$73</f>
        <v>-5796.9747</v>
      </c>
      <c r="AQ244" s="125">
        <f>Valores!$C$100</f>
        <v>-554.86</v>
      </c>
      <c r="AR244" s="125">
        <f>IF($F$5=0,Valores!$C$101,(Valores!$C$101+$F$5*(Valores!$C$101)))</f>
        <v>-852</v>
      </c>
      <c r="AS244" s="125">
        <f t="shared" si="35"/>
        <v>107549.6458</v>
      </c>
      <c r="AT244" s="125">
        <f t="shared" si="29"/>
        <v>-14170.3826</v>
      </c>
      <c r="AU244" s="125">
        <f>AH244*Valores!$C$74</f>
        <v>-3478.18482</v>
      </c>
      <c r="AV244" s="125">
        <f>AH244*Valores!$C$75</f>
        <v>-386.46498</v>
      </c>
      <c r="AW244" s="125">
        <f t="shared" si="33"/>
        <v>110888.8307</v>
      </c>
      <c r="AX244" s="126"/>
      <c r="AY244" s="126">
        <f t="shared" si="37"/>
        <v>9</v>
      </c>
      <c r="AZ244" s="123" t="s">
        <v>4</v>
      </c>
    </row>
    <row r="245" spans="1:52" s="110" customFormat="1" ht="11.25" customHeight="1">
      <c r="A245" s="123" t="s">
        <v>471</v>
      </c>
      <c r="B245" s="123">
        <v>10</v>
      </c>
      <c r="C245" s="126">
        <v>238</v>
      </c>
      <c r="D245" s="124" t="str">
        <f>CONCATENATE("Hora Cátedra Enseñanza Media ",B245," hs")</f>
        <v>Hora Cátedra Enseñanza Media 10 hs</v>
      </c>
      <c r="E245" s="192">
        <f t="shared" si="38"/>
        <v>790</v>
      </c>
      <c r="F245" s="125">
        <f>ROUND(E245*Valores!$C$2,2)</f>
        <v>43015.5</v>
      </c>
      <c r="G245" s="192">
        <v>0</v>
      </c>
      <c r="H245" s="125">
        <f>ROUND(G245*Valores!$C$2,2)</f>
        <v>0</v>
      </c>
      <c r="I245" s="192">
        <v>0</v>
      </c>
      <c r="J245" s="125">
        <f>ROUND(I245*Valores!$C$2,2)</f>
        <v>0</v>
      </c>
      <c r="K245" s="192">
        <v>0</v>
      </c>
      <c r="L245" s="125">
        <f>ROUND(K245*Valores!$C$2,2)</f>
        <v>0</v>
      </c>
      <c r="M245" s="125">
        <f>ROUND(IF($H$2=0,IF(AND(A245&lt;&gt;"13-930",A245&lt;&gt;"13-940"),(SUM(F245,H245,J245,L245,X245,T245,R245)*Valores!$C$4),0),0),2)</f>
        <v>14637.2</v>
      </c>
      <c r="N245" s="125">
        <f t="shared" si="30"/>
        <v>0</v>
      </c>
      <c r="O245" s="125">
        <f>Valores!$C$7*B245</f>
        <v>18464.4</v>
      </c>
      <c r="P245" s="125">
        <f>ROUND(IF(B245&lt;15,(Valores!$E$5*B245),Valores!$D$5),2)</f>
        <v>18556.6</v>
      </c>
      <c r="Q245" s="125">
        <v>0</v>
      </c>
      <c r="R245" s="125">
        <f>IF($F$4="NO",IF(Valores!$C$49*B245&gt;Valores!$F$46,Valores!$F$46,Valores!$C$49*B245),IF(Valores!$C$49*B245&gt;Valores!$F$46,Valores!$F$46,Valores!$C$49*B245)/2)</f>
        <v>9726</v>
      </c>
      <c r="S245" s="125">
        <f>Valores!$C$18*B245</f>
        <v>5807.3</v>
      </c>
      <c r="T245" s="125">
        <f t="shared" si="36"/>
        <v>5807.3</v>
      </c>
      <c r="U245" s="125">
        <v>0</v>
      </c>
      <c r="V245" s="125">
        <v>0</v>
      </c>
      <c r="W245" s="192">
        <v>0</v>
      </c>
      <c r="X245" s="125">
        <f>ROUND(W245*Valores!$C$2,2)</f>
        <v>0</v>
      </c>
      <c r="Y245" s="125">
        <v>0</v>
      </c>
      <c r="Z245" s="125">
        <f>IF(Valores!$C$97*B245&gt;Valores!$C$96,Valores!$C$96,Valores!$C$97*B245)</f>
        <v>17728.6</v>
      </c>
      <c r="AA245" s="125">
        <f>IF((Valores!$C$28)*B245&gt;Valores!$F$28,Valores!$F$28,(Valores!$C$28)*B245)</f>
        <v>456.2</v>
      </c>
      <c r="AB245" s="214">
        <v>0</v>
      </c>
      <c r="AC245" s="125">
        <f t="shared" si="31"/>
        <v>0</v>
      </c>
      <c r="AD245" s="125">
        <f>IF(Valores!$C$29*B245&gt;Valores!$F$29,Valores!$F$29,Valores!$C$29*B245)</f>
        <v>379.90000000000003</v>
      </c>
      <c r="AE245" s="192">
        <v>0</v>
      </c>
      <c r="AF245" s="125">
        <f>ROUND(AE245*Valores!$C$2,2)</f>
        <v>0</v>
      </c>
      <c r="AG245" s="125">
        <f>IF($F$4="NO",IF(Valores!$D$63*'Escala Docente'!B245&gt;Valores!$F$63,Valores!$F$63,Valores!$D$63*'Escala Docente'!B245),IF(Valores!$D$63*'Escala Docente'!B245&gt;Valores!$F$63,Valores!$F$63,Valores!$D$63*'Escala Docente'!B245)/2)-0.02</f>
        <v>8676.48</v>
      </c>
      <c r="AH245" s="125">
        <f t="shared" si="34"/>
        <v>137448.18</v>
      </c>
      <c r="AI245" s="125">
        <f>IF(Valores!$C$32*B245&gt;Valores!$F$32,Valores!$F$32,Valores!$C$32*B245)</f>
        <v>0</v>
      </c>
      <c r="AJ245" s="125">
        <f>IF(Valores!$C$90*B245&gt;Valores!$C$89,Valores!$C$89,Valores!$C$90*B245)</f>
        <v>0</v>
      </c>
      <c r="AK245" s="125">
        <f>IF(Valores!C$39*B245&gt;Valores!F$38,Valores!F$38,Valores!C$39*B245)</f>
        <v>0</v>
      </c>
      <c r="AL245" s="125">
        <f>IF($F$3="NO",0,IF(Valores!$C$62*B245&gt;Valores!$F$62,Valores!$F$62,Valores!$C$62*B245))</f>
        <v>113.559</v>
      </c>
      <c r="AM245" s="125">
        <f t="shared" si="32"/>
        <v>113.559</v>
      </c>
      <c r="AN245" s="125">
        <f>AH245*Valores!$C$71</f>
        <v>-15119.299799999999</v>
      </c>
      <c r="AO245" s="125">
        <f>AH245*-Valores!$C$72</f>
        <v>0</v>
      </c>
      <c r="AP245" s="125">
        <f>AH245*Valores!$C$73</f>
        <v>-6185.1681</v>
      </c>
      <c r="AQ245" s="125">
        <f>Valores!$C$100</f>
        <v>-554.86</v>
      </c>
      <c r="AR245" s="125">
        <f>IF($F$5=0,Valores!$C$101,(Valores!$C$101+$F$5*(Valores!$C$101)))</f>
        <v>-852</v>
      </c>
      <c r="AS245" s="125">
        <f t="shared" si="35"/>
        <v>114850.4111</v>
      </c>
      <c r="AT245" s="125">
        <f t="shared" si="29"/>
        <v>-15119.299799999999</v>
      </c>
      <c r="AU245" s="125">
        <f>AH245*Valores!$C$74</f>
        <v>-3711.1008599999996</v>
      </c>
      <c r="AV245" s="125">
        <f>AH245*Valores!$C$75</f>
        <v>-412.34454</v>
      </c>
      <c r="AW245" s="125">
        <f t="shared" si="33"/>
        <v>118318.9938</v>
      </c>
      <c r="AX245" s="126"/>
      <c r="AY245" s="126">
        <f t="shared" si="37"/>
        <v>10</v>
      </c>
      <c r="AZ245" s="123" t="s">
        <v>4</v>
      </c>
    </row>
    <row r="246" spans="1:52" s="110" customFormat="1" ht="11.25" customHeight="1">
      <c r="A246" s="123" t="s">
        <v>471</v>
      </c>
      <c r="B246" s="123">
        <v>10</v>
      </c>
      <c r="C246" s="126">
        <v>239</v>
      </c>
      <c r="D246" s="124" t="str">
        <f>CONCATENATE("Hora Cátedra Enseñanza Media ",B246," hs Esc Esp")</f>
        <v>Hora Cátedra Enseñanza Media 10 hs Esc Esp</v>
      </c>
      <c r="E246" s="192">
        <f t="shared" si="38"/>
        <v>790</v>
      </c>
      <c r="F246" s="125">
        <f>ROUND(E246*Valores!$C$2,2)</f>
        <v>43015.5</v>
      </c>
      <c r="G246" s="192">
        <v>0</v>
      </c>
      <c r="H246" s="125">
        <f>ROUND(G246*Valores!$C$2,2)</f>
        <v>0</v>
      </c>
      <c r="I246" s="192">
        <v>0</v>
      </c>
      <c r="J246" s="125">
        <f>ROUND(I246*Valores!$C$2,2)</f>
        <v>0</v>
      </c>
      <c r="K246" s="192">
        <v>0</v>
      </c>
      <c r="L246" s="125">
        <f>ROUND(K246*Valores!$C$2,2)</f>
        <v>0</v>
      </c>
      <c r="M246" s="125">
        <f>ROUND(IF($H$2=0,IF(AND(A246&lt;&gt;"13-930",A246&lt;&gt;"13-940"),(SUM(F246,H246,J246,L246,X246,T246,R246)*Valores!$C$4),0),0),2)</f>
        <v>14637.2</v>
      </c>
      <c r="N246" s="125">
        <f t="shared" si="30"/>
        <v>0</v>
      </c>
      <c r="O246" s="125">
        <f>Valores!$C$7*B246</f>
        <v>18464.4</v>
      </c>
      <c r="P246" s="125">
        <f>ROUND(IF(B246&lt;15,(Valores!$E$5*B246),Valores!$D$5),2)</f>
        <v>18556.6</v>
      </c>
      <c r="Q246" s="125">
        <v>0</v>
      </c>
      <c r="R246" s="125">
        <f>IF($F$4="NO",IF(Valores!$C$49*B246&gt;Valores!$F$46,Valores!$F$46,Valores!$C$49*B246),IF(Valores!$C$49*B246&gt;Valores!$F$46,Valores!$F$46,Valores!$C$49*B246)/2)</f>
        <v>9726</v>
      </c>
      <c r="S246" s="125">
        <f>Valores!$C$18*B246</f>
        <v>5807.3</v>
      </c>
      <c r="T246" s="125">
        <f t="shared" si="36"/>
        <v>5807.3</v>
      </c>
      <c r="U246" s="125">
        <v>0</v>
      </c>
      <c r="V246" s="125">
        <v>0</v>
      </c>
      <c r="W246" s="192">
        <v>0</v>
      </c>
      <c r="X246" s="125">
        <f>ROUND(W246*Valores!$C$2,2)</f>
        <v>0</v>
      </c>
      <c r="Y246" s="125">
        <v>0</v>
      </c>
      <c r="Z246" s="125">
        <f>IF(Valores!$C$97*B246&gt;Valores!$C$96,Valores!$C$96,Valores!$C$97*B246)</f>
        <v>17728.6</v>
      </c>
      <c r="AA246" s="125">
        <f>IF((Valores!$C$28)*B246&gt;Valores!$F$28,Valores!$F$28,(Valores!$C$28)*B246)</f>
        <v>456.2</v>
      </c>
      <c r="AB246" s="214">
        <v>0</v>
      </c>
      <c r="AC246" s="125">
        <f t="shared" si="31"/>
        <v>0</v>
      </c>
      <c r="AD246" s="125">
        <f>IF(Valores!$C$29*B246&gt;Valores!$F$29,Valores!$F$29,Valores!$C$29*B246)</f>
        <v>379.90000000000003</v>
      </c>
      <c r="AE246" s="192">
        <v>94</v>
      </c>
      <c r="AF246" s="125">
        <f>ROUND(AE246*Valores!$C$2,2)</f>
        <v>5118.3</v>
      </c>
      <c r="AG246" s="125">
        <f>IF($F$4="NO",IF(Valores!$D$63*'Escala Docente'!B246&gt;Valores!$F$63,Valores!$F$63,Valores!$D$63*'Escala Docente'!B246),IF(Valores!$D$63*'Escala Docente'!B246&gt;Valores!$F$63,Valores!$F$63,Valores!$D$63*'Escala Docente'!B246)/2)-0.02</f>
        <v>8676.48</v>
      </c>
      <c r="AH246" s="125">
        <f t="shared" si="34"/>
        <v>142566.48</v>
      </c>
      <c r="AI246" s="125">
        <f>IF(Valores!$C$32*B246&gt;Valores!$F$32,Valores!$F$32,Valores!$C$32*B246)</f>
        <v>0</v>
      </c>
      <c r="AJ246" s="125">
        <f>IF(Valores!$C$90*B246&gt;Valores!$C$89,Valores!$C$89,Valores!$C$90*B246)</f>
        <v>0</v>
      </c>
      <c r="AK246" s="125">
        <f>IF(Valores!C$39*B246&gt;Valores!F$38,Valores!F$38,Valores!C$39*B246)</f>
        <v>0</v>
      </c>
      <c r="AL246" s="125">
        <f>IF($F$3="NO",0,IF(Valores!$C$62*B246&gt;Valores!$F$62,Valores!$F$62,Valores!$C$62*B246))</f>
        <v>113.559</v>
      </c>
      <c r="AM246" s="125">
        <f t="shared" si="32"/>
        <v>113.559</v>
      </c>
      <c r="AN246" s="125">
        <f>AH246*Valores!$C$71</f>
        <v>-15682.312800000002</v>
      </c>
      <c r="AO246" s="125">
        <f>AH246*-Valores!$C$72</f>
        <v>0</v>
      </c>
      <c r="AP246" s="125">
        <f>AH246*Valores!$C$73</f>
        <v>-6415.4916</v>
      </c>
      <c r="AQ246" s="125">
        <f>Valores!$C$100</f>
        <v>-554.86</v>
      </c>
      <c r="AR246" s="125">
        <f>IF($F$5=0,Valores!$C$101,(Valores!$C$101+$F$5*(Valores!$C$101)))</f>
        <v>-852</v>
      </c>
      <c r="AS246" s="125">
        <f t="shared" si="35"/>
        <v>119175.37460000001</v>
      </c>
      <c r="AT246" s="125">
        <f t="shared" si="29"/>
        <v>-15682.312800000002</v>
      </c>
      <c r="AU246" s="125">
        <f>AH246*Valores!$C$74</f>
        <v>-3849.29496</v>
      </c>
      <c r="AV246" s="125">
        <f>AH246*Valores!$C$75</f>
        <v>-427.69944000000004</v>
      </c>
      <c r="AW246" s="125">
        <f t="shared" si="33"/>
        <v>122720.73180000001</v>
      </c>
      <c r="AX246" s="126"/>
      <c r="AY246" s="126">
        <f t="shared" si="37"/>
        <v>10</v>
      </c>
      <c r="AZ246" s="123" t="s">
        <v>4</v>
      </c>
    </row>
    <row r="247" spans="1:52" s="110" customFormat="1" ht="11.25" customHeight="1">
      <c r="A247" s="123" t="s">
        <v>471</v>
      </c>
      <c r="B247" s="123">
        <v>11</v>
      </c>
      <c r="C247" s="126">
        <v>240</v>
      </c>
      <c r="D247" s="124" t="str">
        <f>CONCATENATE("Hora Cátedra Enseñanza Media ",B247," hs")</f>
        <v>Hora Cátedra Enseñanza Media 11 hs</v>
      </c>
      <c r="E247" s="192">
        <f t="shared" si="38"/>
        <v>869</v>
      </c>
      <c r="F247" s="125">
        <f>ROUND(E247*Valores!$C$2,2)</f>
        <v>47317.05</v>
      </c>
      <c r="G247" s="192">
        <v>0</v>
      </c>
      <c r="H247" s="125">
        <f>ROUND(G247*Valores!$C$2,2)</f>
        <v>0</v>
      </c>
      <c r="I247" s="192">
        <v>0</v>
      </c>
      <c r="J247" s="125">
        <f>ROUND(I247*Valores!$C$2,2)</f>
        <v>0</v>
      </c>
      <c r="K247" s="192">
        <v>0</v>
      </c>
      <c r="L247" s="125">
        <f>ROUND(K247*Valores!$C$2,2)</f>
        <v>0</v>
      </c>
      <c r="M247" s="125">
        <f>ROUND(IF($H$2=0,IF(AND(A247&lt;&gt;"13-930",A247&lt;&gt;"13-940"),(SUM(F247,H247,J247,L247,X247,T247,R247)*Valores!$C$4),0),0),2)</f>
        <v>16100.92</v>
      </c>
      <c r="N247" s="125">
        <f t="shared" si="30"/>
        <v>0</v>
      </c>
      <c r="O247" s="125">
        <f>Valores!$C$7*B247</f>
        <v>20310.84</v>
      </c>
      <c r="P247" s="125">
        <f>ROUND(IF(B247&lt;15,(Valores!$E$5*B247),Valores!$D$5),2)</f>
        <v>20412.26</v>
      </c>
      <c r="Q247" s="125">
        <v>0</v>
      </c>
      <c r="R247" s="125">
        <f>IF($F$4="NO",IF(Valores!$C$49*B247&gt;Valores!$F$46,Valores!$F$46,Valores!$C$49*B247),IF(Valores!$C$49*B247&gt;Valores!$F$46,Valores!$F$46,Valores!$C$49*B247)/2)</f>
        <v>10698.6</v>
      </c>
      <c r="S247" s="125">
        <f>Valores!$C$18*B247</f>
        <v>6388.030000000001</v>
      </c>
      <c r="T247" s="125">
        <f t="shared" si="36"/>
        <v>6388.03</v>
      </c>
      <c r="U247" s="125">
        <v>0</v>
      </c>
      <c r="V247" s="125">
        <v>0</v>
      </c>
      <c r="W247" s="192">
        <v>0</v>
      </c>
      <c r="X247" s="125">
        <f>ROUND(W247*Valores!$C$2,2)</f>
        <v>0</v>
      </c>
      <c r="Y247" s="125">
        <v>0</v>
      </c>
      <c r="Z247" s="125">
        <f>IF(Valores!$C$97*B247&gt;Valores!$C$96,Valores!$C$96,Valores!$C$97*B247)</f>
        <v>19501.46</v>
      </c>
      <c r="AA247" s="125">
        <f>IF((Valores!$C$28)*B247&gt;Valores!$F$28,Valores!$F$28,(Valores!$C$28)*B247)</f>
        <v>501.82</v>
      </c>
      <c r="AB247" s="214">
        <v>0</v>
      </c>
      <c r="AC247" s="125">
        <f t="shared" si="31"/>
        <v>0</v>
      </c>
      <c r="AD247" s="125">
        <f>IF(Valores!$C$29*B247&gt;Valores!$F$29,Valores!$F$29,Valores!$C$29*B247)</f>
        <v>417.89000000000004</v>
      </c>
      <c r="AE247" s="192">
        <v>0</v>
      </c>
      <c r="AF247" s="125">
        <f>ROUND(AE247*Valores!$C$2,2)</f>
        <v>0</v>
      </c>
      <c r="AG247" s="125">
        <f>IF($F$4="NO",IF(Valores!$D$63*'Escala Docente'!B247&gt;Valores!$F$63,Valores!$F$63,Valores!$D$63*'Escala Docente'!B247),IF(Valores!$D$63*'Escala Docente'!B247&gt;Valores!$F$63,Valores!$F$63,Valores!$D$63*'Escala Docente'!B247)/2)-0.02</f>
        <v>9544.13</v>
      </c>
      <c r="AH247" s="125">
        <f t="shared" si="34"/>
        <v>151193.00000000003</v>
      </c>
      <c r="AI247" s="125">
        <f>IF(Valores!$C$32*B247&gt;Valores!$F$32,Valores!$F$32,Valores!$C$32*B247)</f>
        <v>0</v>
      </c>
      <c r="AJ247" s="125">
        <f>IF(Valores!$C$90*B247&gt;Valores!$C$89,Valores!$C$89,Valores!$C$90*B247)</f>
        <v>0</v>
      </c>
      <c r="AK247" s="125">
        <f>IF(Valores!C$39*B247&gt;Valores!F$38,Valores!F$38,Valores!C$39*B247)</f>
        <v>0</v>
      </c>
      <c r="AL247" s="125">
        <f>IF($F$3="NO",0,IF(Valores!$C$62*B247&gt;Valores!$F$62,Valores!$F$62,Valores!$C$62*B247))</f>
        <v>124.9149</v>
      </c>
      <c r="AM247" s="125">
        <f t="shared" si="32"/>
        <v>124.9149</v>
      </c>
      <c r="AN247" s="125">
        <f>AH247*Valores!$C$71</f>
        <v>-16631.230000000003</v>
      </c>
      <c r="AO247" s="125">
        <f>AH247*-Valores!$C$72</f>
        <v>0</v>
      </c>
      <c r="AP247" s="125">
        <f>AH247*Valores!$C$73</f>
        <v>-6803.685000000001</v>
      </c>
      <c r="AQ247" s="125">
        <f>Valores!$C$100</f>
        <v>-554.86</v>
      </c>
      <c r="AR247" s="125">
        <f>IF($F$5=0,Valores!$C$101,(Valores!$C$101+$F$5*(Valores!$C$101)))</f>
        <v>-852</v>
      </c>
      <c r="AS247" s="125">
        <f t="shared" si="35"/>
        <v>126476.13990000002</v>
      </c>
      <c r="AT247" s="125">
        <f t="shared" si="29"/>
        <v>-16631.230000000003</v>
      </c>
      <c r="AU247" s="125">
        <f>AH247*Valores!$C$74</f>
        <v>-4082.2110000000007</v>
      </c>
      <c r="AV247" s="125">
        <f>AH247*Valores!$C$75</f>
        <v>-453.5790000000001</v>
      </c>
      <c r="AW247" s="125">
        <f t="shared" si="33"/>
        <v>130150.89490000003</v>
      </c>
      <c r="AX247" s="126"/>
      <c r="AY247" s="126">
        <f t="shared" si="37"/>
        <v>11</v>
      </c>
      <c r="AZ247" s="123" t="s">
        <v>4</v>
      </c>
    </row>
    <row r="248" spans="1:52" s="110" customFormat="1" ht="11.25" customHeight="1">
      <c r="A248" s="123" t="s">
        <v>471</v>
      </c>
      <c r="B248" s="123">
        <v>11</v>
      </c>
      <c r="C248" s="126">
        <v>241</v>
      </c>
      <c r="D248" s="124" t="str">
        <f>CONCATENATE("Hora Cátedra Enseñanza Media ",B248," hs Esc Esp")</f>
        <v>Hora Cátedra Enseñanza Media 11 hs Esc Esp</v>
      </c>
      <c r="E248" s="192">
        <f t="shared" si="38"/>
        <v>869</v>
      </c>
      <c r="F248" s="125">
        <f>ROUND(E248*Valores!$C$2,2)</f>
        <v>47317.05</v>
      </c>
      <c r="G248" s="192">
        <v>0</v>
      </c>
      <c r="H248" s="125">
        <f>ROUND(G248*Valores!$C$2,2)</f>
        <v>0</v>
      </c>
      <c r="I248" s="192">
        <v>0</v>
      </c>
      <c r="J248" s="125">
        <f>ROUND(I248*Valores!$C$2,2)</f>
        <v>0</v>
      </c>
      <c r="K248" s="192">
        <v>0</v>
      </c>
      <c r="L248" s="125">
        <f>ROUND(K248*Valores!$C$2,2)</f>
        <v>0</v>
      </c>
      <c r="M248" s="125">
        <f>ROUND(IF($H$2=0,IF(AND(A248&lt;&gt;"13-930",A248&lt;&gt;"13-940"),(SUM(F248,H248,J248,L248,X248,T248,R248)*Valores!$C$4),0),0),2)</f>
        <v>16100.92</v>
      </c>
      <c r="N248" s="125">
        <f t="shared" si="30"/>
        <v>0</v>
      </c>
      <c r="O248" s="125">
        <f>Valores!$C$7*B248</f>
        <v>20310.84</v>
      </c>
      <c r="P248" s="125">
        <f>ROUND(IF(B248&lt;15,(Valores!$E$5*B248),Valores!$D$5),2)</f>
        <v>20412.26</v>
      </c>
      <c r="Q248" s="125">
        <v>0</v>
      </c>
      <c r="R248" s="125">
        <f>IF($F$4="NO",IF(Valores!$C$49*B248&gt;Valores!$F$46,Valores!$F$46,Valores!$C$49*B248),IF(Valores!$C$49*B248&gt;Valores!$F$46,Valores!$F$46,Valores!$C$49*B248)/2)</f>
        <v>10698.6</v>
      </c>
      <c r="S248" s="125">
        <f>Valores!$C$18*B248</f>
        <v>6388.030000000001</v>
      </c>
      <c r="T248" s="125">
        <f t="shared" si="36"/>
        <v>6388.03</v>
      </c>
      <c r="U248" s="125">
        <v>0</v>
      </c>
      <c r="V248" s="125">
        <v>0</v>
      </c>
      <c r="W248" s="192">
        <v>0</v>
      </c>
      <c r="X248" s="125">
        <f>ROUND(W248*Valores!$C$2,2)</f>
        <v>0</v>
      </c>
      <c r="Y248" s="125">
        <v>0</v>
      </c>
      <c r="Z248" s="125">
        <f>IF(Valores!$C$97*B248&gt;Valores!$C$96,Valores!$C$96,Valores!$C$97*B248)</f>
        <v>19501.46</v>
      </c>
      <c r="AA248" s="125">
        <f>IF((Valores!$C$28)*B248&gt;Valores!$F$28,Valores!$F$28,(Valores!$C$28)*B248)</f>
        <v>501.82</v>
      </c>
      <c r="AB248" s="214">
        <v>0</v>
      </c>
      <c r="AC248" s="125">
        <f t="shared" si="31"/>
        <v>0</v>
      </c>
      <c r="AD248" s="125">
        <f>IF(Valores!$C$29*B248&gt;Valores!$F$29,Valores!$F$29,Valores!$C$29*B248)</f>
        <v>417.89000000000004</v>
      </c>
      <c r="AE248" s="192">
        <v>94</v>
      </c>
      <c r="AF248" s="125">
        <f>ROUND(AE248*Valores!$C$2,2)</f>
        <v>5118.3</v>
      </c>
      <c r="AG248" s="125">
        <f>IF($F$4="NO",IF(Valores!$D$63*'Escala Docente'!B248&gt;Valores!$F$63,Valores!$F$63,Valores!$D$63*'Escala Docente'!B248),IF(Valores!$D$63*'Escala Docente'!B248&gt;Valores!$F$63,Valores!$F$63,Valores!$D$63*'Escala Docente'!B248)/2)-0.02</f>
        <v>9544.13</v>
      </c>
      <c r="AH248" s="125">
        <f t="shared" si="34"/>
        <v>156311.30000000002</v>
      </c>
      <c r="AI248" s="125">
        <f>IF(Valores!$C$32*B248&gt;Valores!$F$32,Valores!$F$32,Valores!$C$32*B248)</f>
        <v>0</v>
      </c>
      <c r="AJ248" s="125">
        <f>IF(Valores!$C$90*B248&gt;Valores!$C$89,Valores!$C$89,Valores!$C$90*B248)</f>
        <v>0</v>
      </c>
      <c r="AK248" s="125">
        <f>IF(Valores!C$39*B248&gt;Valores!F$38,Valores!F$38,Valores!C$39*B248)</f>
        <v>0</v>
      </c>
      <c r="AL248" s="125">
        <f>IF($F$3="NO",0,IF(Valores!$C$62*B248&gt;Valores!$F$62,Valores!$F$62,Valores!$C$62*B248))</f>
        <v>124.9149</v>
      </c>
      <c r="AM248" s="125">
        <f t="shared" si="32"/>
        <v>124.9149</v>
      </c>
      <c r="AN248" s="125">
        <f>AH248*Valores!$C$71</f>
        <v>-17194.243000000002</v>
      </c>
      <c r="AO248" s="125">
        <f>AH248*-Valores!$C$72</f>
        <v>0</v>
      </c>
      <c r="AP248" s="125">
        <f>AH248*Valores!$C$73</f>
        <v>-7034.008500000001</v>
      </c>
      <c r="AQ248" s="125">
        <f>Valores!$C$100</f>
        <v>-554.86</v>
      </c>
      <c r="AR248" s="125">
        <f>IF($F$5=0,Valores!$C$101,(Valores!$C$101+$F$5*(Valores!$C$101)))</f>
        <v>-852</v>
      </c>
      <c r="AS248" s="125">
        <f t="shared" si="35"/>
        <v>130801.10340000002</v>
      </c>
      <c r="AT248" s="125">
        <f t="shared" si="29"/>
        <v>-17194.243000000002</v>
      </c>
      <c r="AU248" s="125">
        <f>AH248*Valores!$C$74</f>
        <v>-4220.405100000001</v>
      </c>
      <c r="AV248" s="125">
        <f>AH248*Valores!$C$75</f>
        <v>-468.93390000000005</v>
      </c>
      <c r="AW248" s="125">
        <f t="shared" si="33"/>
        <v>134552.63290000003</v>
      </c>
      <c r="AX248" s="126"/>
      <c r="AY248" s="126">
        <f t="shared" si="37"/>
        <v>11</v>
      </c>
      <c r="AZ248" s="123" t="s">
        <v>4</v>
      </c>
    </row>
    <row r="249" spans="1:52" s="110" customFormat="1" ht="11.25" customHeight="1">
      <c r="A249" s="123" t="s">
        <v>471</v>
      </c>
      <c r="B249" s="123">
        <v>12</v>
      </c>
      <c r="C249" s="126">
        <v>242</v>
      </c>
      <c r="D249" s="124" t="str">
        <f>CONCATENATE("Hora Cátedra Enseñanza Media ",B249," hs")</f>
        <v>Hora Cátedra Enseñanza Media 12 hs</v>
      </c>
      <c r="E249" s="192">
        <f t="shared" si="38"/>
        <v>948</v>
      </c>
      <c r="F249" s="125">
        <f>ROUND(E249*Valores!$C$2,2)</f>
        <v>51618.6</v>
      </c>
      <c r="G249" s="192">
        <v>0</v>
      </c>
      <c r="H249" s="125">
        <f>ROUND(G249*Valores!$C$2,2)</f>
        <v>0</v>
      </c>
      <c r="I249" s="192">
        <v>0</v>
      </c>
      <c r="J249" s="125">
        <f>ROUND(I249*Valores!$C$2,2)</f>
        <v>0</v>
      </c>
      <c r="K249" s="192">
        <v>0</v>
      </c>
      <c r="L249" s="125">
        <f>ROUND(K249*Valores!$C$2,2)</f>
        <v>0</v>
      </c>
      <c r="M249" s="125">
        <f>ROUND(IF($H$2=0,IF(AND(A249&lt;&gt;"13-930",A249&lt;&gt;"13-940"),(SUM(F249,H249,J249,L249,X249,T249,R249)*Valores!$C$4),0),0),2)</f>
        <v>17564.64</v>
      </c>
      <c r="N249" s="125">
        <f t="shared" si="30"/>
        <v>0</v>
      </c>
      <c r="O249" s="125">
        <f>Valores!$C$7*B249</f>
        <v>22157.28</v>
      </c>
      <c r="P249" s="125">
        <f>ROUND(IF(B249&lt;15,(Valores!$E$5*B249),Valores!$D$5),2)</f>
        <v>22267.92</v>
      </c>
      <c r="Q249" s="125">
        <v>0</v>
      </c>
      <c r="R249" s="125">
        <f>IF($F$4="NO",IF(Valores!$C$49*B249&gt;Valores!$F$46,Valores!$F$46,Valores!$C$49*B249),IF(Valores!$C$49*B249&gt;Valores!$F$46,Valores!$F$46,Valores!$C$49*B249)/2)</f>
        <v>11671.2</v>
      </c>
      <c r="S249" s="125">
        <f>Valores!$C$18*B249</f>
        <v>6968.76</v>
      </c>
      <c r="T249" s="125">
        <f t="shared" si="36"/>
        <v>6968.76</v>
      </c>
      <c r="U249" s="125">
        <v>0</v>
      </c>
      <c r="V249" s="125">
        <v>0</v>
      </c>
      <c r="W249" s="192">
        <v>0</v>
      </c>
      <c r="X249" s="125">
        <f>ROUND(W249*Valores!$C$2,2)</f>
        <v>0</v>
      </c>
      <c r="Y249" s="125">
        <v>0</v>
      </c>
      <c r="Z249" s="125">
        <f>IF(Valores!$C$97*B249&gt;Valores!$C$96,Valores!$C$96,Valores!$C$97*B249)</f>
        <v>21274.32</v>
      </c>
      <c r="AA249" s="125">
        <f>IF((Valores!$C$28)*B249&gt;Valores!$F$28,Valores!$F$28,(Valores!$C$28)*B249)</f>
        <v>547.4399999999999</v>
      </c>
      <c r="AB249" s="214">
        <v>0</v>
      </c>
      <c r="AC249" s="125">
        <f t="shared" si="31"/>
        <v>0</v>
      </c>
      <c r="AD249" s="125">
        <f>IF(Valores!$C$29*B249&gt;Valores!$F$29,Valores!$F$29,Valores!$C$29*B249)</f>
        <v>455.88</v>
      </c>
      <c r="AE249" s="192">
        <v>0</v>
      </c>
      <c r="AF249" s="125">
        <f>ROUND(AE249*Valores!$C$2,2)</f>
        <v>0</v>
      </c>
      <c r="AG249" s="125">
        <f>IF($F$4="NO",IF(Valores!$D$63*'Escala Docente'!B249&gt;Valores!$F$63,Valores!$F$63,Valores!$D$63*'Escala Docente'!B249),IF(Valores!$D$63*'Escala Docente'!B249&gt;Valores!$F$63,Valores!$F$63,Valores!$D$63*'Escala Docente'!B249)/2)-0.02</f>
        <v>10411.779999999999</v>
      </c>
      <c r="AH249" s="125">
        <f t="shared" si="34"/>
        <v>164937.82</v>
      </c>
      <c r="AI249" s="125">
        <f>IF(Valores!$C$32*B249&gt;Valores!$F$32,Valores!$F$32,Valores!$C$32*B249)</f>
        <v>0</v>
      </c>
      <c r="AJ249" s="125">
        <f>IF(Valores!$C$90*B249&gt;Valores!$C$89,Valores!$C$89,Valores!$C$90*B249)</f>
        <v>0</v>
      </c>
      <c r="AK249" s="125">
        <f>IF(Valores!C$39*B249&gt;Valores!F$38,Valores!F$38,Valores!C$39*B249)</f>
        <v>0</v>
      </c>
      <c r="AL249" s="125">
        <f>IF($F$3="NO",0,IF(Valores!$C$62*B249&gt;Valores!$F$62,Valores!$F$62,Valores!$C$62*B249))</f>
        <v>136.2708</v>
      </c>
      <c r="AM249" s="125">
        <f t="shared" si="32"/>
        <v>136.2708</v>
      </c>
      <c r="AN249" s="125">
        <f>AH249*Valores!$C$71</f>
        <v>-18143.160200000002</v>
      </c>
      <c r="AO249" s="125">
        <f>AH249*-Valores!$C$72</f>
        <v>0</v>
      </c>
      <c r="AP249" s="125">
        <f>AH249*Valores!$C$73</f>
        <v>-7422.2019</v>
      </c>
      <c r="AQ249" s="125">
        <f>Valores!$C$100</f>
        <v>-554.86</v>
      </c>
      <c r="AR249" s="125">
        <f>IF($F$5=0,Valores!$C$101,(Valores!$C$101+$F$5*(Valores!$C$101)))</f>
        <v>-852</v>
      </c>
      <c r="AS249" s="125">
        <f t="shared" si="35"/>
        <v>138101.8687</v>
      </c>
      <c r="AT249" s="125">
        <f t="shared" si="29"/>
        <v>-18143.160200000002</v>
      </c>
      <c r="AU249" s="125">
        <f>AH249*Valores!$C$74</f>
        <v>-4453.32114</v>
      </c>
      <c r="AV249" s="125">
        <f>AH249*Valores!$C$75</f>
        <v>-494.81346</v>
      </c>
      <c r="AW249" s="125">
        <f t="shared" si="33"/>
        <v>141982.796</v>
      </c>
      <c r="AX249" s="126"/>
      <c r="AY249" s="126">
        <f t="shared" si="37"/>
        <v>12</v>
      </c>
      <c r="AZ249" s="123" t="s">
        <v>4</v>
      </c>
    </row>
    <row r="250" spans="1:52" s="110" customFormat="1" ht="11.25" customHeight="1">
      <c r="A250" s="123" t="s">
        <v>471</v>
      </c>
      <c r="B250" s="123">
        <v>12</v>
      </c>
      <c r="C250" s="126">
        <v>243</v>
      </c>
      <c r="D250" s="124" t="str">
        <f>CONCATENATE("Hora Cátedra Enseñanza Media ",B250," hs Esc Esp")</f>
        <v>Hora Cátedra Enseñanza Media 12 hs Esc Esp</v>
      </c>
      <c r="E250" s="192">
        <f t="shared" si="38"/>
        <v>948</v>
      </c>
      <c r="F250" s="125">
        <f>ROUND(E250*Valores!$C$2,2)</f>
        <v>51618.6</v>
      </c>
      <c r="G250" s="192">
        <v>0</v>
      </c>
      <c r="H250" s="125">
        <f>ROUND(G250*Valores!$C$2,2)</f>
        <v>0</v>
      </c>
      <c r="I250" s="192">
        <v>0</v>
      </c>
      <c r="J250" s="125">
        <f>ROUND(I250*Valores!$C$2,2)</f>
        <v>0</v>
      </c>
      <c r="K250" s="192">
        <v>0</v>
      </c>
      <c r="L250" s="125">
        <f>ROUND(K250*Valores!$C$2,2)</f>
        <v>0</v>
      </c>
      <c r="M250" s="125">
        <f>ROUND(IF($H$2=0,IF(AND(A250&lt;&gt;"13-930",A250&lt;&gt;"13-940"),(SUM(F250,H250,J250,L250,X250,T250,R250)*Valores!$C$4),0),0),2)</f>
        <v>17564.64</v>
      </c>
      <c r="N250" s="125">
        <f t="shared" si="30"/>
        <v>0</v>
      </c>
      <c r="O250" s="125">
        <f>Valores!$C$7*B250</f>
        <v>22157.28</v>
      </c>
      <c r="P250" s="125">
        <f>ROUND(IF(B250&lt;15,(Valores!$E$5*B250),Valores!$D$5),2)</f>
        <v>22267.92</v>
      </c>
      <c r="Q250" s="125">
        <v>0</v>
      </c>
      <c r="R250" s="125">
        <f>IF($F$4="NO",IF(Valores!$C$49*B250&gt;Valores!$F$46,Valores!$F$46,Valores!$C$49*B250),IF(Valores!$C$49*B250&gt;Valores!$F$46,Valores!$F$46,Valores!$C$49*B250)/2)</f>
        <v>11671.2</v>
      </c>
      <c r="S250" s="125">
        <f>Valores!$C$18*B250</f>
        <v>6968.76</v>
      </c>
      <c r="T250" s="125">
        <f t="shared" si="36"/>
        <v>6968.76</v>
      </c>
      <c r="U250" s="125">
        <v>0</v>
      </c>
      <c r="V250" s="125">
        <v>0</v>
      </c>
      <c r="W250" s="192">
        <v>0</v>
      </c>
      <c r="X250" s="125">
        <f>ROUND(W250*Valores!$C$2,2)</f>
        <v>0</v>
      </c>
      <c r="Y250" s="125">
        <v>0</v>
      </c>
      <c r="Z250" s="125">
        <f>IF(Valores!$C$97*B250&gt;Valores!$C$96,Valores!$C$96,Valores!$C$97*B250)</f>
        <v>21274.32</v>
      </c>
      <c r="AA250" s="125">
        <f>IF((Valores!$C$28)*B250&gt;Valores!$F$28,Valores!$F$28,(Valores!$C$28)*B250)</f>
        <v>547.4399999999999</v>
      </c>
      <c r="AB250" s="214">
        <v>0</v>
      </c>
      <c r="AC250" s="125">
        <f t="shared" si="31"/>
        <v>0</v>
      </c>
      <c r="AD250" s="125">
        <f>IF(Valores!$C$29*B250&gt;Valores!$F$29,Valores!$F$29,Valores!$C$29*B250)</f>
        <v>455.88</v>
      </c>
      <c r="AE250" s="192">
        <v>94</v>
      </c>
      <c r="AF250" s="125">
        <f>ROUND(AE250*Valores!$C$2,2)</f>
        <v>5118.3</v>
      </c>
      <c r="AG250" s="125">
        <f>IF($F$4="NO",IF(Valores!$D$63*'Escala Docente'!B250&gt;Valores!$F$63,Valores!$F$63,Valores!$D$63*'Escala Docente'!B250),IF(Valores!$D$63*'Escala Docente'!B250&gt;Valores!$F$63,Valores!$F$63,Valores!$D$63*'Escala Docente'!B250)/2)-0.02</f>
        <v>10411.779999999999</v>
      </c>
      <c r="AH250" s="125">
        <f t="shared" si="34"/>
        <v>170056.12</v>
      </c>
      <c r="AI250" s="125">
        <f>IF(Valores!$C$32*B250&gt;Valores!$F$32,Valores!$F$32,Valores!$C$32*B250)</f>
        <v>0</v>
      </c>
      <c r="AJ250" s="125">
        <f>IF(Valores!$C$90*B250&gt;Valores!$C$89,Valores!$C$89,Valores!$C$90*B250)</f>
        <v>0</v>
      </c>
      <c r="AK250" s="125">
        <f>IF(Valores!C$39*B250&gt;Valores!F$38,Valores!F$38,Valores!C$39*B250)</f>
        <v>0</v>
      </c>
      <c r="AL250" s="125">
        <f>IF($F$3="NO",0,IF(Valores!$C$62*B250&gt;Valores!$F$62,Valores!$F$62,Valores!$C$62*B250))</f>
        <v>136.2708</v>
      </c>
      <c r="AM250" s="125">
        <f t="shared" si="32"/>
        <v>136.2708</v>
      </c>
      <c r="AN250" s="125">
        <f>AH250*Valores!$C$71</f>
        <v>-18706.1732</v>
      </c>
      <c r="AO250" s="125">
        <f>AH250*-Valores!$C$72</f>
        <v>0</v>
      </c>
      <c r="AP250" s="125">
        <f>AH250*Valores!$C$73</f>
        <v>-7652.5253999999995</v>
      </c>
      <c r="AQ250" s="125">
        <f>Valores!$C$100</f>
        <v>-554.86</v>
      </c>
      <c r="AR250" s="125">
        <f>IF($F$5=0,Valores!$C$101,(Valores!$C$101+$F$5*(Valores!$C$101)))</f>
        <v>-852</v>
      </c>
      <c r="AS250" s="125">
        <f t="shared" si="35"/>
        <v>142426.8322</v>
      </c>
      <c r="AT250" s="125">
        <f t="shared" si="29"/>
        <v>-18706.1732</v>
      </c>
      <c r="AU250" s="125">
        <f>AH250*Valores!$C$74</f>
        <v>-4591.51524</v>
      </c>
      <c r="AV250" s="125">
        <f>AH250*Valores!$C$75</f>
        <v>-510.16836</v>
      </c>
      <c r="AW250" s="125">
        <f t="shared" si="33"/>
        <v>146384.53399999999</v>
      </c>
      <c r="AX250" s="126"/>
      <c r="AY250" s="126">
        <f t="shared" si="37"/>
        <v>12</v>
      </c>
      <c r="AZ250" s="123" t="s">
        <v>4</v>
      </c>
    </row>
    <row r="251" spans="1:52" s="110" customFormat="1" ht="11.25" customHeight="1">
      <c r="A251" s="123" t="s">
        <v>471</v>
      </c>
      <c r="B251" s="123">
        <v>13</v>
      </c>
      <c r="C251" s="126">
        <v>244</v>
      </c>
      <c r="D251" s="124" t="str">
        <f>CONCATENATE("Hora Cátedra Enseñanza Media ",B251," hs")</f>
        <v>Hora Cátedra Enseñanza Media 13 hs</v>
      </c>
      <c r="E251" s="192">
        <f t="shared" si="38"/>
        <v>1027</v>
      </c>
      <c r="F251" s="125">
        <f>ROUND(E251*Valores!$C$2,2)</f>
        <v>55920.15</v>
      </c>
      <c r="G251" s="192">
        <v>0</v>
      </c>
      <c r="H251" s="125">
        <f>ROUND(G251*Valores!$C$2,2)</f>
        <v>0</v>
      </c>
      <c r="I251" s="192">
        <v>0</v>
      </c>
      <c r="J251" s="125">
        <f>ROUND(I251*Valores!$C$2,2)</f>
        <v>0</v>
      </c>
      <c r="K251" s="192">
        <v>0</v>
      </c>
      <c r="L251" s="125">
        <f>ROUND(K251*Valores!$C$2,2)</f>
        <v>0</v>
      </c>
      <c r="M251" s="125">
        <f>ROUND(IF($H$2=0,IF(AND(A251&lt;&gt;"13-930",A251&lt;&gt;"13-940"),(SUM(F251,H251,J251,L251,X251,T251,R251)*Valores!$C$4),0),0),2)</f>
        <v>19028.36</v>
      </c>
      <c r="N251" s="125">
        <f t="shared" si="30"/>
        <v>0</v>
      </c>
      <c r="O251" s="125">
        <f>Valores!$C$7*B251</f>
        <v>24003.72</v>
      </c>
      <c r="P251" s="125">
        <f>ROUND(IF(B251&lt;15,(Valores!$E$5*B251),Valores!$D$5),2)</f>
        <v>24123.58</v>
      </c>
      <c r="Q251" s="125">
        <v>0</v>
      </c>
      <c r="R251" s="125">
        <f>IF($F$4="NO",IF(Valores!$C$49*B251&gt;Valores!$F$46,Valores!$F$46,Valores!$C$49*B251),IF(Valores!$C$49*B251&gt;Valores!$F$46,Valores!$F$46,Valores!$C$49*B251)/2)</f>
        <v>12643.800000000001</v>
      </c>
      <c r="S251" s="125">
        <f>Valores!$C$18*B251</f>
        <v>7549.49</v>
      </c>
      <c r="T251" s="125">
        <f t="shared" si="36"/>
        <v>7549.49</v>
      </c>
      <c r="U251" s="125">
        <v>0</v>
      </c>
      <c r="V251" s="125">
        <v>0</v>
      </c>
      <c r="W251" s="192">
        <v>0</v>
      </c>
      <c r="X251" s="125">
        <f>ROUND(W251*Valores!$C$2,2)</f>
        <v>0</v>
      </c>
      <c r="Y251" s="125">
        <v>0</v>
      </c>
      <c r="Z251" s="125">
        <f>IF(Valores!$C$97*B251&gt;Valores!$C$96,Valores!$C$96,Valores!$C$97*B251)</f>
        <v>23047.18</v>
      </c>
      <c r="AA251" s="125">
        <f>IF((Valores!$C$28)*B251&gt;Valores!$F$28,Valores!$F$28,(Valores!$C$28)*B251)</f>
        <v>593.06</v>
      </c>
      <c r="AB251" s="214">
        <v>0</v>
      </c>
      <c r="AC251" s="125">
        <f t="shared" si="31"/>
        <v>0</v>
      </c>
      <c r="AD251" s="125">
        <f>IF(Valores!$C$29*B251&gt;Valores!$F$29,Valores!$F$29,Valores!$C$29*B251)</f>
        <v>493.87</v>
      </c>
      <c r="AE251" s="192">
        <v>0</v>
      </c>
      <c r="AF251" s="125">
        <f>ROUND(AE251*Valores!$C$2,2)</f>
        <v>0</v>
      </c>
      <c r="AG251" s="125">
        <f>IF($F$4="NO",IF(Valores!$D$63*'Escala Docente'!B251&gt;Valores!$F$63,Valores!$F$63,Valores!$D$63*'Escala Docente'!B251),IF(Valores!$D$63*'Escala Docente'!B251&gt;Valores!$F$63,Valores!$F$63,Valores!$D$63*'Escala Docente'!B251)/2)-0.03</f>
        <v>11279.419999999998</v>
      </c>
      <c r="AH251" s="125">
        <f t="shared" si="34"/>
        <v>178682.63</v>
      </c>
      <c r="AI251" s="125">
        <f>IF(Valores!$C$32*B251&gt;Valores!$F$32,Valores!$F$32,Valores!$C$32*B251)</f>
        <v>0</v>
      </c>
      <c r="AJ251" s="125">
        <f>IF(Valores!$C$90*B251&gt;Valores!$C$89,Valores!$C$89,Valores!$C$90*B251)</f>
        <v>0</v>
      </c>
      <c r="AK251" s="125">
        <f>IF(Valores!C$39*B251&gt;Valores!F$38,Valores!F$38,Valores!C$39*B251)</f>
        <v>0</v>
      </c>
      <c r="AL251" s="125">
        <f>IF($F$3="NO",0,IF(Valores!$C$62*B251&gt;Valores!$F$62,Valores!$F$62,Valores!$C$62*B251))</f>
        <v>147.6267</v>
      </c>
      <c r="AM251" s="125">
        <f t="shared" si="32"/>
        <v>147.6267</v>
      </c>
      <c r="AN251" s="125">
        <f>AH251*Valores!$C$71</f>
        <v>-19655.0893</v>
      </c>
      <c r="AO251" s="125">
        <f>AH251*-Valores!$C$72</f>
        <v>0</v>
      </c>
      <c r="AP251" s="125">
        <f>AH251*Valores!$C$73</f>
        <v>-8040.71835</v>
      </c>
      <c r="AQ251" s="125">
        <f>Valores!$C$100</f>
        <v>-554.86</v>
      </c>
      <c r="AR251" s="125">
        <f>IF($F$5=0,Valores!$C$101,(Valores!$C$101+$F$5*(Valores!$C$101)))</f>
        <v>-852</v>
      </c>
      <c r="AS251" s="125">
        <f t="shared" si="35"/>
        <v>149727.58905</v>
      </c>
      <c r="AT251" s="125">
        <f t="shared" si="29"/>
        <v>-19655.0893</v>
      </c>
      <c r="AU251" s="125">
        <f>AH251*Valores!$C$74</f>
        <v>-4824.43101</v>
      </c>
      <c r="AV251" s="125">
        <f>AH251*Valores!$C$75</f>
        <v>-536.04789</v>
      </c>
      <c r="AW251" s="125">
        <f t="shared" si="33"/>
        <v>153814.6885</v>
      </c>
      <c r="AX251" s="126"/>
      <c r="AY251" s="126">
        <f t="shared" si="37"/>
        <v>13</v>
      </c>
      <c r="AZ251" s="123" t="s">
        <v>4</v>
      </c>
    </row>
    <row r="252" spans="1:52" s="110" customFormat="1" ht="11.25" customHeight="1">
      <c r="A252" s="123" t="s">
        <v>471</v>
      </c>
      <c r="B252" s="123">
        <v>13</v>
      </c>
      <c r="C252" s="126">
        <v>245</v>
      </c>
      <c r="D252" s="124" t="str">
        <f>CONCATENATE("Hora Cátedra Enseñanza Media ",B252," hs Esc Esp")</f>
        <v>Hora Cátedra Enseñanza Media 13 hs Esc Esp</v>
      </c>
      <c r="E252" s="192">
        <f t="shared" si="38"/>
        <v>1027</v>
      </c>
      <c r="F252" s="125">
        <f>ROUND(E252*Valores!$C$2,2)</f>
        <v>55920.15</v>
      </c>
      <c r="G252" s="192">
        <v>0</v>
      </c>
      <c r="H252" s="125">
        <f>ROUND(G252*Valores!$C$2,2)</f>
        <v>0</v>
      </c>
      <c r="I252" s="192">
        <v>0</v>
      </c>
      <c r="J252" s="125">
        <f>ROUND(I252*Valores!$C$2,2)</f>
        <v>0</v>
      </c>
      <c r="K252" s="192">
        <v>0</v>
      </c>
      <c r="L252" s="125">
        <f>ROUND(K252*Valores!$C$2,2)</f>
        <v>0</v>
      </c>
      <c r="M252" s="125">
        <f>ROUND(IF($H$2=0,IF(AND(A252&lt;&gt;"13-930",A252&lt;&gt;"13-940"),(SUM(F252,H252,J252,L252,X252,T252,R252)*Valores!$C$4),0),0),2)</f>
        <v>19028.36</v>
      </c>
      <c r="N252" s="125">
        <f t="shared" si="30"/>
        <v>0</v>
      </c>
      <c r="O252" s="125">
        <f>Valores!$C$7*B252</f>
        <v>24003.72</v>
      </c>
      <c r="P252" s="125">
        <f>ROUND(IF(B252&lt;15,(Valores!$E$5*B252),Valores!$D$5),2)</f>
        <v>24123.58</v>
      </c>
      <c r="Q252" s="125">
        <v>0</v>
      </c>
      <c r="R252" s="125">
        <f>IF($F$4="NO",IF(Valores!$C$49*B252&gt;Valores!$F$46,Valores!$F$46,Valores!$C$49*B252),IF(Valores!$C$49*B252&gt;Valores!$F$46,Valores!$F$46,Valores!$C$49*B252)/2)</f>
        <v>12643.800000000001</v>
      </c>
      <c r="S252" s="125">
        <f>Valores!$C$18*B252</f>
        <v>7549.49</v>
      </c>
      <c r="T252" s="125">
        <f t="shared" si="36"/>
        <v>7549.49</v>
      </c>
      <c r="U252" s="125">
        <v>0</v>
      </c>
      <c r="V252" s="125">
        <v>0</v>
      </c>
      <c r="W252" s="192">
        <v>0</v>
      </c>
      <c r="X252" s="125">
        <f>ROUND(W252*Valores!$C$2,2)</f>
        <v>0</v>
      </c>
      <c r="Y252" s="125">
        <v>0</v>
      </c>
      <c r="Z252" s="125">
        <f>IF(Valores!$C$97*B252&gt;Valores!$C$96,Valores!$C$96,Valores!$C$97*B252)</f>
        <v>23047.18</v>
      </c>
      <c r="AA252" s="125">
        <f>IF((Valores!$C$28)*B252&gt;Valores!$F$28,Valores!$F$28,(Valores!$C$28)*B252)</f>
        <v>593.06</v>
      </c>
      <c r="AB252" s="214">
        <v>0</v>
      </c>
      <c r="AC252" s="125">
        <f t="shared" si="31"/>
        <v>0</v>
      </c>
      <c r="AD252" s="125">
        <f>IF(Valores!$C$29*B252&gt;Valores!$F$29,Valores!$F$29,Valores!$C$29*B252)</f>
        <v>493.87</v>
      </c>
      <c r="AE252" s="192">
        <v>94</v>
      </c>
      <c r="AF252" s="125">
        <f>ROUND(AE252*Valores!$C$2,2)</f>
        <v>5118.3</v>
      </c>
      <c r="AG252" s="125">
        <f>IF($F$4="NO",IF(Valores!$D$63*'Escala Docente'!B252&gt;Valores!$F$63,Valores!$F$63,Valores!$D$63*'Escala Docente'!B252),IF(Valores!$D$63*'Escala Docente'!B252&gt;Valores!$F$63,Valores!$F$63,Valores!$D$63*'Escala Docente'!B252)/2)-0.03</f>
        <v>11279.419999999998</v>
      </c>
      <c r="AH252" s="125">
        <f t="shared" si="34"/>
        <v>183800.93</v>
      </c>
      <c r="AI252" s="125">
        <f>IF(Valores!$C$32*B252&gt;Valores!$F$32,Valores!$F$32,Valores!$C$32*B252)</f>
        <v>0</v>
      </c>
      <c r="AJ252" s="125">
        <f>IF(Valores!$C$90*B252&gt;Valores!$C$89,Valores!$C$89,Valores!$C$90*B252)</f>
        <v>0</v>
      </c>
      <c r="AK252" s="125">
        <f>IF(Valores!C$39*B252&gt;Valores!F$38,Valores!F$38,Valores!C$39*B252)</f>
        <v>0</v>
      </c>
      <c r="AL252" s="125">
        <f>IF($F$3="NO",0,IF(Valores!$C$62*B252&gt;Valores!$F$62,Valores!$F$62,Valores!$C$62*B252))</f>
        <v>147.6267</v>
      </c>
      <c r="AM252" s="125">
        <f t="shared" si="32"/>
        <v>147.6267</v>
      </c>
      <c r="AN252" s="125">
        <f>AH252*Valores!$C$71</f>
        <v>-20218.1023</v>
      </c>
      <c r="AO252" s="125">
        <f>AH252*-Valores!$C$72</f>
        <v>0</v>
      </c>
      <c r="AP252" s="125">
        <f>AH252*Valores!$C$73</f>
        <v>-8271.04185</v>
      </c>
      <c r="AQ252" s="125">
        <f>Valores!$C$100</f>
        <v>-554.86</v>
      </c>
      <c r="AR252" s="125">
        <f>IF($F$5=0,Valores!$C$101,(Valores!$C$101+$F$5*(Valores!$C$101)))</f>
        <v>-852</v>
      </c>
      <c r="AS252" s="125">
        <f t="shared" si="35"/>
        <v>154052.55255</v>
      </c>
      <c r="AT252" s="125">
        <f t="shared" si="29"/>
        <v>-20218.1023</v>
      </c>
      <c r="AU252" s="125">
        <f>AH252*Valores!$C$74</f>
        <v>-4962.62511</v>
      </c>
      <c r="AV252" s="125">
        <f>AH252*Valores!$C$75</f>
        <v>-551.40279</v>
      </c>
      <c r="AW252" s="125">
        <f t="shared" si="33"/>
        <v>158216.4265</v>
      </c>
      <c r="AX252" s="126"/>
      <c r="AY252" s="126">
        <f t="shared" si="37"/>
        <v>13</v>
      </c>
      <c r="AZ252" s="123" t="s">
        <v>4</v>
      </c>
    </row>
    <row r="253" spans="1:52" s="110" customFormat="1" ht="11.25" customHeight="1">
      <c r="A253" s="123" t="s">
        <v>471</v>
      </c>
      <c r="B253" s="123">
        <v>14</v>
      </c>
      <c r="C253" s="126">
        <v>246</v>
      </c>
      <c r="D253" s="124" t="str">
        <f>CONCATENATE("Hora Cátedra Enseñanza Media ",B253," hs")</f>
        <v>Hora Cátedra Enseñanza Media 14 hs</v>
      </c>
      <c r="E253" s="192">
        <f t="shared" si="38"/>
        <v>1106</v>
      </c>
      <c r="F253" s="125">
        <f>ROUND(E253*Valores!$C$2,2)</f>
        <v>60221.7</v>
      </c>
      <c r="G253" s="192">
        <v>0</v>
      </c>
      <c r="H253" s="125">
        <f>ROUND(G253*Valores!$C$2,2)</f>
        <v>0</v>
      </c>
      <c r="I253" s="192">
        <v>0</v>
      </c>
      <c r="J253" s="125">
        <f>ROUND(I253*Valores!$C$2,2)</f>
        <v>0</v>
      </c>
      <c r="K253" s="192">
        <v>0</v>
      </c>
      <c r="L253" s="125">
        <f>ROUND(K253*Valores!$C$2,2)</f>
        <v>0</v>
      </c>
      <c r="M253" s="125">
        <f>ROUND(IF($H$2=0,IF(AND(A253&lt;&gt;"13-930",A253&lt;&gt;"13-940"),(SUM(F253,H253,J253,L253,X253,T253,R253)*Valores!$C$4),0),0),2)</f>
        <v>20492.08</v>
      </c>
      <c r="N253" s="125">
        <f t="shared" si="30"/>
        <v>0</v>
      </c>
      <c r="O253" s="125">
        <f>Valores!$C$7*B253</f>
        <v>25850.16</v>
      </c>
      <c r="P253" s="125">
        <f>ROUND(IF(B253&lt;15,(Valores!$E$5*B253),Valores!$D$5),2)</f>
        <v>25979.24</v>
      </c>
      <c r="Q253" s="125">
        <v>0</v>
      </c>
      <c r="R253" s="125">
        <f>IF($F$4="NO",IF(Valores!$C$49*B253&gt;Valores!$F$46,Valores!$F$46,Valores!$C$49*B253),IF(Valores!$C$49*B253&gt;Valores!$F$46,Valores!$F$46,Valores!$C$49*B253)/2)</f>
        <v>13616.4</v>
      </c>
      <c r="S253" s="125">
        <f>Valores!$C$18*B253</f>
        <v>8130.22</v>
      </c>
      <c r="T253" s="125">
        <f t="shared" si="36"/>
        <v>8130.22</v>
      </c>
      <c r="U253" s="125">
        <v>0</v>
      </c>
      <c r="V253" s="125">
        <v>0</v>
      </c>
      <c r="W253" s="192">
        <v>0</v>
      </c>
      <c r="X253" s="125">
        <f>ROUND(W253*Valores!$C$2,2)</f>
        <v>0</v>
      </c>
      <c r="Y253" s="125">
        <v>0</v>
      </c>
      <c r="Z253" s="125">
        <f>IF(Valores!$C$97*B253&gt;Valores!$C$96,Valores!$C$96,Valores!$C$97*B253)</f>
        <v>24820.039999999997</v>
      </c>
      <c r="AA253" s="125">
        <f>IF((Valores!$C$28)*B253&gt;Valores!$F$28,Valores!$F$28,(Valores!$C$28)*B253)</f>
        <v>638.68</v>
      </c>
      <c r="AB253" s="214">
        <v>0</v>
      </c>
      <c r="AC253" s="125">
        <f t="shared" si="31"/>
        <v>0</v>
      </c>
      <c r="AD253" s="125">
        <f>IF(Valores!$C$29*B253&gt;Valores!$F$29,Valores!$F$29,Valores!$C$29*B253)</f>
        <v>531.86</v>
      </c>
      <c r="AE253" s="192">
        <v>0</v>
      </c>
      <c r="AF253" s="125">
        <f>ROUND(AE253*Valores!$C$2,2)</f>
        <v>0</v>
      </c>
      <c r="AG253" s="125">
        <f>IF($F$4="NO",IF(Valores!$D$63*'Escala Docente'!B253&gt;Valores!$F$63,Valores!$F$63,Valores!$D$63*'Escala Docente'!B253),IF(Valores!$D$63*'Escala Docente'!B253&gt;Valores!$F$63,Valores!$F$63,Valores!$D$63*'Escala Docente'!B253)/2)-0.03</f>
        <v>12147.07</v>
      </c>
      <c r="AH253" s="125">
        <f t="shared" si="34"/>
        <v>192427.44999999998</v>
      </c>
      <c r="AI253" s="125">
        <f>IF(Valores!$C$32*B253&gt;Valores!$F$32,Valores!$F$32,Valores!$C$32*B253)</f>
        <v>0</v>
      </c>
      <c r="AJ253" s="125">
        <f>IF(Valores!$C$90*B253&gt;Valores!$C$89,Valores!$C$89,Valores!$C$90*B253)</f>
        <v>0</v>
      </c>
      <c r="AK253" s="125">
        <f>IF(Valores!C$39*B253&gt;Valores!F$38,Valores!F$38,Valores!C$39*B253)</f>
        <v>0</v>
      </c>
      <c r="AL253" s="125">
        <f>IF($F$3="NO",0,IF(Valores!$C$62*B253&gt;Valores!$F$62,Valores!$F$62,Valores!$C$62*B253))</f>
        <v>158.9826</v>
      </c>
      <c r="AM253" s="125">
        <f t="shared" si="32"/>
        <v>158.9826</v>
      </c>
      <c r="AN253" s="125">
        <f>AH253*Valores!$C$71</f>
        <v>-21167.0195</v>
      </c>
      <c r="AO253" s="125">
        <f>AH253*-Valores!$C$72</f>
        <v>0</v>
      </c>
      <c r="AP253" s="125">
        <f>AH253*Valores!$C$73</f>
        <v>-8659.23525</v>
      </c>
      <c r="AQ253" s="125">
        <f>Valores!$C$100</f>
        <v>-554.86</v>
      </c>
      <c r="AR253" s="125">
        <f>IF($F$5=0,Valores!$C$101,(Valores!$C$101+$F$5*(Valores!$C$101)))</f>
        <v>-852</v>
      </c>
      <c r="AS253" s="125">
        <f t="shared" si="35"/>
        <v>161353.31785</v>
      </c>
      <c r="AT253" s="125">
        <f t="shared" si="29"/>
        <v>-21167.0195</v>
      </c>
      <c r="AU253" s="125">
        <f>AH253*Valores!$C$74</f>
        <v>-5195.541149999999</v>
      </c>
      <c r="AV253" s="125">
        <f>AH253*Valores!$C$75</f>
        <v>-577.28235</v>
      </c>
      <c r="AW253" s="125">
        <f t="shared" si="33"/>
        <v>165646.58959999998</v>
      </c>
      <c r="AX253" s="126"/>
      <c r="AY253" s="126">
        <f t="shared" si="37"/>
        <v>14</v>
      </c>
      <c r="AZ253" s="123" t="s">
        <v>4</v>
      </c>
    </row>
    <row r="254" spans="1:52" s="110" customFormat="1" ht="11.25" customHeight="1">
      <c r="A254" s="123" t="s">
        <v>471</v>
      </c>
      <c r="B254" s="123">
        <v>14</v>
      </c>
      <c r="C254" s="126">
        <v>247</v>
      </c>
      <c r="D254" s="124" t="str">
        <f>CONCATENATE("Hora Cátedra Enseñanza Media ",B254," hs Esc Esp")</f>
        <v>Hora Cátedra Enseñanza Media 14 hs Esc Esp</v>
      </c>
      <c r="E254" s="192">
        <f t="shared" si="38"/>
        <v>1106</v>
      </c>
      <c r="F254" s="125">
        <f>ROUND(E254*Valores!$C$2,2)</f>
        <v>60221.7</v>
      </c>
      <c r="G254" s="192">
        <v>0</v>
      </c>
      <c r="H254" s="125">
        <f>ROUND(G254*Valores!$C$2,2)</f>
        <v>0</v>
      </c>
      <c r="I254" s="192">
        <v>0</v>
      </c>
      <c r="J254" s="125">
        <f>ROUND(I254*Valores!$C$2,2)</f>
        <v>0</v>
      </c>
      <c r="K254" s="192">
        <v>0</v>
      </c>
      <c r="L254" s="125">
        <f>ROUND(K254*Valores!$C$2,2)</f>
        <v>0</v>
      </c>
      <c r="M254" s="125">
        <f>ROUND(IF($H$2=0,IF(AND(A254&lt;&gt;"13-930",A254&lt;&gt;"13-940"),(SUM(F254,H254,J254,L254,X254,T254,R254)*Valores!$C$4),0),0),2)</f>
        <v>20492.08</v>
      </c>
      <c r="N254" s="125">
        <f t="shared" si="30"/>
        <v>0</v>
      </c>
      <c r="O254" s="125">
        <f>Valores!$C$7*B254</f>
        <v>25850.16</v>
      </c>
      <c r="P254" s="125">
        <f>ROUND(IF(B254&lt;15,(Valores!$E$5*B254),Valores!$D$5),2)</f>
        <v>25979.24</v>
      </c>
      <c r="Q254" s="125">
        <v>0</v>
      </c>
      <c r="R254" s="125">
        <f>IF($F$4="NO",IF(Valores!$C$49*B254&gt;Valores!$F$46,Valores!$F$46,Valores!$C$49*B254),IF(Valores!$C$49*B254&gt;Valores!$F$46,Valores!$F$46,Valores!$C$49*B254)/2)</f>
        <v>13616.4</v>
      </c>
      <c r="S254" s="125">
        <f>Valores!$C$18*B254</f>
        <v>8130.22</v>
      </c>
      <c r="T254" s="125">
        <f t="shared" si="36"/>
        <v>8130.22</v>
      </c>
      <c r="U254" s="125">
        <v>0</v>
      </c>
      <c r="V254" s="125">
        <v>0</v>
      </c>
      <c r="W254" s="192">
        <v>0</v>
      </c>
      <c r="X254" s="125">
        <f>ROUND(W254*Valores!$C$2,2)</f>
        <v>0</v>
      </c>
      <c r="Y254" s="125">
        <v>0</v>
      </c>
      <c r="Z254" s="125">
        <f>IF(Valores!$C$97*B254&gt;Valores!$C$96,Valores!$C$96,Valores!$C$97*B254)</f>
        <v>24820.039999999997</v>
      </c>
      <c r="AA254" s="125">
        <f>IF((Valores!$C$28)*B254&gt;Valores!$F$28,Valores!$F$28,(Valores!$C$28)*B254)</f>
        <v>638.68</v>
      </c>
      <c r="AB254" s="214">
        <v>0</v>
      </c>
      <c r="AC254" s="125">
        <f t="shared" si="31"/>
        <v>0</v>
      </c>
      <c r="AD254" s="125">
        <f>IF(Valores!$C$29*B254&gt;Valores!$F$29,Valores!$F$29,Valores!$C$29*B254)</f>
        <v>531.86</v>
      </c>
      <c r="AE254" s="192">
        <v>94</v>
      </c>
      <c r="AF254" s="125">
        <f>ROUND(AE254*Valores!$C$2,2)</f>
        <v>5118.3</v>
      </c>
      <c r="AG254" s="125">
        <f>IF($F$4="NO",IF(Valores!$D$63*'Escala Docente'!B254&gt;Valores!$F$63,Valores!$F$63,Valores!$D$63*'Escala Docente'!B254),IF(Valores!$D$63*'Escala Docente'!B254&gt;Valores!$F$63,Valores!$F$63,Valores!$D$63*'Escala Docente'!B254)/2)-0.03</f>
        <v>12147.07</v>
      </c>
      <c r="AH254" s="125">
        <f t="shared" si="34"/>
        <v>197545.74999999997</v>
      </c>
      <c r="AI254" s="125">
        <f>IF(Valores!$C$32*B254&gt;Valores!$F$32,Valores!$F$32,Valores!$C$32*B254)</f>
        <v>0</v>
      </c>
      <c r="AJ254" s="125">
        <f>IF(Valores!$C$90*B254&gt;Valores!$C$89,Valores!$C$89,Valores!$C$90*B254)</f>
        <v>0</v>
      </c>
      <c r="AK254" s="125">
        <f>IF(Valores!C$39*B254&gt;Valores!F$38,Valores!F$38,Valores!C$39*B254)</f>
        <v>0</v>
      </c>
      <c r="AL254" s="125">
        <f>IF($F$3="NO",0,IF(Valores!$C$62*B254&gt;Valores!$F$62,Valores!$F$62,Valores!$C$62*B254))</f>
        <v>158.9826</v>
      </c>
      <c r="AM254" s="125">
        <f t="shared" si="32"/>
        <v>158.9826</v>
      </c>
      <c r="AN254" s="125">
        <f>AH254*Valores!$C$71</f>
        <v>-21730.032499999998</v>
      </c>
      <c r="AO254" s="125">
        <f>AH254*-Valores!$C$72</f>
        <v>0</v>
      </c>
      <c r="AP254" s="125">
        <f>AH254*Valores!$C$73</f>
        <v>-8889.558749999998</v>
      </c>
      <c r="AQ254" s="125">
        <f>Valores!$C$100</f>
        <v>-554.86</v>
      </c>
      <c r="AR254" s="125">
        <f>IF($F$5=0,Valores!$C$101,(Valores!$C$101+$F$5*(Valores!$C$101)))</f>
        <v>-852</v>
      </c>
      <c r="AS254" s="125">
        <f t="shared" si="35"/>
        <v>165678.28134999998</v>
      </c>
      <c r="AT254" s="125">
        <f t="shared" si="29"/>
        <v>-21730.032499999998</v>
      </c>
      <c r="AU254" s="125">
        <f>AH254*Valores!$C$74</f>
        <v>-5333.735249999999</v>
      </c>
      <c r="AV254" s="125">
        <f>AH254*Valores!$C$75</f>
        <v>-592.6372499999999</v>
      </c>
      <c r="AW254" s="125">
        <f t="shared" si="33"/>
        <v>170048.32759999996</v>
      </c>
      <c r="AX254" s="126"/>
      <c r="AY254" s="126">
        <f t="shared" si="37"/>
        <v>14</v>
      </c>
      <c r="AZ254" s="123" t="s">
        <v>4</v>
      </c>
    </row>
    <row r="255" spans="1:52" s="110" customFormat="1" ht="11.25" customHeight="1">
      <c r="A255" s="123" t="s">
        <v>471</v>
      </c>
      <c r="B255" s="123">
        <v>15</v>
      </c>
      <c r="C255" s="126">
        <v>248</v>
      </c>
      <c r="D255" s="124" t="str">
        <f>CONCATENATE("Hora Cátedra Enseñanza Media ",B255," hs")</f>
        <v>Hora Cátedra Enseñanza Media 15 hs</v>
      </c>
      <c r="E255" s="192">
        <f t="shared" si="38"/>
        <v>1185</v>
      </c>
      <c r="F255" s="125">
        <f>ROUND(E255*Valores!$C$2,2)</f>
        <v>64523.25</v>
      </c>
      <c r="G255" s="192">
        <v>0</v>
      </c>
      <c r="H255" s="125">
        <f>ROUND(G255*Valores!$C$2,2)</f>
        <v>0</v>
      </c>
      <c r="I255" s="192">
        <v>0</v>
      </c>
      <c r="J255" s="125">
        <f>ROUND(I255*Valores!$C$2,2)</f>
        <v>0</v>
      </c>
      <c r="K255" s="192">
        <v>0</v>
      </c>
      <c r="L255" s="125">
        <f>ROUND(K255*Valores!$C$2,2)</f>
        <v>0</v>
      </c>
      <c r="M255" s="125">
        <f>ROUND(IF($H$2=0,IF(AND(A255&lt;&gt;"13-930",A255&lt;&gt;"13-940"),(SUM(F255,H255,J255,L255,X255,T255,R255)*Valores!$C$4),0),0),2)</f>
        <v>21955.8</v>
      </c>
      <c r="N255" s="125">
        <f t="shared" si="30"/>
        <v>0</v>
      </c>
      <c r="O255" s="125">
        <f>Valores!$C$7*B255</f>
        <v>27696.600000000002</v>
      </c>
      <c r="P255" s="125">
        <f>ROUND(IF(B255&lt;15,(Valores!$E$5*B255),Valores!$D$5),2)</f>
        <v>27834.84</v>
      </c>
      <c r="Q255" s="125">
        <v>0</v>
      </c>
      <c r="R255" s="125">
        <f>IF($F$4="NO",IF(Valores!$C$49*B255&gt;Valores!$F$46,Valores!$F$46,Valores!$C$49*B255),IF(Valores!$C$49*B255&gt;Valores!$F$46,Valores!$F$46,Valores!$C$49*B255)/2)</f>
        <v>14589</v>
      </c>
      <c r="S255" s="125">
        <f>Valores!$C$18*B255</f>
        <v>8710.95</v>
      </c>
      <c r="T255" s="125">
        <f t="shared" si="36"/>
        <v>8710.95</v>
      </c>
      <c r="U255" s="125">
        <v>0</v>
      </c>
      <c r="V255" s="125">
        <v>0</v>
      </c>
      <c r="W255" s="192">
        <v>0</v>
      </c>
      <c r="X255" s="125">
        <f>ROUND(W255*Valores!$C$2,2)</f>
        <v>0</v>
      </c>
      <c r="Y255" s="125">
        <v>0</v>
      </c>
      <c r="Z255" s="125">
        <f>IF(Valores!$C$97*B255&gt;Valores!$C$96,Valores!$C$96,Valores!$C$97*B255)</f>
        <v>26592.899999999998</v>
      </c>
      <c r="AA255" s="125">
        <f>IF((Valores!$C$28)*B255&gt;Valores!$F$28,Valores!$F$28,(Valores!$C$28)*B255)</f>
        <v>684.3</v>
      </c>
      <c r="AB255" s="214">
        <v>0</v>
      </c>
      <c r="AC255" s="125">
        <f t="shared" si="31"/>
        <v>0</v>
      </c>
      <c r="AD255" s="125">
        <f>IF(Valores!$C$29*B255&gt;Valores!$F$29,Valores!$F$29,Valores!$C$29*B255)</f>
        <v>569.85</v>
      </c>
      <c r="AE255" s="192">
        <v>0</v>
      </c>
      <c r="AF255" s="125">
        <f>ROUND(AE255*Valores!$C$2,2)</f>
        <v>0</v>
      </c>
      <c r="AG255" s="125">
        <f>IF($F$4="NO",IF(Valores!$D$63*'Escala Docente'!B255&gt;Valores!$F$63,Valores!$F$63,Valores!$D$63*'Escala Docente'!B255),IF(Valores!$D$63*'Escala Docente'!B255&gt;Valores!$F$63,Valores!$F$63,Valores!$D$63*'Escala Docente'!B255)/2)-0.03</f>
        <v>13014.72</v>
      </c>
      <c r="AH255" s="125">
        <f t="shared" si="34"/>
        <v>206172.21000000002</v>
      </c>
      <c r="AI255" s="125">
        <f>IF(Valores!$C$32*B255&gt;Valores!$F$32,Valores!$F$32,Valores!$C$32*B255)</f>
        <v>0</v>
      </c>
      <c r="AJ255" s="125">
        <f>IF(Valores!$C$90*B255&gt;Valores!$C$89,Valores!$C$89,Valores!$C$90*B255)</f>
        <v>0</v>
      </c>
      <c r="AK255" s="125">
        <f>IF(Valores!C$39*B255&gt;Valores!F$38,Valores!F$38,Valores!C$39*B255)</f>
        <v>0</v>
      </c>
      <c r="AL255" s="125">
        <f>IF($F$3="NO",0,IF(Valores!$C$62*B255&gt;Valores!$F$62,Valores!$F$62,Valores!$C$62*B255))</f>
        <v>170.3385</v>
      </c>
      <c r="AM255" s="125">
        <f t="shared" si="32"/>
        <v>170.3385</v>
      </c>
      <c r="AN255" s="125">
        <f>AH255*Valores!$C$71</f>
        <v>-22678.943100000004</v>
      </c>
      <c r="AO255" s="125">
        <f>AH255*-Valores!$C$72</f>
        <v>0</v>
      </c>
      <c r="AP255" s="125">
        <f>AH255*Valores!$C$73</f>
        <v>-9277.749450000001</v>
      </c>
      <c r="AQ255" s="125">
        <f>Valores!$C$100</f>
        <v>-554.86</v>
      </c>
      <c r="AR255" s="125">
        <f>IF($F$5=0,Valores!$C$101,(Valores!$C$101+$F$5*(Valores!$C$101)))</f>
        <v>-852</v>
      </c>
      <c r="AS255" s="125">
        <f t="shared" si="35"/>
        <v>172978.99595</v>
      </c>
      <c r="AT255" s="125">
        <f t="shared" si="29"/>
        <v>-22678.943100000004</v>
      </c>
      <c r="AU255" s="125">
        <f>AH255*Valores!$C$74</f>
        <v>-5566.649670000001</v>
      </c>
      <c r="AV255" s="125">
        <f>AH255*Valores!$C$75</f>
        <v>-618.5166300000001</v>
      </c>
      <c r="AW255" s="125">
        <f t="shared" si="33"/>
        <v>177478.43910000002</v>
      </c>
      <c r="AX255" s="126"/>
      <c r="AY255" s="126">
        <f aca="true" t="shared" si="39" ref="AY255:AY286">1*B255</f>
        <v>15</v>
      </c>
      <c r="AZ255" s="123" t="s">
        <v>4</v>
      </c>
    </row>
    <row r="256" spans="1:52" s="110" customFormat="1" ht="11.25" customHeight="1">
      <c r="A256" s="123" t="s">
        <v>471</v>
      </c>
      <c r="B256" s="123">
        <v>15</v>
      </c>
      <c r="C256" s="126">
        <v>249</v>
      </c>
      <c r="D256" s="124" t="str">
        <f>CONCATENATE("Hora Cátedra Enseñanza Media ",B256," hs Esc Esp")</f>
        <v>Hora Cátedra Enseñanza Media 15 hs Esc Esp</v>
      </c>
      <c r="E256" s="192">
        <f t="shared" si="38"/>
        <v>1185</v>
      </c>
      <c r="F256" s="125">
        <f>ROUND(E256*Valores!$C$2,2)</f>
        <v>64523.25</v>
      </c>
      <c r="G256" s="192">
        <v>0</v>
      </c>
      <c r="H256" s="125">
        <f>ROUND(G256*Valores!$C$2,2)</f>
        <v>0</v>
      </c>
      <c r="I256" s="192">
        <v>0</v>
      </c>
      <c r="J256" s="125">
        <f>ROUND(I256*Valores!$C$2,2)</f>
        <v>0</v>
      </c>
      <c r="K256" s="192">
        <v>0</v>
      </c>
      <c r="L256" s="125">
        <f>ROUND(K256*Valores!$C$2,2)</f>
        <v>0</v>
      </c>
      <c r="M256" s="125">
        <f>ROUND(IF($H$2=0,IF(AND(A256&lt;&gt;"13-930",A256&lt;&gt;"13-940"),(SUM(F256,H256,J256,L256,X256,T256,R256)*Valores!$C$4),0),0),2)</f>
        <v>21955.8</v>
      </c>
      <c r="N256" s="125">
        <f t="shared" si="30"/>
        <v>0</v>
      </c>
      <c r="O256" s="125">
        <f>Valores!$C$7*B256</f>
        <v>27696.600000000002</v>
      </c>
      <c r="P256" s="125">
        <f>ROUND(IF(B256&lt;15,(Valores!$E$5*B256),Valores!$D$5),2)</f>
        <v>27834.84</v>
      </c>
      <c r="Q256" s="125">
        <v>0</v>
      </c>
      <c r="R256" s="125">
        <f>IF($F$4="NO",IF(Valores!$C$49*B256&gt;Valores!$F$46,Valores!$F$46,Valores!$C$49*B256),IF(Valores!$C$49*B256&gt;Valores!$F$46,Valores!$F$46,Valores!$C$49*B256)/2)</f>
        <v>14589</v>
      </c>
      <c r="S256" s="125">
        <f>Valores!$C$18*B256</f>
        <v>8710.95</v>
      </c>
      <c r="T256" s="125">
        <f t="shared" si="36"/>
        <v>8710.95</v>
      </c>
      <c r="U256" s="125">
        <v>0</v>
      </c>
      <c r="V256" s="125">
        <v>0</v>
      </c>
      <c r="W256" s="192">
        <v>0</v>
      </c>
      <c r="X256" s="125">
        <f>ROUND(W256*Valores!$C$2,2)</f>
        <v>0</v>
      </c>
      <c r="Y256" s="125">
        <v>0</v>
      </c>
      <c r="Z256" s="125">
        <f>IF(Valores!$C$97*B256&gt;Valores!$C$96,Valores!$C$96,Valores!$C$97*B256)</f>
        <v>26592.899999999998</v>
      </c>
      <c r="AA256" s="125">
        <f>IF((Valores!$C$28)*B256&gt;Valores!$F$28,Valores!$F$28,(Valores!$C$28)*B256)</f>
        <v>684.3</v>
      </c>
      <c r="AB256" s="214">
        <v>0</v>
      </c>
      <c r="AC256" s="125">
        <f t="shared" si="31"/>
        <v>0</v>
      </c>
      <c r="AD256" s="125">
        <f>IF(Valores!$C$29*B256&gt;Valores!$F$29,Valores!$F$29,Valores!$C$29*B256)</f>
        <v>569.85</v>
      </c>
      <c r="AE256" s="192">
        <v>94</v>
      </c>
      <c r="AF256" s="125">
        <f>ROUND(AE256*Valores!$C$2,2)</f>
        <v>5118.3</v>
      </c>
      <c r="AG256" s="125">
        <f>IF($F$4="NO",IF(Valores!$D$63*'Escala Docente'!B256&gt;Valores!$F$63,Valores!$F$63,Valores!$D$63*'Escala Docente'!B256),IF(Valores!$D$63*'Escala Docente'!B256&gt;Valores!$F$63,Valores!$F$63,Valores!$D$63*'Escala Docente'!B256)/2)-0.03</f>
        <v>13014.72</v>
      </c>
      <c r="AH256" s="125">
        <f t="shared" si="34"/>
        <v>211290.51</v>
      </c>
      <c r="AI256" s="125">
        <f>IF(Valores!$C$32*B256&gt;Valores!$F$32,Valores!$F$32,Valores!$C$32*B256)</f>
        <v>0</v>
      </c>
      <c r="AJ256" s="125">
        <f>IF(Valores!$C$90*B256&gt;Valores!$C$89,Valores!$C$89,Valores!$C$90*B256)</f>
        <v>0</v>
      </c>
      <c r="AK256" s="125">
        <f>IF(Valores!C$39*B256&gt;Valores!F$38,Valores!F$38,Valores!C$39*B256)</f>
        <v>0</v>
      </c>
      <c r="AL256" s="125">
        <f>IF($F$3="NO",0,IF(Valores!$C$62*B256&gt;Valores!$F$62,Valores!$F$62,Valores!$C$62*B256))</f>
        <v>170.3385</v>
      </c>
      <c r="AM256" s="125">
        <f t="shared" si="32"/>
        <v>170.3385</v>
      </c>
      <c r="AN256" s="125">
        <f>AH256*Valores!$C$71</f>
        <v>-23241.9561</v>
      </c>
      <c r="AO256" s="125">
        <f>AH256*-Valores!$C$72</f>
        <v>0</v>
      </c>
      <c r="AP256" s="125">
        <f>AH256*Valores!$C$73</f>
        <v>-9508.07295</v>
      </c>
      <c r="AQ256" s="125">
        <f>Valores!$C$100</f>
        <v>-554.86</v>
      </c>
      <c r="AR256" s="125">
        <f>IF($F$5=0,Valores!$C$101,(Valores!$C$101+$F$5*(Valores!$C$101)))</f>
        <v>-852</v>
      </c>
      <c r="AS256" s="125">
        <f t="shared" si="35"/>
        <v>177303.95945000002</v>
      </c>
      <c r="AT256" s="125">
        <f t="shared" si="29"/>
        <v>-23241.9561</v>
      </c>
      <c r="AU256" s="125">
        <f>AH256*Valores!$C$74</f>
        <v>-5704.84377</v>
      </c>
      <c r="AV256" s="125">
        <f>AH256*Valores!$C$75</f>
        <v>-633.87153</v>
      </c>
      <c r="AW256" s="125">
        <f t="shared" si="33"/>
        <v>181880.17710000003</v>
      </c>
      <c r="AX256" s="126"/>
      <c r="AY256" s="126">
        <f t="shared" si="39"/>
        <v>15</v>
      </c>
      <c r="AZ256" s="123" t="s">
        <v>4</v>
      </c>
    </row>
    <row r="257" spans="1:52" s="110" customFormat="1" ht="11.25" customHeight="1">
      <c r="A257" s="123" t="s">
        <v>471</v>
      </c>
      <c r="B257" s="123">
        <v>16</v>
      </c>
      <c r="C257" s="126">
        <v>250</v>
      </c>
      <c r="D257" s="124" t="str">
        <f>CONCATENATE("Hora Cátedra Enseñanza Media ",B257," hs")</f>
        <v>Hora Cátedra Enseñanza Media 16 hs</v>
      </c>
      <c r="E257" s="192">
        <f t="shared" si="38"/>
        <v>1264</v>
      </c>
      <c r="F257" s="125">
        <f>ROUND(E257*Valores!$C$2,2)</f>
        <v>68824.8</v>
      </c>
      <c r="G257" s="192">
        <v>0</v>
      </c>
      <c r="H257" s="125">
        <f>ROUND(G257*Valores!$C$2,2)</f>
        <v>0</v>
      </c>
      <c r="I257" s="192">
        <v>0</v>
      </c>
      <c r="J257" s="125">
        <f>ROUND(I257*Valores!$C$2,2)</f>
        <v>0</v>
      </c>
      <c r="K257" s="192">
        <v>0</v>
      </c>
      <c r="L257" s="125">
        <f>ROUND(K257*Valores!$C$2,2)</f>
        <v>0</v>
      </c>
      <c r="M257" s="125">
        <f>ROUND(IF($H$2=0,IF(AND(A257&lt;&gt;"13-930",A257&lt;&gt;"13-940"),(SUM(F257,H257,J257,L257,X257,T257,R257)*Valores!$C$4),0),0),2)</f>
        <v>23419.52</v>
      </c>
      <c r="N257" s="125">
        <f t="shared" si="30"/>
        <v>0</v>
      </c>
      <c r="O257" s="125">
        <f>Valores!$C$7*B257</f>
        <v>29543.04</v>
      </c>
      <c r="P257" s="125">
        <f>ROUND(IF(B257&lt;15,(Valores!$E$5*B257),Valores!$D$5),2)</f>
        <v>27834.84</v>
      </c>
      <c r="Q257" s="125">
        <v>0</v>
      </c>
      <c r="R257" s="125">
        <f>IF($F$4="NO",IF(Valores!$C$49*B257&gt;Valores!$F$46,Valores!$F$46,Valores!$C$49*B257),IF(Valores!$C$49*B257&gt;Valores!$F$46,Valores!$F$46,Valores!$C$49*B257)/2)</f>
        <v>15561.6</v>
      </c>
      <c r="S257" s="125">
        <f>Valores!$C$18*B257</f>
        <v>9291.68</v>
      </c>
      <c r="T257" s="125">
        <f t="shared" si="36"/>
        <v>9291.68</v>
      </c>
      <c r="U257" s="125">
        <v>0</v>
      </c>
      <c r="V257" s="125">
        <v>0</v>
      </c>
      <c r="W257" s="192">
        <v>0</v>
      </c>
      <c r="X257" s="125">
        <f>ROUND(W257*Valores!$C$2,2)</f>
        <v>0</v>
      </c>
      <c r="Y257" s="125">
        <v>0</v>
      </c>
      <c r="Z257" s="125">
        <f>IF(Valores!$C$97*B257&gt;Valores!$C$96,Valores!$C$96,Valores!$C$97*B257)</f>
        <v>28365.76</v>
      </c>
      <c r="AA257" s="125">
        <f>IF((Valores!$C$28)*B257&gt;Valores!$F$28,Valores!$F$28,(Valores!$C$28)*B257)</f>
        <v>729.92</v>
      </c>
      <c r="AB257" s="214">
        <v>0</v>
      </c>
      <c r="AC257" s="125">
        <f t="shared" si="31"/>
        <v>0</v>
      </c>
      <c r="AD257" s="125">
        <f>IF(Valores!$C$29*B257&gt;Valores!$F$29,Valores!$F$29,Valores!$C$29*B257)</f>
        <v>607.84</v>
      </c>
      <c r="AE257" s="192">
        <v>0</v>
      </c>
      <c r="AF257" s="125">
        <f>ROUND(AE257*Valores!$C$2,2)</f>
        <v>0</v>
      </c>
      <c r="AG257" s="125">
        <f>IF($F$4="NO",IF(Valores!$D$63*'Escala Docente'!B257&gt;Valores!$F$63,Valores!$F$63,Valores!$D$63*'Escala Docente'!B257),IF(Valores!$D$63*'Escala Docente'!B257&gt;Valores!$F$63,Valores!$F$63,Valores!$D$63*'Escala Docente'!B257)/2)-0.03</f>
        <v>13882.369999999999</v>
      </c>
      <c r="AH257" s="125">
        <f t="shared" si="34"/>
        <v>218061.37000000002</v>
      </c>
      <c r="AI257" s="125">
        <f>IF(Valores!$C$32*B257&gt;Valores!$F$32,Valores!$F$32,Valores!$C$32*B257)</f>
        <v>0</v>
      </c>
      <c r="AJ257" s="125">
        <f>IF(Valores!$C$90*B257&gt;Valores!$C$89,Valores!$C$89,Valores!$C$90*B257)</f>
        <v>0</v>
      </c>
      <c r="AK257" s="125">
        <f>IF(Valores!C$39*B257&gt;Valores!F$38,Valores!F$38,Valores!C$39*B257)</f>
        <v>0</v>
      </c>
      <c r="AL257" s="125">
        <f>IF($F$3="NO",0,IF(Valores!$C$62*B257&gt;Valores!$F$62,Valores!$F$62,Valores!$C$62*B257))</f>
        <v>181.6944</v>
      </c>
      <c r="AM257" s="125">
        <f t="shared" si="32"/>
        <v>181.6944</v>
      </c>
      <c r="AN257" s="125">
        <f>AH257*Valores!$C$71</f>
        <v>-23986.750700000004</v>
      </c>
      <c r="AO257" s="125">
        <f>AH257*-Valores!$C$72</f>
        <v>0</v>
      </c>
      <c r="AP257" s="125">
        <f>AH257*Valores!$C$73</f>
        <v>-9812.76165</v>
      </c>
      <c r="AQ257" s="125">
        <f>Valores!$C$100</f>
        <v>-554.86</v>
      </c>
      <c r="AR257" s="125">
        <f>IF($F$5=0,Valores!$C$101,(Valores!$C$101+$F$5*(Valores!$C$101)))</f>
        <v>-852</v>
      </c>
      <c r="AS257" s="125">
        <f t="shared" si="35"/>
        <v>183036.69205</v>
      </c>
      <c r="AT257" s="125">
        <f t="shared" si="29"/>
        <v>-23986.750700000004</v>
      </c>
      <c r="AU257" s="125">
        <f>AH257*Valores!$C$74</f>
        <v>-5887.65699</v>
      </c>
      <c r="AV257" s="125">
        <f>AH257*Valores!$C$75</f>
        <v>-654.18411</v>
      </c>
      <c r="AW257" s="125">
        <f t="shared" si="33"/>
        <v>187714.47260000004</v>
      </c>
      <c r="AX257" s="126"/>
      <c r="AY257" s="126">
        <f t="shared" si="39"/>
        <v>16</v>
      </c>
      <c r="AZ257" s="123" t="s">
        <v>4</v>
      </c>
    </row>
    <row r="258" spans="1:52" s="110" customFormat="1" ht="11.25" customHeight="1">
      <c r="A258" s="123" t="s">
        <v>471</v>
      </c>
      <c r="B258" s="123">
        <v>16</v>
      </c>
      <c r="C258" s="126">
        <v>251</v>
      </c>
      <c r="D258" s="124" t="str">
        <f>CONCATENATE("Hora Cátedra Enseñanza Media ",B258," hs Esc Esp")</f>
        <v>Hora Cátedra Enseñanza Media 16 hs Esc Esp</v>
      </c>
      <c r="E258" s="192">
        <f t="shared" si="38"/>
        <v>1264</v>
      </c>
      <c r="F258" s="125">
        <f>ROUND(E258*Valores!$C$2,2)</f>
        <v>68824.8</v>
      </c>
      <c r="G258" s="192">
        <v>0</v>
      </c>
      <c r="H258" s="125">
        <f>ROUND(G258*Valores!$C$2,2)</f>
        <v>0</v>
      </c>
      <c r="I258" s="192">
        <v>0</v>
      </c>
      <c r="J258" s="125">
        <f>ROUND(I258*Valores!$C$2,2)</f>
        <v>0</v>
      </c>
      <c r="K258" s="192">
        <v>0</v>
      </c>
      <c r="L258" s="125">
        <f>ROUND(K258*Valores!$C$2,2)</f>
        <v>0</v>
      </c>
      <c r="M258" s="125">
        <f>ROUND(IF($H$2=0,IF(AND(A258&lt;&gt;"13-930",A258&lt;&gt;"13-940"),(SUM(F258,H258,J258,L258,X258,T258,R258)*Valores!$C$4),0),0),2)</f>
        <v>23419.52</v>
      </c>
      <c r="N258" s="125">
        <f t="shared" si="30"/>
        <v>0</v>
      </c>
      <c r="O258" s="125">
        <f>Valores!$C$7*B258</f>
        <v>29543.04</v>
      </c>
      <c r="P258" s="125">
        <f>ROUND(IF(B258&lt;15,(Valores!$E$5*B258),Valores!$D$5),2)</f>
        <v>27834.84</v>
      </c>
      <c r="Q258" s="125">
        <v>0</v>
      </c>
      <c r="R258" s="125">
        <f>IF($F$4="NO",IF(Valores!$C$49*B258&gt;Valores!$F$46,Valores!$F$46,Valores!$C$49*B258),IF(Valores!$C$49*B258&gt;Valores!$F$46,Valores!$F$46,Valores!$C$49*B258)/2)</f>
        <v>15561.6</v>
      </c>
      <c r="S258" s="125">
        <f>Valores!$C$18*B258</f>
        <v>9291.68</v>
      </c>
      <c r="T258" s="125">
        <f t="shared" si="36"/>
        <v>9291.68</v>
      </c>
      <c r="U258" s="125">
        <v>0</v>
      </c>
      <c r="V258" s="125">
        <v>0</v>
      </c>
      <c r="W258" s="192">
        <v>0</v>
      </c>
      <c r="X258" s="125">
        <f>ROUND(W258*Valores!$C$2,2)</f>
        <v>0</v>
      </c>
      <c r="Y258" s="125">
        <v>0</v>
      </c>
      <c r="Z258" s="125">
        <f>IF(Valores!$C$97*B258&gt;Valores!$C$96,Valores!$C$96,Valores!$C$97*B258)</f>
        <v>28365.76</v>
      </c>
      <c r="AA258" s="125">
        <f>IF((Valores!$C$28)*B258&gt;Valores!$F$28,Valores!$F$28,(Valores!$C$28)*B258)</f>
        <v>729.92</v>
      </c>
      <c r="AB258" s="214">
        <v>0</v>
      </c>
      <c r="AC258" s="125">
        <f t="shared" si="31"/>
        <v>0</v>
      </c>
      <c r="AD258" s="125">
        <f>IF(Valores!$C$29*B258&gt;Valores!$F$29,Valores!$F$29,Valores!$C$29*B258)</f>
        <v>607.84</v>
      </c>
      <c r="AE258" s="192">
        <v>94</v>
      </c>
      <c r="AF258" s="125">
        <f>ROUND(AE258*Valores!$C$2,2)</f>
        <v>5118.3</v>
      </c>
      <c r="AG258" s="125">
        <f>IF($F$4="NO",IF(Valores!$D$63*'Escala Docente'!B258&gt;Valores!$F$63,Valores!$F$63,Valores!$D$63*'Escala Docente'!B258),IF(Valores!$D$63*'Escala Docente'!B258&gt;Valores!$F$63,Valores!$F$63,Valores!$D$63*'Escala Docente'!B258)/2)-0.03</f>
        <v>13882.369999999999</v>
      </c>
      <c r="AH258" s="125">
        <f t="shared" si="34"/>
        <v>223179.67</v>
      </c>
      <c r="AI258" s="125">
        <f>IF(Valores!$C$32*B258&gt;Valores!$F$32,Valores!$F$32,Valores!$C$32*B258)</f>
        <v>0</v>
      </c>
      <c r="AJ258" s="125">
        <f>IF(Valores!$C$90*B258&gt;Valores!$C$89,Valores!$C$89,Valores!$C$90*B258)</f>
        <v>0</v>
      </c>
      <c r="AK258" s="125">
        <f>IF(Valores!C$39*B258&gt;Valores!F$38,Valores!F$38,Valores!C$39*B258)</f>
        <v>0</v>
      </c>
      <c r="AL258" s="125">
        <f>IF($F$3="NO",0,IF(Valores!$C$62*B258&gt;Valores!$F$62,Valores!$F$62,Valores!$C$62*B258))</f>
        <v>181.6944</v>
      </c>
      <c r="AM258" s="125">
        <f t="shared" si="32"/>
        <v>181.6944</v>
      </c>
      <c r="AN258" s="125">
        <f>AH258*Valores!$C$71</f>
        <v>-24549.763700000003</v>
      </c>
      <c r="AO258" s="125">
        <f>AH258*-Valores!$C$72</f>
        <v>0</v>
      </c>
      <c r="AP258" s="125">
        <f>AH258*Valores!$C$73</f>
        <v>-10043.08515</v>
      </c>
      <c r="AQ258" s="125">
        <f>Valores!$C$100</f>
        <v>-554.86</v>
      </c>
      <c r="AR258" s="125">
        <f>IF($F$5=0,Valores!$C$101,(Valores!$C$101+$F$5*(Valores!$C$101)))</f>
        <v>-852</v>
      </c>
      <c r="AS258" s="125">
        <f t="shared" si="35"/>
        <v>187361.65555000002</v>
      </c>
      <c r="AT258" s="125">
        <f t="shared" si="29"/>
        <v>-24549.763700000003</v>
      </c>
      <c r="AU258" s="125">
        <f>AH258*Valores!$C$74</f>
        <v>-6025.85109</v>
      </c>
      <c r="AV258" s="125">
        <f>AH258*Valores!$C$75</f>
        <v>-669.5390100000001</v>
      </c>
      <c r="AW258" s="125">
        <f t="shared" si="33"/>
        <v>192116.21060000002</v>
      </c>
      <c r="AX258" s="126"/>
      <c r="AY258" s="126">
        <f t="shared" si="39"/>
        <v>16</v>
      </c>
      <c r="AZ258" s="123" t="s">
        <v>4</v>
      </c>
    </row>
    <row r="259" spans="1:52" s="110" customFormat="1" ht="11.25" customHeight="1">
      <c r="A259" s="123" t="s">
        <v>471</v>
      </c>
      <c r="B259" s="123">
        <v>17</v>
      </c>
      <c r="C259" s="126">
        <v>252</v>
      </c>
      <c r="D259" s="124" t="str">
        <f>CONCATENATE("Hora Cátedra Enseñanza Media ",B259," hs")</f>
        <v>Hora Cátedra Enseñanza Media 17 hs</v>
      </c>
      <c r="E259" s="192">
        <f aca="true" t="shared" si="40" ref="E259:E290">79*B259</f>
        <v>1343</v>
      </c>
      <c r="F259" s="125">
        <f>ROUND(E259*Valores!$C$2,2)</f>
        <v>73126.35</v>
      </c>
      <c r="G259" s="192">
        <v>0</v>
      </c>
      <c r="H259" s="125">
        <f>ROUND(G259*Valores!$C$2,2)</f>
        <v>0</v>
      </c>
      <c r="I259" s="192">
        <v>0</v>
      </c>
      <c r="J259" s="125">
        <f>ROUND(I259*Valores!$C$2,2)</f>
        <v>0</v>
      </c>
      <c r="K259" s="192">
        <v>0</v>
      </c>
      <c r="L259" s="125">
        <f>ROUND(K259*Valores!$C$2,2)</f>
        <v>0</v>
      </c>
      <c r="M259" s="125">
        <f>ROUND(IF($H$2=0,IF(AND(A259&lt;&gt;"13-930",A259&lt;&gt;"13-940"),(SUM(F259,H259,J259,L259,X259,T259,R259)*Valores!$C$4),0),0),2)</f>
        <v>24883.24</v>
      </c>
      <c r="N259" s="125">
        <f t="shared" si="30"/>
        <v>0</v>
      </c>
      <c r="O259" s="125">
        <f>Valores!$C$7*B259</f>
        <v>31389.48</v>
      </c>
      <c r="P259" s="125">
        <f>ROUND(IF(B259&lt;15,(Valores!$E$5*B259),Valores!$D$5),2)</f>
        <v>27834.84</v>
      </c>
      <c r="Q259" s="125">
        <v>0</v>
      </c>
      <c r="R259" s="125">
        <f>IF($F$4="NO",IF(Valores!$C$49*B259&gt;Valores!$F$46,Valores!$F$46,Valores!$C$49*B259),IF(Valores!$C$49*B259&gt;Valores!$F$46,Valores!$F$46,Valores!$C$49*B259)/2)</f>
        <v>16534.2</v>
      </c>
      <c r="S259" s="125">
        <f>Valores!$C$18*B259</f>
        <v>9872.41</v>
      </c>
      <c r="T259" s="125">
        <f t="shared" si="36"/>
        <v>9872.41</v>
      </c>
      <c r="U259" s="125">
        <v>0</v>
      </c>
      <c r="V259" s="125">
        <v>0</v>
      </c>
      <c r="W259" s="192">
        <v>0</v>
      </c>
      <c r="X259" s="125">
        <f>ROUND(W259*Valores!$C$2,2)</f>
        <v>0</v>
      </c>
      <c r="Y259" s="125">
        <v>0</v>
      </c>
      <c r="Z259" s="125">
        <f>IF(Valores!$C$97*B259&gt;Valores!$C$96,Valores!$C$96,Valores!$C$97*B259)</f>
        <v>30138.62</v>
      </c>
      <c r="AA259" s="125">
        <f>IF((Valores!$C$28)*B259&gt;Valores!$F$28,Valores!$F$28,(Valores!$C$28)*B259)</f>
        <v>775.54</v>
      </c>
      <c r="AB259" s="214">
        <v>0</v>
      </c>
      <c r="AC259" s="125">
        <f t="shared" si="31"/>
        <v>0</v>
      </c>
      <c r="AD259" s="125">
        <f>IF(Valores!$C$29*B259&gt;Valores!$F$29,Valores!$F$29,Valores!$C$29*B259)</f>
        <v>645.83</v>
      </c>
      <c r="AE259" s="192">
        <v>0</v>
      </c>
      <c r="AF259" s="125">
        <f>ROUND(AE259*Valores!$C$2,2)</f>
        <v>0</v>
      </c>
      <c r="AG259" s="125">
        <f>IF($F$4="NO",IF(Valores!$D$63*'Escala Docente'!B259&gt;Valores!$F$63,Valores!$F$63,Valores!$D$63*'Escala Docente'!B259),IF(Valores!$D$63*'Escala Docente'!B259&gt;Valores!$F$63,Valores!$F$63,Valores!$D$63*'Escala Docente'!B259)/2)-0.03</f>
        <v>14750.019999999999</v>
      </c>
      <c r="AH259" s="125">
        <f t="shared" si="34"/>
        <v>229950.53</v>
      </c>
      <c r="AI259" s="125">
        <f>IF(Valores!$C$32*B259&gt;Valores!$F$32,Valores!$F$32,Valores!$C$32*B259)</f>
        <v>0</v>
      </c>
      <c r="AJ259" s="125">
        <f>IF(Valores!$C$90*B259&gt;Valores!$C$89,Valores!$C$89,Valores!$C$90*B259)</f>
        <v>0</v>
      </c>
      <c r="AK259" s="125">
        <f>IF(Valores!C$39*B259&gt;Valores!F$38,Valores!F$38,Valores!C$39*B259)</f>
        <v>0</v>
      </c>
      <c r="AL259" s="125">
        <f>IF($F$3="NO",0,IF(Valores!$C$62*B259&gt;Valores!$F$62,Valores!$F$62,Valores!$C$62*B259))</f>
        <v>193.0503</v>
      </c>
      <c r="AM259" s="125">
        <f t="shared" si="32"/>
        <v>193.0503</v>
      </c>
      <c r="AN259" s="125">
        <f>AH259*Valores!$C$71</f>
        <v>-25294.5583</v>
      </c>
      <c r="AO259" s="125">
        <f>AH259*-Valores!$C$72</f>
        <v>0</v>
      </c>
      <c r="AP259" s="125">
        <f>AH259*Valores!$C$73</f>
        <v>-10347.77385</v>
      </c>
      <c r="AQ259" s="125">
        <f>Valores!$C$100</f>
        <v>-554.86</v>
      </c>
      <c r="AR259" s="125">
        <f>IF($F$5=0,Valores!$C$101,(Valores!$C$101+$F$5*(Valores!$C$101)))</f>
        <v>-852</v>
      </c>
      <c r="AS259" s="125">
        <f t="shared" si="35"/>
        <v>193094.38815</v>
      </c>
      <c r="AT259" s="125">
        <f t="shared" si="29"/>
        <v>-25294.5583</v>
      </c>
      <c r="AU259" s="125">
        <f>AH259*Valores!$C$74</f>
        <v>-6208.66431</v>
      </c>
      <c r="AV259" s="125">
        <f>AH259*Valores!$C$75</f>
        <v>-689.85159</v>
      </c>
      <c r="AW259" s="125">
        <f t="shared" si="33"/>
        <v>197950.5061</v>
      </c>
      <c r="AX259" s="126"/>
      <c r="AY259" s="126">
        <f t="shared" si="39"/>
        <v>17</v>
      </c>
      <c r="AZ259" s="123" t="s">
        <v>4</v>
      </c>
    </row>
    <row r="260" spans="1:52" s="110" customFormat="1" ht="11.25" customHeight="1">
      <c r="A260" s="123" t="s">
        <v>471</v>
      </c>
      <c r="B260" s="123">
        <v>17</v>
      </c>
      <c r="C260" s="126">
        <v>253</v>
      </c>
      <c r="D260" s="124" t="str">
        <f>CONCATENATE("Hora Cátedra Enseñanza Media ",B260," hs Esc Esp")</f>
        <v>Hora Cátedra Enseñanza Media 17 hs Esc Esp</v>
      </c>
      <c r="E260" s="192">
        <f t="shared" si="40"/>
        <v>1343</v>
      </c>
      <c r="F260" s="125">
        <f>ROUND(E260*Valores!$C$2,2)</f>
        <v>73126.35</v>
      </c>
      <c r="G260" s="192">
        <v>0</v>
      </c>
      <c r="H260" s="125">
        <f>ROUND(G260*Valores!$C$2,2)</f>
        <v>0</v>
      </c>
      <c r="I260" s="192">
        <v>0</v>
      </c>
      <c r="J260" s="125">
        <f>ROUND(I260*Valores!$C$2,2)</f>
        <v>0</v>
      </c>
      <c r="K260" s="192">
        <v>0</v>
      </c>
      <c r="L260" s="125">
        <f>ROUND(K260*Valores!$C$2,2)</f>
        <v>0</v>
      </c>
      <c r="M260" s="125">
        <f>ROUND(IF($H$2=0,IF(AND(A260&lt;&gt;"13-930",A260&lt;&gt;"13-940"),(SUM(F260,H260,J260,L260,X260,T260,R260)*Valores!$C$4),0),0),2)</f>
        <v>24883.24</v>
      </c>
      <c r="N260" s="125">
        <f t="shared" si="30"/>
        <v>0</v>
      </c>
      <c r="O260" s="125">
        <f>Valores!$C$7*B260</f>
        <v>31389.48</v>
      </c>
      <c r="P260" s="125">
        <f>ROUND(IF(B260&lt;15,(Valores!$E$5*B260),Valores!$D$5),2)</f>
        <v>27834.84</v>
      </c>
      <c r="Q260" s="125">
        <v>0</v>
      </c>
      <c r="R260" s="125">
        <f>IF($F$4="NO",IF(Valores!$C$49*B260&gt;Valores!$F$46,Valores!$F$46,Valores!$C$49*B260),IF(Valores!$C$49*B260&gt;Valores!$F$46,Valores!$F$46,Valores!$C$49*B260)/2)</f>
        <v>16534.2</v>
      </c>
      <c r="S260" s="125">
        <f>Valores!$C$18*B260</f>
        <v>9872.41</v>
      </c>
      <c r="T260" s="125">
        <f t="shared" si="36"/>
        <v>9872.41</v>
      </c>
      <c r="U260" s="125">
        <v>0</v>
      </c>
      <c r="V260" s="125">
        <v>0</v>
      </c>
      <c r="W260" s="192">
        <v>0</v>
      </c>
      <c r="X260" s="125">
        <f>ROUND(W260*Valores!$C$2,2)</f>
        <v>0</v>
      </c>
      <c r="Y260" s="125">
        <v>0</v>
      </c>
      <c r="Z260" s="125">
        <f>IF(Valores!$C$97*B260&gt;Valores!$C$96,Valores!$C$96,Valores!$C$97*B260)</f>
        <v>30138.62</v>
      </c>
      <c r="AA260" s="125">
        <f>IF((Valores!$C$28)*B260&gt;Valores!$F$28,Valores!$F$28,(Valores!$C$28)*B260)</f>
        <v>775.54</v>
      </c>
      <c r="AB260" s="214">
        <v>0</v>
      </c>
      <c r="AC260" s="125">
        <f t="shared" si="31"/>
        <v>0</v>
      </c>
      <c r="AD260" s="125">
        <f>IF(Valores!$C$29*B260&gt;Valores!$F$29,Valores!$F$29,Valores!$C$29*B260)</f>
        <v>645.83</v>
      </c>
      <c r="AE260" s="192">
        <v>94</v>
      </c>
      <c r="AF260" s="125">
        <f>ROUND(AE260*Valores!$C$2,2)</f>
        <v>5118.3</v>
      </c>
      <c r="AG260" s="125">
        <f>IF($F$4="NO",IF(Valores!$D$63*'Escala Docente'!B260&gt;Valores!$F$63,Valores!$F$63,Valores!$D$63*'Escala Docente'!B260),IF(Valores!$D$63*'Escala Docente'!B260&gt;Valores!$F$63,Valores!$F$63,Valores!$D$63*'Escala Docente'!B260)/2)-0.03</f>
        <v>14750.019999999999</v>
      </c>
      <c r="AH260" s="125">
        <f t="shared" si="34"/>
        <v>235068.83</v>
      </c>
      <c r="AI260" s="125">
        <f>IF(Valores!$C$32*B260&gt;Valores!$F$32,Valores!$F$32,Valores!$C$32*B260)</f>
        <v>0</v>
      </c>
      <c r="AJ260" s="125">
        <f>IF(Valores!$C$90*B260&gt;Valores!$C$89,Valores!$C$89,Valores!$C$90*B260)</f>
        <v>0</v>
      </c>
      <c r="AK260" s="125">
        <f>IF(Valores!C$39*B260&gt;Valores!F$38,Valores!F$38,Valores!C$39*B260)</f>
        <v>0</v>
      </c>
      <c r="AL260" s="125">
        <f>IF($F$3="NO",0,IF(Valores!$C$62*B260&gt;Valores!$F$62,Valores!$F$62,Valores!$C$62*B260))</f>
        <v>193.0503</v>
      </c>
      <c r="AM260" s="125">
        <f t="shared" si="32"/>
        <v>193.0503</v>
      </c>
      <c r="AN260" s="125">
        <f>AH260*Valores!$C$71</f>
        <v>-25857.5713</v>
      </c>
      <c r="AO260" s="125">
        <f>AH260*-Valores!$C$72</f>
        <v>0</v>
      </c>
      <c r="AP260" s="125">
        <f>AH260*Valores!$C$73</f>
        <v>-10578.097349999998</v>
      </c>
      <c r="AQ260" s="125">
        <f>Valores!$C$100</f>
        <v>-554.86</v>
      </c>
      <c r="AR260" s="125">
        <f>IF($F$5=0,Valores!$C$101,(Valores!$C$101+$F$5*(Valores!$C$101)))</f>
        <v>-852</v>
      </c>
      <c r="AS260" s="125">
        <f t="shared" si="35"/>
        <v>197419.35165</v>
      </c>
      <c r="AT260" s="125">
        <f t="shared" si="29"/>
        <v>-25857.5713</v>
      </c>
      <c r="AU260" s="125">
        <f>AH260*Valores!$C$74</f>
        <v>-6346.85841</v>
      </c>
      <c r="AV260" s="125">
        <f>AH260*Valores!$C$75</f>
        <v>-705.20649</v>
      </c>
      <c r="AW260" s="125">
        <f t="shared" si="33"/>
        <v>202352.24409999998</v>
      </c>
      <c r="AX260" s="126"/>
      <c r="AY260" s="126">
        <f t="shared" si="39"/>
        <v>17</v>
      </c>
      <c r="AZ260" s="123" t="s">
        <v>4</v>
      </c>
    </row>
    <row r="261" spans="1:52" s="110" customFormat="1" ht="11.25" customHeight="1">
      <c r="A261" s="123" t="s">
        <v>471</v>
      </c>
      <c r="B261" s="123">
        <v>18</v>
      </c>
      <c r="C261" s="126">
        <v>254</v>
      </c>
      <c r="D261" s="124" t="str">
        <f>CONCATENATE("Hora Cátedra Enseñanza Media ",B261," hs")</f>
        <v>Hora Cátedra Enseñanza Media 18 hs</v>
      </c>
      <c r="E261" s="192">
        <f t="shared" si="40"/>
        <v>1422</v>
      </c>
      <c r="F261" s="125">
        <f>ROUND(E261*Valores!$C$2,2)</f>
        <v>77427.9</v>
      </c>
      <c r="G261" s="192">
        <v>0</v>
      </c>
      <c r="H261" s="125">
        <f>ROUND(G261*Valores!$C$2,2)</f>
        <v>0</v>
      </c>
      <c r="I261" s="192">
        <v>0</v>
      </c>
      <c r="J261" s="125">
        <f>ROUND(I261*Valores!$C$2,2)</f>
        <v>0</v>
      </c>
      <c r="K261" s="192">
        <v>0</v>
      </c>
      <c r="L261" s="125">
        <f>ROUND(K261*Valores!$C$2,2)</f>
        <v>0</v>
      </c>
      <c r="M261" s="125">
        <f>ROUND(IF($H$2=0,IF(AND(A261&lt;&gt;"13-930",A261&lt;&gt;"13-940"),(SUM(F261,H261,J261,L261,X261,T261,R261)*Valores!$C$4),0),0),2)</f>
        <v>26346.96</v>
      </c>
      <c r="N261" s="125">
        <f t="shared" si="30"/>
        <v>0</v>
      </c>
      <c r="O261" s="125">
        <f>Valores!$C$7*B261</f>
        <v>33235.92</v>
      </c>
      <c r="P261" s="125">
        <f>ROUND(IF(B261&lt;15,(Valores!$E$5*B261),Valores!$D$5),2)</f>
        <v>27834.84</v>
      </c>
      <c r="Q261" s="125">
        <v>0</v>
      </c>
      <c r="R261" s="125">
        <f>IF($F$4="NO",IF(Valores!$C$49*B261&gt;Valores!$F$46,Valores!$F$46,Valores!$C$49*B261),IF(Valores!$C$49*B261&gt;Valores!$F$46,Valores!$F$46,Valores!$C$49*B261)/2)</f>
        <v>17506.8</v>
      </c>
      <c r="S261" s="125">
        <f>Valores!$C$18*B261</f>
        <v>10453.14</v>
      </c>
      <c r="T261" s="125">
        <f t="shared" si="36"/>
        <v>10453.14</v>
      </c>
      <c r="U261" s="125">
        <v>0</v>
      </c>
      <c r="V261" s="125">
        <v>0</v>
      </c>
      <c r="W261" s="192">
        <v>0</v>
      </c>
      <c r="X261" s="125">
        <f>ROUND(W261*Valores!$C$2,2)</f>
        <v>0</v>
      </c>
      <c r="Y261" s="125">
        <v>0</v>
      </c>
      <c r="Z261" s="125">
        <f>IF(Valores!$C$97*B261&gt;Valores!$C$96,Valores!$C$96,Valores!$C$97*B261)</f>
        <v>31911.48</v>
      </c>
      <c r="AA261" s="125">
        <f>IF((Valores!$C$28)*B261&gt;Valores!$F$28,Valores!$F$28,(Valores!$C$28)*B261)</f>
        <v>821.16</v>
      </c>
      <c r="AB261" s="214">
        <v>0</v>
      </c>
      <c r="AC261" s="125">
        <f t="shared" si="31"/>
        <v>0</v>
      </c>
      <c r="AD261" s="125">
        <f>IF(Valores!$C$29*B261&gt;Valores!$F$29,Valores!$F$29,Valores!$C$29*B261)</f>
        <v>683.82</v>
      </c>
      <c r="AE261" s="192">
        <v>0</v>
      </c>
      <c r="AF261" s="125">
        <f>ROUND(AE261*Valores!$C$2,2)</f>
        <v>0</v>
      </c>
      <c r="AG261" s="125">
        <f>IF($F$4="NO",IF(Valores!$D$63*'Escala Docente'!B261&gt;Valores!$F$63,Valores!$F$63,Valores!$D$63*'Escala Docente'!B261),IF(Valores!$D$63*'Escala Docente'!B261&gt;Valores!$F$63,Valores!$F$63,Valores!$D$63*'Escala Docente'!B261)/2)-0.04</f>
        <v>15617.659999999998</v>
      </c>
      <c r="AH261" s="125">
        <f t="shared" si="34"/>
        <v>241839.67999999996</v>
      </c>
      <c r="AI261" s="125">
        <f>IF(Valores!$C$32*B261&gt;Valores!$F$32,Valores!$F$32,Valores!$C$32*B261)</f>
        <v>0</v>
      </c>
      <c r="AJ261" s="125">
        <f>IF(Valores!$C$90*B261&gt;Valores!$C$89,Valores!$C$89,Valores!$C$90*B261)</f>
        <v>0</v>
      </c>
      <c r="AK261" s="125">
        <f>IF(Valores!C$39*B261&gt;Valores!F$38,Valores!F$38,Valores!C$39*B261)</f>
        <v>0</v>
      </c>
      <c r="AL261" s="125">
        <f>IF($F$3="NO",0,IF(Valores!$C$62*B261&gt;Valores!$F$62,Valores!$F$62,Valores!$C$62*B261))</f>
        <v>204.4062</v>
      </c>
      <c r="AM261" s="125">
        <f t="shared" si="32"/>
        <v>204.4062</v>
      </c>
      <c r="AN261" s="125">
        <f>AH261*Valores!$C$71</f>
        <v>-26602.364799999996</v>
      </c>
      <c r="AO261" s="125">
        <f>AH261*-Valores!$C$72</f>
        <v>0</v>
      </c>
      <c r="AP261" s="125">
        <f>AH261*Valores!$C$73</f>
        <v>-10882.785599999997</v>
      </c>
      <c r="AQ261" s="125">
        <f>Valores!$C$100</f>
        <v>-554.86</v>
      </c>
      <c r="AR261" s="125">
        <f>IF($F$5=0,Valores!$C$101,(Valores!$C$101+$F$5*(Valores!$C$101)))</f>
        <v>-852</v>
      </c>
      <c r="AS261" s="125">
        <f t="shared" si="35"/>
        <v>203152.07579999996</v>
      </c>
      <c r="AT261" s="125">
        <f aca="true" t="shared" si="41" ref="AT261:AT325">AN261</f>
        <v>-26602.364799999996</v>
      </c>
      <c r="AU261" s="125">
        <f>AH261*Valores!$C$74</f>
        <v>-6529.671359999999</v>
      </c>
      <c r="AV261" s="125">
        <f>AH261*Valores!$C$75</f>
        <v>-725.5190399999999</v>
      </c>
      <c r="AW261" s="125">
        <f t="shared" si="33"/>
        <v>208186.53099999996</v>
      </c>
      <c r="AX261" s="126"/>
      <c r="AY261" s="126">
        <f t="shared" si="39"/>
        <v>18</v>
      </c>
      <c r="AZ261" s="123" t="s">
        <v>4</v>
      </c>
    </row>
    <row r="262" spans="1:52" s="110" customFormat="1" ht="11.25" customHeight="1">
      <c r="A262" s="123" t="s">
        <v>471</v>
      </c>
      <c r="B262" s="123">
        <v>18</v>
      </c>
      <c r="C262" s="126">
        <v>255</v>
      </c>
      <c r="D262" s="124" t="str">
        <f>CONCATENATE("Hora Cátedra Enseñanza Media ",B262," hs Esc Esp")</f>
        <v>Hora Cátedra Enseñanza Media 18 hs Esc Esp</v>
      </c>
      <c r="E262" s="192">
        <f t="shared" si="40"/>
        <v>1422</v>
      </c>
      <c r="F262" s="125">
        <f>ROUND(E262*Valores!$C$2,2)</f>
        <v>77427.9</v>
      </c>
      <c r="G262" s="192">
        <v>0</v>
      </c>
      <c r="H262" s="125">
        <f>ROUND(G262*Valores!$C$2,2)</f>
        <v>0</v>
      </c>
      <c r="I262" s="192">
        <v>0</v>
      </c>
      <c r="J262" s="125">
        <f>ROUND(I262*Valores!$C$2,2)</f>
        <v>0</v>
      </c>
      <c r="K262" s="192">
        <v>0</v>
      </c>
      <c r="L262" s="125">
        <f>ROUND(K262*Valores!$C$2,2)</f>
        <v>0</v>
      </c>
      <c r="M262" s="125">
        <f>ROUND(IF($H$2=0,IF(AND(A262&lt;&gt;"13-930",A262&lt;&gt;"13-940"),(SUM(F262,H262,J262,L262,X262,T262,R262)*Valores!$C$4),0),0),2)</f>
        <v>26346.96</v>
      </c>
      <c r="N262" s="125">
        <f t="shared" si="30"/>
        <v>0</v>
      </c>
      <c r="O262" s="125">
        <f>Valores!$C$7*B262</f>
        <v>33235.92</v>
      </c>
      <c r="P262" s="125">
        <f>ROUND(IF(B262&lt;15,(Valores!$E$5*B262),Valores!$D$5),2)</f>
        <v>27834.84</v>
      </c>
      <c r="Q262" s="125">
        <v>0</v>
      </c>
      <c r="R262" s="125">
        <f>IF($F$4="NO",IF(Valores!$C$49*B262&gt;Valores!$F$46,Valores!$F$46,Valores!$C$49*B262),IF(Valores!$C$49*B262&gt;Valores!$F$46,Valores!$F$46,Valores!$C$49*B262)/2)</f>
        <v>17506.8</v>
      </c>
      <c r="S262" s="125">
        <f>Valores!$C$18*B262</f>
        <v>10453.14</v>
      </c>
      <c r="T262" s="125">
        <f t="shared" si="36"/>
        <v>10453.14</v>
      </c>
      <c r="U262" s="125">
        <v>0</v>
      </c>
      <c r="V262" s="125">
        <v>0</v>
      </c>
      <c r="W262" s="192">
        <v>0</v>
      </c>
      <c r="X262" s="125">
        <f>ROUND(W262*Valores!$C$2,2)</f>
        <v>0</v>
      </c>
      <c r="Y262" s="125">
        <v>0</v>
      </c>
      <c r="Z262" s="125">
        <f>IF(Valores!$C$97*B262&gt;Valores!$C$96,Valores!$C$96,Valores!$C$97*B262)</f>
        <v>31911.48</v>
      </c>
      <c r="AA262" s="125">
        <f>IF((Valores!$C$28)*B262&gt;Valores!$F$28,Valores!$F$28,(Valores!$C$28)*B262)</f>
        <v>821.16</v>
      </c>
      <c r="AB262" s="214">
        <v>0</v>
      </c>
      <c r="AC262" s="125">
        <f t="shared" si="31"/>
        <v>0</v>
      </c>
      <c r="AD262" s="125">
        <f>IF(Valores!$C$29*B262&gt;Valores!$F$29,Valores!$F$29,Valores!$C$29*B262)</f>
        <v>683.82</v>
      </c>
      <c r="AE262" s="192">
        <v>94</v>
      </c>
      <c r="AF262" s="125">
        <f>ROUND(AE262*Valores!$C$2,2)</f>
        <v>5118.3</v>
      </c>
      <c r="AG262" s="125">
        <f>IF($F$4="NO",IF(Valores!$D$63*'Escala Docente'!B262&gt;Valores!$F$63,Valores!$F$63,Valores!$D$63*'Escala Docente'!B262),IF(Valores!$D$63*'Escala Docente'!B262&gt;Valores!$F$63,Valores!$F$63,Valores!$D$63*'Escala Docente'!B262)/2)-0.04</f>
        <v>15617.659999999998</v>
      </c>
      <c r="AH262" s="125">
        <f t="shared" si="34"/>
        <v>246957.97999999995</v>
      </c>
      <c r="AI262" s="125">
        <f>IF(Valores!$C$32*B262&gt;Valores!$F$32,Valores!$F$32,Valores!$C$32*B262)</f>
        <v>0</v>
      </c>
      <c r="AJ262" s="125">
        <f>IF(Valores!$C$90*B262&gt;Valores!$C$89,Valores!$C$89,Valores!$C$90*B262)</f>
        <v>0</v>
      </c>
      <c r="AK262" s="125">
        <f>IF(Valores!C$39*B262&gt;Valores!F$38,Valores!F$38,Valores!C$39*B262)</f>
        <v>0</v>
      </c>
      <c r="AL262" s="125">
        <f>IF($F$3="NO",0,IF(Valores!$C$62*B262&gt;Valores!$F$62,Valores!$F$62,Valores!$C$62*B262))</f>
        <v>204.4062</v>
      </c>
      <c r="AM262" s="125">
        <f t="shared" si="32"/>
        <v>204.4062</v>
      </c>
      <c r="AN262" s="125">
        <f>AH262*Valores!$C$71</f>
        <v>-27165.377799999995</v>
      </c>
      <c r="AO262" s="125">
        <f>AH262*-Valores!$C$72</f>
        <v>0</v>
      </c>
      <c r="AP262" s="125">
        <f>AH262*Valores!$C$73</f>
        <v>-11113.109099999998</v>
      </c>
      <c r="AQ262" s="125">
        <f>Valores!$C$100</f>
        <v>-554.86</v>
      </c>
      <c r="AR262" s="125">
        <f>IF($F$5=0,Valores!$C$101,(Valores!$C$101+$F$5*(Valores!$C$101)))</f>
        <v>-852</v>
      </c>
      <c r="AS262" s="125">
        <f t="shared" si="35"/>
        <v>207477.03929999995</v>
      </c>
      <c r="AT262" s="125">
        <f t="shared" si="41"/>
        <v>-27165.377799999995</v>
      </c>
      <c r="AU262" s="125">
        <f>AH262*Valores!$C$74</f>
        <v>-6667.865459999999</v>
      </c>
      <c r="AV262" s="125">
        <f>AH262*Valores!$C$75</f>
        <v>-740.8739399999998</v>
      </c>
      <c r="AW262" s="125">
        <f t="shared" si="33"/>
        <v>212588.26899999997</v>
      </c>
      <c r="AX262" s="126"/>
      <c r="AY262" s="126">
        <f t="shared" si="39"/>
        <v>18</v>
      </c>
      <c r="AZ262" s="123" t="s">
        <v>4</v>
      </c>
    </row>
    <row r="263" spans="1:52" s="110" customFormat="1" ht="11.25" customHeight="1">
      <c r="A263" s="123" t="s">
        <v>471</v>
      </c>
      <c r="B263" s="123">
        <v>19</v>
      </c>
      <c r="C263" s="126">
        <v>256</v>
      </c>
      <c r="D263" s="124" t="str">
        <f>CONCATENATE("Hora Cátedra Enseñanza Media ",B263," hs")</f>
        <v>Hora Cátedra Enseñanza Media 19 hs</v>
      </c>
      <c r="E263" s="192">
        <f t="shared" si="40"/>
        <v>1501</v>
      </c>
      <c r="F263" s="125">
        <f>ROUND(E263*Valores!$C$2,2)</f>
        <v>81729.45</v>
      </c>
      <c r="G263" s="192">
        <v>0</v>
      </c>
      <c r="H263" s="125">
        <f>ROUND(G263*Valores!$C$2,2)</f>
        <v>0</v>
      </c>
      <c r="I263" s="192">
        <v>0</v>
      </c>
      <c r="J263" s="125">
        <f>ROUND(I263*Valores!$C$2,2)</f>
        <v>0</v>
      </c>
      <c r="K263" s="192">
        <v>0</v>
      </c>
      <c r="L263" s="125">
        <f>ROUND(K263*Valores!$C$2,2)</f>
        <v>0</v>
      </c>
      <c r="M263" s="125">
        <f>ROUND(IF($H$2=0,IF(AND(A263&lt;&gt;"13-930",A263&lt;&gt;"13-940"),(SUM(F263,H263,J263,L263,X263,T263,R263)*Valores!$C$4),0),0),2)</f>
        <v>27810.68</v>
      </c>
      <c r="N263" s="125">
        <f t="shared" si="30"/>
        <v>0</v>
      </c>
      <c r="O263" s="125">
        <f>Valores!$C$7*B263</f>
        <v>35082.36</v>
      </c>
      <c r="P263" s="125">
        <f>ROUND(IF(B263&lt;15,(Valores!$E$5*B263),Valores!$D$5),2)</f>
        <v>27834.84</v>
      </c>
      <c r="Q263" s="125">
        <v>0</v>
      </c>
      <c r="R263" s="125">
        <f>IF($F$4="NO",IF(Valores!$C$49*B263&gt;Valores!$F$46,Valores!$F$46,Valores!$C$49*B263),IF(Valores!$C$49*B263&gt;Valores!$F$46,Valores!$F$46,Valores!$C$49*B263)/2)</f>
        <v>18479.4</v>
      </c>
      <c r="S263" s="125">
        <f>Valores!$C$18*B263</f>
        <v>11033.87</v>
      </c>
      <c r="T263" s="125">
        <f t="shared" si="36"/>
        <v>11033.87</v>
      </c>
      <c r="U263" s="125">
        <v>0</v>
      </c>
      <c r="V263" s="125">
        <v>0</v>
      </c>
      <c r="W263" s="192">
        <v>0</v>
      </c>
      <c r="X263" s="125">
        <f>ROUND(W263*Valores!$C$2,2)</f>
        <v>0</v>
      </c>
      <c r="Y263" s="125">
        <v>0</v>
      </c>
      <c r="Z263" s="125">
        <f>IF(Valores!$C$97*B263&gt;Valores!$C$96,Valores!$C$96,Valores!$C$97*B263)</f>
        <v>33684.34</v>
      </c>
      <c r="AA263" s="125">
        <f>IF((Valores!$C$28)*B263&gt;Valores!$F$28,Valores!$F$28,(Valores!$C$28)*B263)</f>
        <v>866.78</v>
      </c>
      <c r="AB263" s="214">
        <v>0</v>
      </c>
      <c r="AC263" s="125">
        <f t="shared" si="31"/>
        <v>0</v>
      </c>
      <c r="AD263" s="125">
        <f>IF(Valores!$C$29*B263&gt;Valores!$F$29,Valores!$F$29,Valores!$C$29*B263)</f>
        <v>721.8100000000001</v>
      </c>
      <c r="AE263" s="192">
        <v>0</v>
      </c>
      <c r="AF263" s="125">
        <f>ROUND(AE263*Valores!$C$2,2)</f>
        <v>0</v>
      </c>
      <c r="AG263" s="125">
        <f>IF($F$4="NO",IF(Valores!$D$63*'Escala Docente'!B263&gt;Valores!$F$63,Valores!$F$63,Valores!$D$63*'Escala Docente'!B263),IF(Valores!$D$63*'Escala Docente'!B263&gt;Valores!$F$63,Valores!$F$63,Valores!$D$63*'Escala Docente'!B263)/2)-0.04</f>
        <v>16485.309999999998</v>
      </c>
      <c r="AH263" s="125">
        <f t="shared" si="34"/>
        <v>253728.83999999997</v>
      </c>
      <c r="AI263" s="125">
        <f>IF(Valores!$C$32*B263&gt;Valores!$F$32,Valores!$F$32,Valores!$C$32*B263)</f>
        <v>0</v>
      </c>
      <c r="AJ263" s="125">
        <f>IF(Valores!$C$90*B263&gt;Valores!$C$89,Valores!$C$89,Valores!$C$90*B263)</f>
        <v>0</v>
      </c>
      <c r="AK263" s="125">
        <f>IF(Valores!C$39*B263&gt;Valores!F$38,Valores!F$38,Valores!C$39*B263)</f>
        <v>0</v>
      </c>
      <c r="AL263" s="125">
        <f>IF($F$3="NO",0,IF(Valores!$C$62*B263&gt;Valores!$F$62,Valores!$F$62,Valores!$C$62*B263))</f>
        <v>215.7621</v>
      </c>
      <c r="AM263" s="125">
        <f t="shared" si="32"/>
        <v>215.7621</v>
      </c>
      <c r="AN263" s="125">
        <f>AH263*Valores!$C$71</f>
        <v>-27910.172399999996</v>
      </c>
      <c r="AO263" s="125">
        <f>AH263*-Valores!$C$72</f>
        <v>0</v>
      </c>
      <c r="AP263" s="125">
        <f>AH263*Valores!$C$73</f>
        <v>-11417.797799999998</v>
      </c>
      <c r="AQ263" s="125">
        <f>Valores!$C$100</f>
        <v>-554.86</v>
      </c>
      <c r="AR263" s="125">
        <f>IF($F$5=0,Valores!$C$101,(Valores!$C$101+$F$5*(Valores!$C$101)))</f>
        <v>-852</v>
      </c>
      <c r="AS263" s="125">
        <f t="shared" si="35"/>
        <v>213209.77189999996</v>
      </c>
      <c r="AT263" s="125">
        <f t="shared" si="41"/>
        <v>-27910.172399999996</v>
      </c>
      <c r="AU263" s="125">
        <f>AH263*Valores!$C$74</f>
        <v>-6850.678679999999</v>
      </c>
      <c r="AV263" s="125">
        <f>AH263*Valores!$C$75</f>
        <v>-761.18652</v>
      </c>
      <c r="AW263" s="125">
        <f t="shared" si="33"/>
        <v>218422.56449999998</v>
      </c>
      <c r="AX263" s="126"/>
      <c r="AY263" s="126">
        <f t="shared" si="39"/>
        <v>19</v>
      </c>
      <c r="AZ263" s="123" t="s">
        <v>4</v>
      </c>
    </row>
    <row r="264" spans="1:52" s="110" customFormat="1" ht="11.25" customHeight="1">
      <c r="A264" s="123" t="s">
        <v>471</v>
      </c>
      <c r="B264" s="123">
        <v>19</v>
      </c>
      <c r="C264" s="126">
        <v>257</v>
      </c>
      <c r="D264" s="124" t="str">
        <f>CONCATENATE("Hora Cátedra Enseñanza Media ",B264," hs Esc Esp")</f>
        <v>Hora Cátedra Enseñanza Media 19 hs Esc Esp</v>
      </c>
      <c r="E264" s="192">
        <f t="shared" si="40"/>
        <v>1501</v>
      </c>
      <c r="F264" s="125">
        <f>ROUND(E264*Valores!$C$2,2)</f>
        <v>81729.45</v>
      </c>
      <c r="G264" s="192">
        <v>0</v>
      </c>
      <c r="H264" s="125">
        <f>ROUND(G264*Valores!$C$2,2)</f>
        <v>0</v>
      </c>
      <c r="I264" s="192">
        <v>0</v>
      </c>
      <c r="J264" s="125">
        <f>ROUND(I264*Valores!$C$2,2)</f>
        <v>0</v>
      </c>
      <c r="K264" s="192">
        <v>0</v>
      </c>
      <c r="L264" s="125">
        <f>ROUND(K264*Valores!$C$2,2)</f>
        <v>0</v>
      </c>
      <c r="M264" s="125">
        <f>ROUND(IF($H$2=0,IF(AND(A264&lt;&gt;"13-930",A264&lt;&gt;"13-940"),(SUM(F264,H264,J264,L264,X264,T264,R264)*Valores!$C$4),0),0),2)</f>
        <v>27810.68</v>
      </c>
      <c r="N264" s="125">
        <f aca="true" t="shared" si="42" ref="N264:N326">ROUND(SUM(F264,H264,J264,L264,X264,R264)*$H$2,2)</f>
        <v>0</v>
      </c>
      <c r="O264" s="125">
        <f>Valores!$C$7*B264</f>
        <v>35082.36</v>
      </c>
      <c r="P264" s="125">
        <f>ROUND(IF(B264&lt;15,(Valores!$E$5*B264),Valores!$D$5),2)</f>
        <v>27834.84</v>
      </c>
      <c r="Q264" s="125">
        <v>0</v>
      </c>
      <c r="R264" s="125">
        <f>IF($F$4="NO",IF(Valores!$C$49*B264&gt;Valores!$F$46,Valores!$F$46,Valores!$C$49*B264),IF(Valores!$C$49*B264&gt;Valores!$F$46,Valores!$F$46,Valores!$C$49*B264)/2)</f>
        <v>18479.4</v>
      </c>
      <c r="S264" s="125">
        <f>Valores!$C$18*B264</f>
        <v>11033.87</v>
      </c>
      <c r="T264" s="125">
        <f t="shared" si="36"/>
        <v>11033.87</v>
      </c>
      <c r="U264" s="125">
        <v>0</v>
      </c>
      <c r="V264" s="125">
        <v>0</v>
      </c>
      <c r="W264" s="192">
        <v>0</v>
      </c>
      <c r="X264" s="125">
        <f>ROUND(W264*Valores!$C$2,2)</f>
        <v>0</v>
      </c>
      <c r="Y264" s="125">
        <v>0</v>
      </c>
      <c r="Z264" s="125">
        <f>IF(Valores!$C$97*B264&gt;Valores!$C$96,Valores!$C$96,Valores!$C$97*B264)</f>
        <v>33684.34</v>
      </c>
      <c r="AA264" s="125">
        <f>IF((Valores!$C$28)*B264&gt;Valores!$F$28,Valores!$F$28,(Valores!$C$28)*B264)</f>
        <v>866.78</v>
      </c>
      <c r="AB264" s="214">
        <v>0</v>
      </c>
      <c r="AC264" s="125">
        <f aca="true" t="shared" si="43" ref="AC264:AC326">ROUND(SUM(F264,H264,J264,X264,R264)*AB264,2)</f>
        <v>0</v>
      </c>
      <c r="AD264" s="125">
        <f>IF(Valores!$C$29*B264&gt;Valores!$F$29,Valores!$F$29,Valores!$C$29*B264)</f>
        <v>721.8100000000001</v>
      </c>
      <c r="AE264" s="192">
        <v>94</v>
      </c>
      <c r="AF264" s="125">
        <f>ROUND(AE264*Valores!$C$2,2)</f>
        <v>5118.3</v>
      </c>
      <c r="AG264" s="125">
        <f>IF($F$4="NO",IF(Valores!$D$63*'Escala Docente'!B264&gt;Valores!$F$63,Valores!$F$63,Valores!$D$63*'Escala Docente'!B264),IF(Valores!$D$63*'Escala Docente'!B264&gt;Valores!$F$63,Valores!$F$63,Valores!$D$63*'Escala Docente'!B264)/2)-0.04</f>
        <v>16485.309999999998</v>
      </c>
      <c r="AH264" s="125">
        <f t="shared" si="34"/>
        <v>258847.13999999996</v>
      </c>
      <c r="AI264" s="125">
        <f>IF(Valores!$C$32*B264&gt;Valores!$F$32,Valores!$F$32,Valores!$C$32*B264)</f>
        <v>0</v>
      </c>
      <c r="AJ264" s="125">
        <f>IF(Valores!$C$90*B264&gt;Valores!$C$89,Valores!$C$89,Valores!$C$90*B264)</f>
        <v>0</v>
      </c>
      <c r="AK264" s="125">
        <f>IF(Valores!C$39*B264&gt;Valores!F$38,Valores!F$38,Valores!C$39*B264)</f>
        <v>0</v>
      </c>
      <c r="AL264" s="125">
        <f>IF($F$3="NO",0,IF(Valores!$C$62*B264&gt;Valores!$F$62,Valores!$F$62,Valores!$C$62*B264))</f>
        <v>215.7621</v>
      </c>
      <c r="AM264" s="125">
        <f aca="true" t="shared" si="44" ref="AM264:AM326">SUM(AI264:AL264)</f>
        <v>215.7621</v>
      </c>
      <c r="AN264" s="125">
        <f>AH264*Valores!$C$71</f>
        <v>-28473.185399999995</v>
      </c>
      <c r="AO264" s="125">
        <f>AH264*-Valores!$C$72</f>
        <v>0</v>
      </c>
      <c r="AP264" s="125">
        <f>AH264*Valores!$C$73</f>
        <v>-11648.121299999997</v>
      </c>
      <c r="AQ264" s="125">
        <f>Valores!$C$100</f>
        <v>-554.86</v>
      </c>
      <c r="AR264" s="125">
        <f>IF($F$5=0,Valores!$C$101,(Valores!$C$101+$F$5*(Valores!$C$101)))</f>
        <v>-852</v>
      </c>
      <c r="AS264" s="125">
        <f t="shared" si="35"/>
        <v>217534.73539999995</v>
      </c>
      <c r="AT264" s="125">
        <f t="shared" si="41"/>
        <v>-28473.185399999995</v>
      </c>
      <c r="AU264" s="125">
        <f>AH264*Valores!$C$74</f>
        <v>-6988.872779999999</v>
      </c>
      <c r="AV264" s="125">
        <f>AH264*Valores!$C$75</f>
        <v>-776.5414199999999</v>
      </c>
      <c r="AW264" s="125">
        <f aca="true" t="shared" si="45" ref="AW264:AW326">AH264+AM264+SUM(AT264:AV264)</f>
        <v>222824.30249999996</v>
      </c>
      <c r="AX264" s="126"/>
      <c r="AY264" s="126">
        <f t="shared" si="39"/>
        <v>19</v>
      </c>
      <c r="AZ264" s="123" t="s">
        <v>4</v>
      </c>
    </row>
    <row r="265" spans="1:52" s="110" customFormat="1" ht="11.25" customHeight="1">
      <c r="A265" s="123" t="s">
        <v>471</v>
      </c>
      <c r="B265" s="123">
        <v>20</v>
      </c>
      <c r="C265" s="126">
        <v>258</v>
      </c>
      <c r="D265" s="124" t="str">
        <f>CONCATENATE("Hora Cátedra Enseñanza Media ",B265," hs")</f>
        <v>Hora Cátedra Enseñanza Media 20 hs</v>
      </c>
      <c r="E265" s="192">
        <f t="shared" si="40"/>
        <v>1580</v>
      </c>
      <c r="F265" s="125">
        <f>ROUND(E265*Valores!$C$2,2)</f>
        <v>86031</v>
      </c>
      <c r="G265" s="192">
        <v>0</v>
      </c>
      <c r="H265" s="125">
        <f>ROUND(G265*Valores!$C$2,2)</f>
        <v>0</v>
      </c>
      <c r="I265" s="192">
        <v>0</v>
      </c>
      <c r="J265" s="125">
        <f>ROUND(I265*Valores!$C$2,2)</f>
        <v>0</v>
      </c>
      <c r="K265" s="192">
        <v>0</v>
      </c>
      <c r="L265" s="125">
        <f>ROUND(K265*Valores!$C$2,2)</f>
        <v>0</v>
      </c>
      <c r="M265" s="125">
        <f>ROUND(IF($H$2=0,IF(AND(A265&lt;&gt;"13-930",A265&lt;&gt;"13-940"),(SUM(F265,H265,J265,L265,X265,T265,R265)*Valores!$C$4),0),0),2)</f>
        <v>29274.4</v>
      </c>
      <c r="N265" s="125">
        <f t="shared" si="42"/>
        <v>0</v>
      </c>
      <c r="O265" s="125">
        <f>Valores!$C$7*B265</f>
        <v>36928.8</v>
      </c>
      <c r="P265" s="125">
        <f>ROUND(IF(B265&lt;15,(Valores!$E$5*B265),Valores!$D$5),2)</f>
        <v>27834.84</v>
      </c>
      <c r="Q265" s="125">
        <v>0</v>
      </c>
      <c r="R265" s="125">
        <f>IF($F$4="NO",IF(Valores!$C$49*B265&gt;Valores!$F$46,Valores!$F$46,Valores!$C$49*B265),IF(Valores!$C$49*B265&gt;Valores!$F$46,Valores!$F$46,Valores!$C$49*B265)/2)</f>
        <v>19452</v>
      </c>
      <c r="S265" s="125">
        <f>Valores!$C$18*B265</f>
        <v>11614.6</v>
      </c>
      <c r="T265" s="125">
        <f t="shared" si="36"/>
        <v>11614.6</v>
      </c>
      <c r="U265" s="125">
        <v>0</v>
      </c>
      <c r="V265" s="125">
        <v>0</v>
      </c>
      <c r="W265" s="192">
        <v>0</v>
      </c>
      <c r="X265" s="125">
        <f>ROUND(W265*Valores!$C$2,2)</f>
        <v>0</v>
      </c>
      <c r="Y265" s="125">
        <v>0</v>
      </c>
      <c r="Z265" s="125">
        <f>IF(Valores!$C$97*B265&gt;Valores!$C$96,Valores!$C$96,Valores!$C$97*B265)</f>
        <v>35457.2</v>
      </c>
      <c r="AA265" s="125">
        <f>IF((Valores!$C$28)*B265&gt;Valores!$F$28,Valores!$F$28,(Valores!$C$28)*B265)</f>
        <v>912.4</v>
      </c>
      <c r="AB265" s="214">
        <v>0</v>
      </c>
      <c r="AC265" s="125">
        <f t="shared" si="43"/>
        <v>0</v>
      </c>
      <c r="AD265" s="125">
        <f>IF(Valores!$C$29*B265&gt;Valores!$F$29,Valores!$F$29,Valores!$C$29*B265)</f>
        <v>759.8000000000001</v>
      </c>
      <c r="AE265" s="192">
        <v>0</v>
      </c>
      <c r="AF265" s="125">
        <f>ROUND(AE265*Valores!$C$2,2)</f>
        <v>0</v>
      </c>
      <c r="AG265" s="125">
        <f>IF($F$4="NO",IF(Valores!$D$63*'Escala Docente'!B265&gt;Valores!$F$63,Valores!$F$63,Valores!$D$63*'Escala Docente'!B265),IF(Valores!$D$63*'Escala Docente'!B265&gt;Valores!$F$63,Valores!$F$63,Valores!$D$63*'Escala Docente'!B265)/2)-0.04</f>
        <v>17352.96</v>
      </c>
      <c r="AH265" s="125">
        <f aca="true" t="shared" si="46" ref="AH265:AH326">SUM(F265,H265,J265,L265,M265,N265,O265,P265,Q265,R265,T265,U265,V265,X265,Y265,Z265,AA265,AC265,AD265,AF265,AG265)</f>
        <v>265618</v>
      </c>
      <c r="AI265" s="125">
        <f>IF(Valores!$C$32*B265&gt;Valores!$F$32,Valores!$F$32,Valores!$C$32*B265)</f>
        <v>0</v>
      </c>
      <c r="AJ265" s="125">
        <f>IF(Valores!$C$90*B265&gt;Valores!$C$89,Valores!$C$89,Valores!$C$90*B265)</f>
        <v>0</v>
      </c>
      <c r="AK265" s="125">
        <f>IF(Valores!C$39*B265&gt;Valores!F$38,Valores!F$38,Valores!C$39*B265)</f>
        <v>0</v>
      </c>
      <c r="AL265" s="125">
        <f>IF($F$3="NO",0,IF(Valores!$C$62*B265&gt;Valores!$F$62,Valores!$F$62,Valores!$C$62*B265))</f>
        <v>227.118</v>
      </c>
      <c r="AM265" s="125">
        <f t="shared" si="44"/>
        <v>227.118</v>
      </c>
      <c r="AN265" s="125">
        <f>AH265*Valores!$C$71</f>
        <v>-29217.98</v>
      </c>
      <c r="AO265" s="125">
        <f>AH265*-Valores!$C$72</f>
        <v>0</v>
      </c>
      <c r="AP265" s="125">
        <f>AH265*Valores!$C$73</f>
        <v>-11952.81</v>
      </c>
      <c r="AQ265" s="125">
        <f>Valores!$C$100</f>
        <v>-554.86</v>
      </c>
      <c r="AR265" s="125">
        <f>IF($F$5=0,Valores!$C$101,(Valores!$C$101+$F$5*(Valores!$C$101)))</f>
        <v>-852</v>
      </c>
      <c r="AS265" s="125">
        <f aca="true" t="shared" si="47" ref="AS265:AS326">AH265+SUM(AM265:AR265)</f>
        <v>223267.468</v>
      </c>
      <c r="AT265" s="125">
        <f t="shared" si="41"/>
        <v>-29217.98</v>
      </c>
      <c r="AU265" s="125">
        <f>AH265*Valores!$C$74</f>
        <v>-7171.686</v>
      </c>
      <c r="AV265" s="125">
        <f>AH265*Valores!$C$75</f>
        <v>-796.854</v>
      </c>
      <c r="AW265" s="125">
        <f t="shared" si="45"/>
        <v>228658.59800000003</v>
      </c>
      <c r="AX265" s="126"/>
      <c r="AY265" s="126">
        <f t="shared" si="39"/>
        <v>20</v>
      </c>
      <c r="AZ265" s="123" t="s">
        <v>4</v>
      </c>
    </row>
    <row r="266" spans="1:52" s="110" customFormat="1" ht="11.25" customHeight="1">
      <c r="A266" s="123" t="s">
        <v>471</v>
      </c>
      <c r="B266" s="123">
        <v>20</v>
      </c>
      <c r="C266" s="126">
        <v>259</v>
      </c>
      <c r="D266" s="124" t="str">
        <f>CONCATENATE("Hora Cátedra Enseñanza Media ",B266," hs Esc Esp")</f>
        <v>Hora Cátedra Enseñanza Media 20 hs Esc Esp</v>
      </c>
      <c r="E266" s="192">
        <f t="shared" si="40"/>
        <v>1580</v>
      </c>
      <c r="F266" s="125">
        <f>ROUND(E266*Valores!$C$2,2)</f>
        <v>86031</v>
      </c>
      <c r="G266" s="192">
        <v>0</v>
      </c>
      <c r="H266" s="125">
        <f>ROUND(G266*Valores!$C$2,2)</f>
        <v>0</v>
      </c>
      <c r="I266" s="192">
        <v>0</v>
      </c>
      <c r="J266" s="125">
        <f>ROUND(I266*Valores!$C$2,2)</f>
        <v>0</v>
      </c>
      <c r="K266" s="192">
        <v>0</v>
      </c>
      <c r="L266" s="125">
        <f>ROUND(K266*Valores!$C$2,2)</f>
        <v>0</v>
      </c>
      <c r="M266" s="125">
        <f>ROUND(IF($H$2=0,IF(AND(A266&lt;&gt;"13-930",A266&lt;&gt;"13-940"),(SUM(F266,H266,J266,L266,X266,T266,R266)*Valores!$C$4),0),0),2)</f>
        <v>29274.4</v>
      </c>
      <c r="N266" s="125">
        <f t="shared" si="42"/>
        <v>0</v>
      </c>
      <c r="O266" s="125">
        <f>Valores!$C$7*B266</f>
        <v>36928.8</v>
      </c>
      <c r="P266" s="125">
        <f>ROUND(IF(B266&lt;15,(Valores!$E$5*B266),Valores!$D$5),2)</f>
        <v>27834.84</v>
      </c>
      <c r="Q266" s="125">
        <v>0</v>
      </c>
      <c r="R266" s="125">
        <f>IF($F$4="NO",IF(Valores!$C$49*B266&gt;Valores!$F$46,Valores!$F$46,Valores!$C$49*B266),IF(Valores!$C$49*B266&gt;Valores!$F$46,Valores!$F$46,Valores!$C$49*B266)/2)</f>
        <v>19452</v>
      </c>
      <c r="S266" s="125">
        <f>Valores!$C$18*B266</f>
        <v>11614.6</v>
      </c>
      <c r="T266" s="125">
        <f t="shared" si="36"/>
        <v>11614.6</v>
      </c>
      <c r="U266" s="125">
        <v>0</v>
      </c>
      <c r="V266" s="125">
        <v>0</v>
      </c>
      <c r="W266" s="192">
        <v>0</v>
      </c>
      <c r="X266" s="125">
        <f>ROUND(W266*Valores!$C$2,2)</f>
        <v>0</v>
      </c>
      <c r="Y266" s="125">
        <v>0</v>
      </c>
      <c r="Z266" s="125">
        <f>IF(Valores!$C$97*B266&gt;Valores!$C$96,Valores!$C$96,Valores!$C$97*B266)</f>
        <v>35457.2</v>
      </c>
      <c r="AA266" s="125">
        <f>IF((Valores!$C$28)*B266&gt;Valores!$F$28,Valores!$F$28,(Valores!$C$28)*B266)</f>
        <v>912.4</v>
      </c>
      <c r="AB266" s="214">
        <v>0</v>
      </c>
      <c r="AC266" s="125">
        <f t="shared" si="43"/>
        <v>0</v>
      </c>
      <c r="AD266" s="125">
        <f>IF(Valores!$C$29*B266&gt;Valores!$F$29,Valores!$F$29,Valores!$C$29*B266)</f>
        <v>759.8000000000001</v>
      </c>
      <c r="AE266" s="192">
        <v>94</v>
      </c>
      <c r="AF266" s="125">
        <f>ROUND(AE266*Valores!$C$2,2)</f>
        <v>5118.3</v>
      </c>
      <c r="AG266" s="125">
        <f>IF($F$4="NO",IF(Valores!$D$63*'Escala Docente'!B266&gt;Valores!$F$63,Valores!$F$63,Valores!$D$63*'Escala Docente'!B266),IF(Valores!$D$63*'Escala Docente'!B266&gt;Valores!$F$63,Valores!$F$63,Valores!$D$63*'Escala Docente'!B266)/2)-0.04</f>
        <v>17352.96</v>
      </c>
      <c r="AH266" s="125">
        <f t="shared" si="46"/>
        <v>270736.3</v>
      </c>
      <c r="AI266" s="125">
        <f>IF(Valores!$C$32*B266&gt;Valores!$F$32,Valores!$F$32,Valores!$C$32*B266)</f>
        <v>0</v>
      </c>
      <c r="AJ266" s="125">
        <f>IF(Valores!$C$90*B266&gt;Valores!$C$89,Valores!$C$89,Valores!$C$90*B266)</f>
        <v>0</v>
      </c>
      <c r="AK266" s="125">
        <f>IF(Valores!C$39*B266&gt;Valores!F$38,Valores!F$38,Valores!C$39*B266)</f>
        <v>0</v>
      </c>
      <c r="AL266" s="125">
        <f>IF($F$3="NO",0,IF(Valores!$C$62*B266&gt;Valores!$F$62,Valores!$F$62,Valores!$C$62*B266))</f>
        <v>227.118</v>
      </c>
      <c r="AM266" s="125">
        <f t="shared" si="44"/>
        <v>227.118</v>
      </c>
      <c r="AN266" s="125">
        <f>AH266*Valores!$C$71</f>
        <v>-29780.993</v>
      </c>
      <c r="AO266" s="125">
        <f>AH266*-Valores!$C$72</f>
        <v>0</v>
      </c>
      <c r="AP266" s="125">
        <f>AH266*Valores!$C$73</f>
        <v>-12183.1335</v>
      </c>
      <c r="AQ266" s="125">
        <f>Valores!$C$100</f>
        <v>-554.86</v>
      </c>
      <c r="AR266" s="125">
        <f>IF($F$5=0,Valores!$C$101,(Valores!$C$101+$F$5*(Valores!$C$101)))</f>
        <v>-852</v>
      </c>
      <c r="AS266" s="125">
        <f t="shared" si="47"/>
        <v>227592.4315</v>
      </c>
      <c r="AT266" s="125">
        <f t="shared" si="41"/>
        <v>-29780.993</v>
      </c>
      <c r="AU266" s="125">
        <f>AH266*Valores!$C$74</f>
        <v>-7309.880099999999</v>
      </c>
      <c r="AV266" s="125">
        <f>AH266*Valores!$C$75</f>
        <v>-812.2089</v>
      </c>
      <c r="AW266" s="125">
        <f t="shared" si="45"/>
        <v>233060.336</v>
      </c>
      <c r="AX266" s="126"/>
      <c r="AY266" s="126">
        <f t="shared" si="39"/>
        <v>20</v>
      </c>
      <c r="AZ266" s="123" t="s">
        <v>4</v>
      </c>
    </row>
    <row r="267" spans="1:52" s="110" customFormat="1" ht="11.25" customHeight="1">
      <c r="A267" s="123" t="s">
        <v>471</v>
      </c>
      <c r="B267" s="123">
        <v>21</v>
      </c>
      <c r="C267" s="126">
        <v>260</v>
      </c>
      <c r="D267" s="124" t="str">
        <f>CONCATENATE("Hora Cátedra Enseñanza Media ",B267," hs")</f>
        <v>Hora Cátedra Enseñanza Media 21 hs</v>
      </c>
      <c r="E267" s="192">
        <f t="shared" si="40"/>
        <v>1659</v>
      </c>
      <c r="F267" s="125">
        <f>ROUND(E267*Valores!$C$2,2)</f>
        <v>90332.55</v>
      </c>
      <c r="G267" s="192">
        <v>0</v>
      </c>
      <c r="H267" s="125">
        <f>ROUND(G267*Valores!$C$2,2)</f>
        <v>0</v>
      </c>
      <c r="I267" s="192">
        <v>0</v>
      </c>
      <c r="J267" s="125">
        <f>ROUND(I267*Valores!$C$2,2)</f>
        <v>0</v>
      </c>
      <c r="K267" s="192">
        <v>0</v>
      </c>
      <c r="L267" s="125">
        <f>ROUND(K267*Valores!$C$2,2)</f>
        <v>0</v>
      </c>
      <c r="M267" s="125">
        <f>ROUND(IF($H$2=0,IF(AND(A267&lt;&gt;"13-930",A267&lt;&gt;"13-940"),(SUM(F267,H267,J267,L267,X267,T267,R267)*Valores!$C$4),0),0),2)</f>
        <v>30738.12</v>
      </c>
      <c r="N267" s="125">
        <f t="shared" si="42"/>
        <v>0</v>
      </c>
      <c r="O267" s="125">
        <f>Valores!$C$7*B267</f>
        <v>38775.24</v>
      </c>
      <c r="P267" s="125">
        <f>ROUND(IF(B267&lt;15,(Valores!$E$5*B267),Valores!$D$5),2)</f>
        <v>27834.84</v>
      </c>
      <c r="Q267" s="125">
        <v>0</v>
      </c>
      <c r="R267" s="125">
        <f>IF($F$4="NO",IF(Valores!$C$49*B267&gt;Valores!$F$46,Valores!$F$46,Valores!$C$49*B267),IF(Valores!$C$49*B267&gt;Valores!$F$46,Valores!$F$46,Valores!$C$49*B267)/2)</f>
        <v>20424.600000000002</v>
      </c>
      <c r="S267" s="125">
        <f>Valores!$C$18*B267</f>
        <v>12195.33</v>
      </c>
      <c r="T267" s="125">
        <f aca="true" t="shared" si="48" ref="T267:T299">ROUND(S267*(1+$H$2),2)</f>
        <v>12195.33</v>
      </c>
      <c r="U267" s="125">
        <v>0</v>
      </c>
      <c r="V267" s="125">
        <v>0</v>
      </c>
      <c r="W267" s="192">
        <v>0</v>
      </c>
      <c r="X267" s="125">
        <f>ROUND(W267*Valores!$C$2,2)</f>
        <v>0</v>
      </c>
      <c r="Y267" s="125">
        <v>0</v>
      </c>
      <c r="Z267" s="125">
        <f>IF(Valores!$C$97*B267&gt;Valores!$C$96,Valores!$C$96,Valores!$C$97*B267)</f>
        <v>37230.06</v>
      </c>
      <c r="AA267" s="125">
        <f>IF((Valores!$C$28)*B267&gt;Valores!$F$28,Valores!$F$28,(Valores!$C$28)*B267)</f>
        <v>958.02</v>
      </c>
      <c r="AB267" s="214">
        <v>0</v>
      </c>
      <c r="AC267" s="125">
        <f t="shared" si="43"/>
        <v>0</v>
      </c>
      <c r="AD267" s="125">
        <f>IF(Valores!$C$29*B267&gt;Valores!$F$29,Valores!$F$29,Valores!$C$29*B267)</f>
        <v>797.7900000000001</v>
      </c>
      <c r="AE267" s="192">
        <v>0</v>
      </c>
      <c r="AF267" s="125">
        <f>ROUND(AE267*Valores!$C$2,2)</f>
        <v>0</v>
      </c>
      <c r="AG267" s="125">
        <f>IF($F$4="NO",IF(Valores!$D$63*'Escala Docente'!B267&gt;Valores!$F$63,Valores!$F$63,Valores!$D$63*'Escala Docente'!B267),IF(Valores!$D$63*'Escala Docente'!B267&gt;Valores!$F$63,Valores!$F$63,Valores!$D$63*'Escala Docente'!B267)/2)-0.04</f>
        <v>18220.609999999997</v>
      </c>
      <c r="AH267" s="125">
        <f t="shared" si="46"/>
        <v>277507.16</v>
      </c>
      <c r="AI267" s="125">
        <f>IF(Valores!$C$32*B267&gt;Valores!$F$32,Valores!$F$32,Valores!$C$32*B267)</f>
        <v>0</v>
      </c>
      <c r="AJ267" s="125">
        <f>IF(Valores!$C$90*B267&gt;Valores!$C$89,Valores!$C$89,Valores!$C$90*B267)</f>
        <v>0</v>
      </c>
      <c r="AK267" s="125">
        <f>IF(Valores!C$39*B267&gt;Valores!F$38,Valores!F$38,Valores!C$39*B267)</f>
        <v>0</v>
      </c>
      <c r="AL267" s="125">
        <f>IF($F$3="NO",0,IF(Valores!$C$62*B267&gt;Valores!$F$62,Valores!$F$62,Valores!$C$62*B267))</f>
        <v>238.47390000000001</v>
      </c>
      <c r="AM267" s="125">
        <f t="shared" si="44"/>
        <v>238.47390000000001</v>
      </c>
      <c r="AN267" s="125">
        <f>AH267*Valores!$C$71</f>
        <v>-30525.787599999996</v>
      </c>
      <c r="AO267" s="125">
        <f>AH267*-Valores!$C$72</f>
        <v>0</v>
      </c>
      <c r="AP267" s="125">
        <f>AH267*Valores!$C$73</f>
        <v>-12487.822199999999</v>
      </c>
      <c r="AQ267" s="125">
        <f>Valores!$C$100</f>
        <v>-554.86</v>
      </c>
      <c r="AR267" s="125">
        <f>IF($F$5=0,Valores!$C$101,(Valores!$C$101+$F$5*(Valores!$C$101)))</f>
        <v>-852</v>
      </c>
      <c r="AS267" s="125">
        <f t="shared" si="47"/>
        <v>233325.1641</v>
      </c>
      <c r="AT267" s="125">
        <f t="shared" si="41"/>
        <v>-30525.787599999996</v>
      </c>
      <c r="AU267" s="125">
        <f>AH267*Valores!$C$74</f>
        <v>-7492.693319999999</v>
      </c>
      <c r="AV267" s="125">
        <f>AH267*Valores!$C$75</f>
        <v>-832.52148</v>
      </c>
      <c r="AW267" s="125">
        <f t="shared" si="45"/>
        <v>238894.63149999996</v>
      </c>
      <c r="AX267" s="126"/>
      <c r="AY267" s="126">
        <f t="shared" si="39"/>
        <v>21</v>
      </c>
      <c r="AZ267" s="123" t="s">
        <v>4</v>
      </c>
    </row>
    <row r="268" spans="1:52" s="110" customFormat="1" ht="11.25" customHeight="1">
      <c r="A268" s="123" t="s">
        <v>471</v>
      </c>
      <c r="B268" s="123">
        <v>21</v>
      </c>
      <c r="C268" s="126">
        <v>261</v>
      </c>
      <c r="D268" s="124" t="str">
        <f>CONCATENATE("Hora Cátedra Enseñanza Media ",B268," hs Esc Esp")</f>
        <v>Hora Cátedra Enseñanza Media 21 hs Esc Esp</v>
      </c>
      <c r="E268" s="192">
        <f t="shared" si="40"/>
        <v>1659</v>
      </c>
      <c r="F268" s="125">
        <f>ROUND(E268*Valores!$C$2,2)</f>
        <v>90332.55</v>
      </c>
      <c r="G268" s="192">
        <v>0</v>
      </c>
      <c r="H268" s="125">
        <f>ROUND(G268*Valores!$C$2,2)</f>
        <v>0</v>
      </c>
      <c r="I268" s="192">
        <v>0</v>
      </c>
      <c r="J268" s="125">
        <f>ROUND(I268*Valores!$C$2,2)</f>
        <v>0</v>
      </c>
      <c r="K268" s="192">
        <v>0</v>
      </c>
      <c r="L268" s="125">
        <f>ROUND(K268*Valores!$C$2,2)</f>
        <v>0</v>
      </c>
      <c r="M268" s="125">
        <f>ROUND(IF($H$2=0,IF(AND(A268&lt;&gt;"13-930",A268&lt;&gt;"13-940"),(SUM(F268,H268,J268,L268,X268,T268,R268)*Valores!$C$4),0),0),2)</f>
        <v>30738.12</v>
      </c>
      <c r="N268" s="125">
        <f t="shared" si="42"/>
        <v>0</v>
      </c>
      <c r="O268" s="125">
        <f>Valores!$C$7*B268</f>
        <v>38775.24</v>
      </c>
      <c r="P268" s="125">
        <f>ROUND(IF(B268&lt;15,(Valores!$E$5*B268),Valores!$D$5),2)</f>
        <v>27834.84</v>
      </c>
      <c r="Q268" s="125">
        <v>0</v>
      </c>
      <c r="R268" s="125">
        <f>IF($F$4="NO",IF(Valores!$C$49*B268&gt;Valores!$F$46,Valores!$F$46,Valores!$C$49*B268),IF(Valores!$C$49*B268&gt;Valores!$F$46,Valores!$F$46,Valores!$C$49*B268)/2)</f>
        <v>20424.600000000002</v>
      </c>
      <c r="S268" s="125">
        <f>Valores!$C$18*B268</f>
        <v>12195.33</v>
      </c>
      <c r="T268" s="125">
        <f t="shared" si="48"/>
        <v>12195.33</v>
      </c>
      <c r="U268" s="125">
        <v>0</v>
      </c>
      <c r="V268" s="125">
        <v>0</v>
      </c>
      <c r="W268" s="192">
        <v>0</v>
      </c>
      <c r="X268" s="125">
        <f>ROUND(W268*Valores!$C$2,2)</f>
        <v>0</v>
      </c>
      <c r="Y268" s="125">
        <v>0</v>
      </c>
      <c r="Z268" s="125">
        <f>IF(Valores!$C$97*B268&gt;Valores!$C$96,Valores!$C$96,Valores!$C$97*B268)</f>
        <v>37230.06</v>
      </c>
      <c r="AA268" s="125">
        <f>IF((Valores!$C$28)*B268&gt;Valores!$F$28,Valores!$F$28,(Valores!$C$28)*B268)</f>
        <v>958.02</v>
      </c>
      <c r="AB268" s="214">
        <v>0</v>
      </c>
      <c r="AC268" s="125">
        <f t="shared" si="43"/>
        <v>0</v>
      </c>
      <c r="AD268" s="125">
        <f>IF(Valores!$C$29*B268&gt;Valores!$F$29,Valores!$F$29,Valores!$C$29*B268)</f>
        <v>797.7900000000001</v>
      </c>
      <c r="AE268" s="192">
        <v>94</v>
      </c>
      <c r="AF268" s="125">
        <f>ROUND(AE268*Valores!$C$2,2)</f>
        <v>5118.3</v>
      </c>
      <c r="AG268" s="125">
        <f>IF($F$4="NO",IF(Valores!$D$63*'Escala Docente'!B268&gt;Valores!$F$63,Valores!$F$63,Valores!$D$63*'Escala Docente'!B268),IF(Valores!$D$63*'Escala Docente'!B268&gt;Valores!$F$63,Valores!$F$63,Valores!$D$63*'Escala Docente'!B268)/2)-0.04</f>
        <v>18220.609999999997</v>
      </c>
      <c r="AH268" s="125">
        <f t="shared" si="46"/>
        <v>282625.45999999996</v>
      </c>
      <c r="AI268" s="125">
        <f>IF(Valores!$C$32*B268&gt;Valores!$F$32,Valores!$F$32,Valores!$C$32*B268)</f>
        <v>0</v>
      </c>
      <c r="AJ268" s="125">
        <f>IF(Valores!$C$90*B268&gt;Valores!$C$89,Valores!$C$89,Valores!$C$90*B268)</f>
        <v>0</v>
      </c>
      <c r="AK268" s="125">
        <f>IF(Valores!C$39*B268&gt;Valores!F$38,Valores!F$38,Valores!C$39*B268)</f>
        <v>0</v>
      </c>
      <c r="AL268" s="125">
        <f>IF($F$3="NO",0,IF(Valores!$C$62*B268&gt;Valores!$F$62,Valores!$F$62,Valores!$C$62*B268))</f>
        <v>238.47390000000001</v>
      </c>
      <c r="AM268" s="125">
        <f t="shared" si="44"/>
        <v>238.47390000000001</v>
      </c>
      <c r="AN268" s="125">
        <f>AH268*Valores!$C$71</f>
        <v>-31088.800599999995</v>
      </c>
      <c r="AO268" s="125">
        <f>AH268*-Valores!$C$72</f>
        <v>0</v>
      </c>
      <c r="AP268" s="125">
        <f>AH268*Valores!$C$73</f>
        <v>-12718.145699999997</v>
      </c>
      <c r="AQ268" s="125">
        <f>Valores!$C$100</f>
        <v>-554.86</v>
      </c>
      <c r="AR268" s="125">
        <f>IF($F$5=0,Valores!$C$101,(Valores!$C$101+$F$5*(Valores!$C$101)))</f>
        <v>-852</v>
      </c>
      <c r="AS268" s="125">
        <f t="shared" si="47"/>
        <v>237650.12759999998</v>
      </c>
      <c r="AT268" s="125">
        <f t="shared" si="41"/>
        <v>-31088.800599999995</v>
      </c>
      <c r="AU268" s="125">
        <f>AH268*Valores!$C$74</f>
        <v>-7630.887419999999</v>
      </c>
      <c r="AV268" s="125">
        <f>AH268*Valores!$C$75</f>
        <v>-847.8763799999999</v>
      </c>
      <c r="AW268" s="125">
        <f t="shared" si="45"/>
        <v>243296.36949999994</v>
      </c>
      <c r="AX268" s="126"/>
      <c r="AY268" s="126">
        <f t="shared" si="39"/>
        <v>21</v>
      </c>
      <c r="AZ268" s="123" t="s">
        <v>4</v>
      </c>
    </row>
    <row r="269" spans="1:52" s="110" customFormat="1" ht="11.25" customHeight="1">
      <c r="A269" s="123" t="s">
        <v>471</v>
      </c>
      <c r="B269" s="123">
        <v>22</v>
      </c>
      <c r="C269" s="126">
        <v>262</v>
      </c>
      <c r="D269" s="124" t="str">
        <f>CONCATENATE("Hora Cátedra Enseñanza Media ",B269," hs")</f>
        <v>Hora Cátedra Enseñanza Media 22 hs</v>
      </c>
      <c r="E269" s="192">
        <f t="shared" si="40"/>
        <v>1738</v>
      </c>
      <c r="F269" s="125">
        <f>ROUND(E269*Valores!$C$2,2)</f>
        <v>94634.1</v>
      </c>
      <c r="G269" s="192">
        <v>0</v>
      </c>
      <c r="H269" s="125">
        <f>ROUND(G269*Valores!$C$2,2)</f>
        <v>0</v>
      </c>
      <c r="I269" s="192">
        <v>0</v>
      </c>
      <c r="J269" s="125">
        <f>ROUND(I269*Valores!$C$2,2)</f>
        <v>0</v>
      </c>
      <c r="K269" s="192">
        <v>0</v>
      </c>
      <c r="L269" s="125">
        <f>ROUND(K269*Valores!$C$2,2)</f>
        <v>0</v>
      </c>
      <c r="M269" s="125">
        <f>ROUND(IF($H$2=0,IF(AND(A269&lt;&gt;"13-930",A269&lt;&gt;"13-940"),(SUM(F269,H269,J269,L269,X269,T269,R269)*Valores!$C$4),0),0),2)</f>
        <v>32201.84</v>
      </c>
      <c r="N269" s="125">
        <f t="shared" si="42"/>
        <v>0</v>
      </c>
      <c r="O269" s="125">
        <f>Valores!$C$7*B269</f>
        <v>40621.68</v>
      </c>
      <c r="P269" s="125">
        <f>ROUND(IF(B269&lt;15,(Valores!$E$5*B269),Valores!$D$5),2)</f>
        <v>27834.84</v>
      </c>
      <c r="Q269" s="125">
        <v>0</v>
      </c>
      <c r="R269" s="125">
        <f>IF($F$4="NO",IF(Valores!$C$49*B269&gt;Valores!$F$46,Valores!$F$46,Valores!$C$49*B269),IF(Valores!$C$49*B269&gt;Valores!$F$46,Valores!$F$46,Valores!$C$49*B269)/2)</f>
        <v>21397.2</v>
      </c>
      <c r="S269" s="125">
        <f>Valores!$C$18*B269</f>
        <v>12776.060000000001</v>
      </c>
      <c r="T269" s="125">
        <f t="shared" si="48"/>
        <v>12776.06</v>
      </c>
      <c r="U269" s="125">
        <v>0</v>
      </c>
      <c r="V269" s="125">
        <v>0</v>
      </c>
      <c r="W269" s="192">
        <v>0</v>
      </c>
      <c r="X269" s="125">
        <f>ROUND(W269*Valores!$C$2,2)</f>
        <v>0</v>
      </c>
      <c r="Y269" s="125">
        <v>0</v>
      </c>
      <c r="Z269" s="125">
        <f>IF(Valores!$C$97*B269&gt;Valores!$C$96,Valores!$C$96,Valores!$C$97*B269)</f>
        <v>39002.92</v>
      </c>
      <c r="AA269" s="125">
        <f>IF((Valores!$C$28)*B269&gt;Valores!$F$28,Valores!$F$28,(Valores!$C$28)*B269)</f>
        <v>1003.64</v>
      </c>
      <c r="AB269" s="214">
        <v>0</v>
      </c>
      <c r="AC269" s="125">
        <f t="shared" si="43"/>
        <v>0</v>
      </c>
      <c r="AD269" s="125">
        <f>IF(Valores!$C$29*B269&gt;Valores!$F$29,Valores!$F$29,Valores!$C$29*B269)</f>
        <v>835.7800000000001</v>
      </c>
      <c r="AE269" s="192">
        <v>0</v>
      </c>
      <c r="AF269" s="125">
        <f>ROUND(AE269*Valores!$C$2,2)</f>
        <v>0</v>
      </c>
      <c r="AG269" s="125">
        <f>IF($F$4="NO",IF(Valores!$D$63*'Escala Docente'!B269&gt;Valores!$F$63,Valores!$F$63,Valores!$D$63*'Escala Docente'!B269),IF(Valores!$D$63*'Escala Docente'!B269&gt;Valores!$F$63,Valores!$F$63,Valores!$D$63*'Escala Docente'!B269)/2)-0.04</f>
        <v>19088.26</v>
      </c>
      <c r="AH269" s="125">
        <f t="shared" si="46"/>
        <v>289396.32000000007</v>
      </c>
      <c r="AI269" s="125">
        <f>IF(Valores!$C$32*B269&gt;Valores!$F$32,Valores!$F$32,Valores!$C$32*B269)</f>
        <v>0</v>
      </c>
      <c r="AJ269" s="125">
        <f>IF(Valores!$C$90*B269&gt;Valores!$C$89,Valores!$C$89,Valores!$C$90*B269)</f>
        <v>0</v>
      </c>
      <c r="AK269" s="125">
        <f>IF(Valores!C$39*B269&gt;Valores!F$38,Valores!F$38,Valores!C$39*B269)</f>
        <v>0</v>
      </c>
      <c r="AL269" s="125">
        <f>IF($F$3="NO",0,IF(Valores!$C$62*B269&gt;Valores!$F$62,Valores!$F$62,Valores!$C$62*B269))</f>
        <v>249.8298</v>
      </c>
      <c r="AM269" s="125">
        <f t="shared" si="44"/>
        <v>249.8298</v>
      </c>
      <c r="AN269" s="125">
        <f>AH269*Valores!$C$71</f>
        <v>-31833.595200000007</v>
      </c>
      <c r="AO269" s="125">
        <f>AH269*-Valores!$C$72</f>
        <v>0</v>
      </c>
      <c r="AP269" s="125">
        <f>AH269*Valores!$C$73</f>
        <v>-13022.834400000002</v>
      </c>
      <c r="AQ269" s="125">
        <f>Valores!$C$100</f>
        <v>-554.86</v>
      </c>
      <c r="AR269" s="125">
        <f>IF($F$5=0,Valores!$C$101,(Valores!$C$101+$F$5*(Valores!$C$101)))</f>
        <v>-852</v>
      </c>
      <c r="AS269" s="125">
        <f t="shared" si="47"/>
        <v>243382.86020000005</v>
      </c>
      <c r="AT269" s="125">
        <f t="shared" si="41"/>
        <v>-31833.595200000007</v>
      </c>
      <c r="AU269" s="125">
        <f>AH269*Valores!$C$74</f>
        <v>-7813.700640000002</v>
      </c>
      <c r="AV269" s="125">
        <f>AH269*Valores!$C$75</f>
        <v>-868.1889600000002</v>
      </c>
      <c r="AW269" s="125">
        <f t="shared" si="45"/>
        <v>249130.66500000007</v>
      </c>
      <c r="AX269" s="126"/>
      <c r="AY269" s="126">
        <f t="shared" si="39"/>
        <v>22</v>
      </c>
      <c r="AZ269" s="123" t="s">
        <v>4</v>
      </c>
    </row>
    <row r="270" spans="1:52" s="110" customFormat="1" ht="11.25" customHeight="1">
      <c r="A270" s="123" t="s">
        <v>471</v>
      </c>
      <c r="B270" s="123">
        <v>22</v>
      </c>
      <c r="C270" s="126">
        <v>263</v>
      </c>
      <c r="D270" s="124" t="str">
        <f>CONCATENATE("Hora Cátedra Enseñanza Media ",B270," hs Esc Esp")</f>
        <v>Hora Cátedra Enseñanza Media 22 hs Esc Esp</v>
      </c>
      <c r="E270" s="192">
        <f t="shared" si="40"/>
        <v>1738</v>
      </c>
      <c r="F270" s="125">
        <f>ROUND(E270*Valores!$C$2,2)</f>
        <v>94634.1</v>
      </c>
      <c r="G270" s="192">
        <v>0</v>
      </c>
      <c r="H270" s="125">
        <f>ROUND(G270*Valores!$C$2,2)</f>
        <v>0</v>
      </c>
      <c r="I270" s="192">
        <v>0</v>
      </c>
      <c r="J270" s="125">
        <f>ROUND(I270*Valores!$C$2,2)</f>
        <v>0</v>
      </c>
      <c r="K270" s="192">
        <v>0</v>
      </c>
      <c r="L270" s="125">
        <f>ROUND(K270*Valores!$C$2,2)</f>
        <v>0</v>
      </c>
      <c r="M270" s="125">
        <f>ROUND(IF($H$2=0,IF(AND(A270&lt;&gt;"13-930",A270&lt;&gt;"13-940"),(SUM(F270,H270,J270,L270,X270,T270,R270)*Valores!$C$4),0),0),2)</f>
        <v>32201.84</v>
      </c>
      <c r="N270" s="125">
        <f t="shared" si="42"/>
        <v>0</v>
      </c>
      <c r="O270" s="125">
        <f>Valores!$C$7*B270</f>
        <v>40621.68</v>
      </c>
      <c r="P270" s="125">
        <f>ROUND(IF(B270&lt;15,(Valores!$E$5*B270),Valores!$D$5),2)</f>
        <v>27834.84</v>
      </c>
      <c r="Q270" s="125">
        <v>0</v>
      </c>
      <c r="R270" s="125">
        <f>IF($F$4="NO",IF(Valores!$C$49*B270&gt;Valores!$F$46,Valores!$F$46,Valores!$C$49*B270),IF(Valores!$C$49*B270&gt;Valores!$F$46,Valores!$F$46,Valores!$C$49*B270)/2)</f>
        <v>21397.2</v>
      </c>
      <c r="S270" s="125">
        <f>Valores!$C$18*B270</f>
        <v>12776.060000000001</v>
      </c>
      <c r="T270" s="125">
        <f t="shared" si="48"/>
        <v>12776.06</v>
      </c>
      <c r="U270" s="125">
        <v>0</v>
      </c>
      <c r="V270" s="125">
        <v>0</v>
      </c>
      <c r="W270" s="192">
        <v>0</v>
      </c>
      <c r="X270" s="125">
        <f>ROUND(W270*Valores!$C$2,2)</f>
        <v>0</v>
      </c>
      <c r="Y270" s="125">
        <v>0</v>
      </c>
      <c r="Z270" s="125">
        <f>IF(Valores!$C$97*B270&gt;Valores!$C$96,Valores!$C$96,Valores!$C$97*B270)</f>
        <v>39002.92</v>
      </c>
      <c r="AA270" s="125">
        <f>IF((Valores!$C$28)*B270&gt;Valores!$F$28,Valores!$F$28,(Valores!$C$28)*B270)</f>
        <v>1003.64</v>
      </c>
      <c r="AB270" s="214">
        <v>0</v>
      </c>
      <c r="AC270" s="125">
        <f t="shared" si="43"/>
        <v>0</v>
      </c>
      <c r="AD270" s="125">
        <f>IF(Valores!$C$29*B270&gt;Valores!$F$29,Valores!$F$29,Valores!$C$29*B270)</f>
        <v>835.7800000000001</v>
      </c>
      <c r="AE270" s="192">
        <v>94</v>
      </c>
      <c r="AF270" s="125">
        <f>ROUND(AE270*Valores!$C$2,2)</f>
        <v>5118.3</v>
      </c>
      <c r="AG270" s="125">
        <f>IF($F$4="NO",IF(Valores!$D$63*'Escala Docente'!B270&gt;Valores!$F$63,Valores!$F$63,Valores!$D$63*'Escala Docente'!B270),IF(Valores!$D$63*'Escala Docente'!B270&gt;Valores!$F$63,Valores!$F$63,Valores!$D$63*'Escala Docente'!B270)/2)-0.04</f>
        <v>19088.26</v>
      </c>
      <c r="AH270" s="125">
        <f t="shared" si="46"/>
        <v>294514.62000000005</v>
      </c>
      <c r="AI270" s="125">
        <f>IF(Valores!$C$32*B270&gt;Valores!$F$32,Valores!$F$32,Valores!$C$32*B270)</f>
        <v>0</v>
      </c>
      <c r="AJ270" s="125">
        <f>IF(Valores!$C$90*B270&gt;Valores!$C$89,Valores!$C$89,Valores!$C$90*B270)</f>
        <v>0</v>
      </c>
      <c r="AK270" s="125">
        <f>IF(Valores!C$39*B270&gt;Valores!F$38,Valores!F$38,Valores!C$39*B270)</f>
        <v>0</v>
      </c>
      <c r="AL270" s="125">
        <f>IF($F$3="NO",0,IF(Valores!$C$62*B270&gt;Valores!$F$62,Valores!$F$62,Valores!$C$62*B270))</f>
        <v>249.8298</v>
      </c>
      <c r="AM270" s="125">
        <f t="shared" si="44"/>
        <v>249.8298</v>
      </c>
      <c r="AN270" s="125">
        <f>AH270*Valores!$C$71</f>
        <v>-32396.608200000006</v>
      </c>
      <c r="AO270" s="125">
        <f>AH270*-Valores!$C$72</f>
        <v>0</v>
      </c>
      <c r="AP270" s="125">
        <f>AH270*Valores!$C$73</f>
        <v>-13253.157900000002</v>
      </c>
      <c r="AQ270" s="125">
        <f>Valores!$C$100</f>
        <v>-554.86</v>
      </c>
      <c r="AR270" s="125">
        <f>IF($F$5=0,Valores!$C$101,(Valores!$C$101+$F$5*(Valores!$C$101)))</f>
        <v>-852</v>
      </c>
      <c r="AS270" s="125">
        <f t="shared" si="47"/>
        <v>247707.82370000004</v>
      </c>
      <c r="AT270" s="125">
        <f t="shared" si="41"/>
        <v>-32396.608200000006</v>
      </c>
      <c r="AU270" s="125">
        <f>AH270*Valores!$C$74</f>
        <v>-7951.894740000002</v>
      </c>
      <c r="AV270" s="125">
        <f>AH270*Valores!$C$75</f>
        <v>-883.5438600000002</v>
      </c>
      <c r="AW270" s="125">
        <f t="shared" si="45"/>
        <v>253532.40300000005</v>
      </c>
      <c r="AX270" s="126"/>
      <c r="AY270" s="126">
        <f t="shared" si="39"/>
        <v>22</v>
      </c>
      <c r="AZ270" s="123" t="s">
        <v>4</v>
      </c>
    </row>
    <row r="271" spans="1:52" s="110" customFormat="1" ht="11.25" customHeight="1">
      <c r="A271" s="123" t="s">
        <v>471</v>
      </c>
      <c r="B271" s="123">
        <v>23</v>
      </c>
      <c r="C271" s="126">
        <v>264</v>
      </c>
      <c r="D271" s="124" t="str">
        <f>CONCATENATE("Hora Cátedra Enseñanza Media ",B271," hs")</f>
        <v>Hora Cátedra Enseñanza Media 23 hs</v>
      </c>
      <c r="E271" s="192">
        <f t="shared" si="40"/>
        <v>1817</v>
      </c>
      <c r="F271" s="125">
        <f>ROUND(E271*Valores!$C$2,2)</f>
        <v>98935.65</v>
      </c>
      <c r="G271" s="192">
        <v>0</v>
      </c>
      <c r="H271" s="125">
        <f>ROUND(G271*Valores!$C$2,2)</f>
        <v>0</v>
      </c>
      <c r="I271" s="192">
        <v>0</v>
      </c>
      <c r="J271" s="125">
        <f>ROUND(I271*Valores!$C$2,2)</f>
        <v>0</v>
      </c>
      <c r="K271" s="192">
        <v>0</v>
      </c>
      <c r="L271" s="125">
        <f>ROUND(K271*Valores!$C$2,2)</f>
        <v>0</v>
      </c>
      <c r="M271" s="125">
        <f>ROUND(IF($H$2=0,IF(AND(A271&lt;&gt;"13-930",A271&lt;&gt;"13-940"),(SUM(F271,H271,J271,L271,X271,T271,R271)*Valores!$C$4),0),0),2)</f>
        <v>33665.56</v>
      </c>
      <c r="N271" s="125">
        <f t="shared" si="42"/>
        <v>0</v>
      </c>
      <c r="O271" s="125">
        <f>Valores!$C$7*B271</f>
        <v>42468.12</v>
      </c>
      <c r="P271" s="125">
        <f>ROUND(IF(B271&lt;15,(Valores!$E$5*B271),Valores!$D$5),2)</f>
        <v>27834.84</v>
      </c>
      <c r="Q271" s="125">
        <v>0</v>
      </c>
      <c r="R271" s="125">
        <f>IF($F$4="NO",IF(Valores!$C$49*B271&gt;Valores!$F$46,Valores!$F$46,Valores!$C$49*B271),IF(Valores!$C$49*B271&gt;Valores!$F$46,Valores!$F$46,Valores!$C$49*B271)/2)</f>
        <v>22369.8</v>
      </c>
      <c r="S271" s="125">
        <f>Valores!$C$18*B271</f>
        <v>13356.79</v>
      </c>
      <c r="T271" s="125">
        <f t="shared" si="48"/>
        <v>13356.79</v>
      </c>
      <c r="U271" s="125">
        <v>0</v>
      </c>
      <c r="V271" s="125">
        <v>0</v>
      </c>
      <c r="W271" s="192">
        <v>0</v>
      </c>
      <c r="X271" s="125">
        <f>ROUND(W271*Valores!$C$2,2)</f>
        <v>0</v>
      </c>
      <c r="Y271" s="125">
        <v>0</v>
      </c>
      <c r="Z271" s="125">
        <f>IF(Valores!$C$97*B271&gt;Valores!$C$96,Valores!$C$96,Valores!$C$97*B271)</f>
        <v>40775.78</v>
      </c>
      <c r="AA271" s="125">
        <f>IF((Valores!$C$28)*B271&gt;Valores!$F$28,Valores!$F$28,(Valores!$C$28)*B271)</f>
        <v>1049.26</v>
      </c>
      <c r="AB271" s="214">
        <v>0</v>
      </c>
      <c r="AC271" s="125">
        <f t="shared" si="43"/>
        <v>0</v>
      </c>
      <c r="AD271" s="125">
        <f>IF(Valores!$C$29*B271&gt;Valores!$F$29,Valores!$F$29,Valores!$C$29*B271)</f>
        <v>873.7700000000001</v>
      </c>
      <c r="AE271" s="192">
        <v>0</v>
      </c>
      <c r="AF271" s="125">
        <f>ROUND(AE271*Valores!$C$2,2)</f>
        <v>0</v>
      </c>
      <c r="AG271" s="125">
        <f>IF($F$4="NO",IF(Valores!$D$63*'Escala Docente'!B271&gt;Valores!$F$63,Valores!$F$63,Valores!$D$63*'Escala Docente'!B271),IF(Valores!$D$63*'Escala Docente'!B271&gt;Valores!$F$63,Valores!$F$63,Valores!$D$63*'Escala Docente'!B271)/2)-0.04</f>
        <v>19955.91</v>
      </c>
      <c r="AH271" s="125">
        <f t="shared" si="46"/>
        <v>301285.48</v>
      </c>
      <c r="AI271" s="125">
        <f>IF(Valores!$C$32*B271&gt;Valores!$F$32,Valores!$F$32,Valores!$C$32*B271)</f>
        <v>0</v>
      </c>
      <c r="AJ271" s="125">
        <f>IF(Valores!$C$90*B271&gt;Valores!$C$89,Valores!$C$89,Valores!$C$90*B271)</f>
        <v>0</v>
      </c>
      <c r="AK271" s="125">
        <f>IF(Valores!C$39*B271&gt;Valores!F$38,Valores!F$38,Valores!C$39*B271)</f>
        <v>0</v>
      </c>
      <c r="AL271" s="125">
        <f>IF($F$3="NO",0,IF(Valores!$C$62*B271&gt;Valores!$F$62,Valores!$F$62,Valores!$C$62*B271))</f>
        <v>261.1857</v>
      </c>
      <c r="AM271" s="125">
        <f t="shared" si="44"/>
        <v>261.1857</v>
      </c>
      <c r="AN271" s="125">
        <f>AH271*Valores!$C$71</f>
        <v>-33141.402799999996</v>
      </c>
      <c r="AO271" s="125">
        <f>AH271*-Valores!$C$72</f>
        <v>0</v>
      </c>
      <c r="AP271" s="125">
        <f>AH271*Valores!$C$73</f>
        <v>-13557.846599999999</v>
      </c>
      <c r="AQ271" s="125">
        <f>Valores!$C$100</f>
        <v>-554.86</v>
      </c>
      <c r="AR271" s="125">
        <f>IF($F$5=0,Valores!$C$101,(Valores!$C$101+$F$5*(Valores!$C$101)))</f>
        <v>-852</v>
      </c>
      <c r="AS271" s="125">
        <f t="shared" si="47"/>
        <v>253440.5563</v>
      </c>
      <c r="AT271" s="125">
        <f t="shared" si="41"/>
        <v>-33141.402799999996</v>
      </c>
      <c r="AU271" s="125">
        <f>AH271*Valores!$C$74</f>
        <v>-8134.70796</v>
      </c>
      <c r="AV271" s="125">
        <f>AH271*Valores!$C$75</f>
        <v>-903.8564399999999</v>
      </c>
      <c r="AW271" s="125">
        <f t="shared" si="45"/>
        <v>259366.69849999994</v>
      </c>
      <c r="AX271" s="126"/>
      <c r="AY271" s="126">
        <f t="shared" si="39"/>
        <v>23</v>
      </c>
      <c r="AZ271" s="123" t="s">
        <v>8</v>
      </c>
    </row>
    <row r="272" spans="1:52" s="110" customFormat="1" ht="11.25" customHeight="1">
      <c r="A272" s="123" t="s">
        <v>471</v>
      </c>
      <c r="B272" s="123">
        <v>23</v>
      </c>
      <c r="C272" s="126">
        <v>265</v>
      </c>
      <c r="D272" s="124" t="str">
        <f>CONCATENATE("Hora Cátedra Enseñanza Media ",B272," hs Esc Esp")</f>
        <v>Hora Cátedra Enseñanza Media 23 hs Esc Esp</v>
      </c>
      <c r="E272" s="192">
        <f t="shared" si="40"/>
        <v>1817</v>
      </c>
      <c r="F272" s="125">
        <f>ROUND(E272*Valores!$C$2,2)</f>
        <v>98935.65</v>
      </c>
      <c r="G272" s="192">
        <v>0</v>
      </c>
      <c r="H272" s="125">
        <f>ROUND(G272*Valores!$C$2,2)</f>
        <v>0</v>
      </c>
      <c r="I272" s="192">
        <v>0</v>
      </c>
      <c r="J272" s="125">
        <f>ROUND(I272*Valores!$C$2,2)</f>
        <v>0</v>
      </c>
      <c r="K272" s="192">
        <v>0</v>
      </c>
      <c r="L272" s="125">
        <f>ROUND(K272*Valores!$C$2,2)</f>
        <v>0</v>
      </c>
      <c r="M272" s="125">
        <f>ROUND(IF($H$2=0,IF(AND(A272&lt;&gt;"13-930",A272&lt;&gt;"13-940"),(SUM(F272,H272,J272,L272,X272,T272,R272)*Valores!$C$4),0),0),2)</f>
        <v>33665.56</v>
      </c>
      <c r="N272" s="125">
        <f t="shared" si="42"/>
        <v>0</v>
      </c>
      <c r="O272" s="125">
        <f>Valores!$C$7*B272</f>
        <v>42468.12</v>
      </c>
      <c r="P272" s="125">
        <f>ROUND(IF(B272&lt;15,(Valores!$E$5*B272),Valores!$D$5),2)</f>
        <v>27834.84</v>
      </c>
      <c r="Q272" s="125">
        <v>0</v>
      </c>
      <c r="R272" s="125">
        <f>IF($F$4="NO",IF(Valores!$C$49*B272&gt;Valores!$F$46,Valores!$F$46,Valores!$C$49*B272),IF(Valores!$C$49*B272&gt;Valores!$F$46,Valores!$F$46,Valores!$C$49*B272)/2)</f>
        <v>22369.8</v>
      </c>
      <c r="S272" s="125">
        <f>Valores!$C$18*B272</f>
        <v>13356.79</v>
      </c>
      <c r="T272" s="125">
        <f t="shared" si="48"/>
        <v>13356.79</v>
      </c>
      <c r="U272" s="125">
        <v>0</v>
      </c>
      <c r="V272" s="125">
        <v>0</v>
      </c>
      <c r="W272" s="192">
        <v>0</v>
      </c>
      <c r="X272" s="125">
        <f>ROUND(W272*Valores!$C$2,2)</f>
        <v>0</v>
      </c>
      <c r="Y272" s="125">
        <v>0</v>
      </c>
      <c r="Z272" s="125">
        <f>IF(Valores!$C$97*B272&gt;Valores!$C$96,Valores!$C$96,Valores!$C$97*B272)</f>
        <v>40775.78</v>
      </c>
      <c r="AA272" s="125">
        <f>IF((Valores!$C$28)*B272&gt;Valores!$F$28,Valores!$F$28,(Valores!$C$28)*B272)</f>
        <v>1049.26</v>
      </c>
      <c r="AB272" s="214">
        <v>0</v>
      </c>
      <c r="AC272" s="125">
        <f t="shared" si="43"/>
        <v>0</v>
      </c>
      <c r="AD272" s="125">
        <f>IF(Valores!$C$29*B272&gt;Valores!$F$29,Valores!$F$29,Valores!$C$29*B272)</f>
        <v>873.7700000000001</v>
      </c>
      <c r="AE272" s="192">
        <v>94</v>
      </c>
      <c r="AF272" s="125">
        <f>ROUND(AE272*Valores!$C$2,2)</f>
        <v>5118.3</v>
      </c>
      <c r="AG272" s="125">
        <f>IF($F$4="NO",IF(Valores!$D$63*'Escala Docente'!B272&gt;Valores!$F$63,Valores!$F$63,Valores!$D$63*'Escala Docente'!B272),IF(Valores!$D$63*'Escala Docente'!B272&gt;Valores!$F$63,Valores!$F$63,Valores!$D$63*'Escala Docente'!B272)/2)-0.04</f>
        <v>19955.91</v>
      </c>
      <c r="AH272" s="125">
        <f t="shared" si="46"/>
        <v>306403.77999999997</v>
      </c>
      <c r="AI272" s="125">
        <f>IF(Valores!$C$32*B272&gt;Valores!$F$32,Valores!$F$32,Valores!$C$32*B272)</f>
        <v>0</v>
      </c>
      <c r="AJ272" s="125">
        <f>IF(Valores!$C$90*B272&gt;Valores!$C$89,Valores!$C$89,Valores!$C$90*B272)</f>
        <v>0</v>
      </c>
      <c r="AK272" s="125">
        <f>IF(Valores!C$39*B272&gt;Valores!F$38,Valores!F$38,Valores!C$39*B272)</f>
        <v>0</v>
      </c>
      <c r="AL272" s="125">
        <f>IF($F$3="NO",0,IF(Valores!$C$62*B272&gt;Valores!$F$62,Valores!$F$62,Valores!$C$62*B272))</f>
        <v>261.1857</v>
      </c>
      <c r="AM272" s="125">
        <f t="shared" si="44"/>
        <v>261.1857</v>
      </c>
      <c r="AN272" s="125">
        <f>AH272*Valores!$C$71</f>
        <v>-33704.415799999995</v>
      </c>
      <c r="AO272" s="125">
        <f>AH272*-Valores!$C$72</f>
        <v>0</v>
      </c>
      <c r="AP272" s="125">
        <f>AH272*Valores!$C$73</f>
        <v>-13788.170099999998</v>
      </c>
      <c r="AQ272" s="125">
        <f>Valores!$C$100</f>
        <v>-554.86</v>
      </c>
      <c r="AR272" s="125">
        <f>IF($F$5=0,Valores!$C$101,(Valores!$C$101+$F$5*(Valores!$C$101)))</f>
        <v>-852</v>
      </c>
      <c r="AS272" s="125">
        <f t="shared" si="47"/>
        <v>257765.51979999998</v>
      </c>
      <c r="AT272" s="125">
        <f t="shared" si="41"/>
        <v>-33704.415799999995</v>
      </c>
      <c r="AU272" s="125">
        <f>AH272*Valores!$C$74</f>
        <v>-8272.902059999999</v>
      </c>
      <c r="AV272" s="125">
        <f>AH272*Valores!$C$75</f>
        <v>-919.21134</v>
      </c>
      <c r="AW272" s="125">
        <f t="shared" si="45"/>
        <v>263768.43649999995</v>
      </c>
      <c r="AX272" s="126"/>
      <c r="AY272" s="126">
        <f t="shared" si="39"/>
        <v>23</v>
      </c>
      <c r="AZ272" s="123" t="s">
        <v>8</v>
      </c>
    </row>
    <row r="273" spans="1:52" s="110" customFormat="1" ht="11.25" customHeight="1">
      <c r="A273" s="123" t="s">
        <v>471</v>
      </c>
      <c r="B273" s="123">
        <v>24</v>
      </c>
      <c r="C273" s="126">
        <v>266</v>
      </c>
      <c r="D273" s="124" t="str">
        <f>CONCATENATE("Hora Cátedra Enseñanza Media ",B273," hs")</f>
        <v>Hora Cátedra Enseñanza Media 24 hs</v>
      </c>
      <c r="E273" s="192">
        <f t="shared" si="40"/>
        <v>1896</v>
      </c>
      <c r="F273" s="125">
        <f>ROUND(E273*Valores!$C$2,2)</f>
        <v>103237.2</v>
      </c>
      <c r="G273" s="192">
        <v>0</v>
      </c>
      <c r="H273" s="125">
        <f>ROUND(G273*Valores!$C$2,2)</f>
        <v>0</v>
      </c>
      <c r="I273" s="192">
        <v>0</v>
      </c>
      <c r="J273" s="125">
        <f>ROUND(I273*Valores!$C$2,2)</f>
        <v>0</v>
      </c>
      <c r="K273" s="192">
        <v>0</v>
      </c>
      <c r="L273" s="125">
        <f>ROUND(K273*Valores!$C$2,2)</f>
        <v>0</v>
      </c>
      <c r="M273" s="125">
        <f>ROUND(IF($H$2=0,IF(AND(A273&lt;&gt;"13-930",A273&lt;&gt;"13-940"),(SUM(F273,H273,J273,L273,X273,T273,R273)*Valores!$C$4),0),0),2)</f>
        <v>35129.28</v>
      </c>
      <c r="N273" s="125">
        <f t="shared" si="42"/>
        <v>0</v>
      </c>
      <c r="O273" s="125">
        <f>Valores!$C$7*B273</f>
        <v>44314.56</v>
      </c>
      <c r="P273" s="125">
        <f>ROUND(IF(B273&lt;15,(Valores!$E$5*B273),Valores!$D$5),2)</f>
        <v>27834.84</v>
      </c>
      <c r="Q273" s="125">
        <v>0</v>
      </c>
      <c r="R273" s="125">
        <f>IF($F$4="NO",IF(Valores!$C$49*B273&gt;Valores!$F$46,Valores!$F$46,Valores!$C$49*B273),IF(Valores!$C$49*B273&gt;Valores!$F$46,Valores!$F$46,Valores!$C$49*B273)/2)</f>
        <v>23342.4</v>
      </c>
      <c r="S273" s="125">
        <f>Valores!$C$18*B273</f>
        <v>13937.52</v>
      </c>
      <c r="T273" s="125">
        <f t="shared" si="48"/>
        <v>13937.52</v>
      </c>
      <c r="U273" s="125">
        <v>0</v>
      </c>
      <c r="V273" s="125">
        <v>0</v>
      </c>
      <c r="W273" s="192">
        <v>0</v>
      </c>
      <c r="X273" s="125">
        <f>ROUND(W273*Valores!$C$2,2)</f>
        <v>0</v>
      </c>
      <c r="Y273" s="125">
        <v>0</v>
      </c>
      <c r="Z273" s="125">
        <f>IF(Valores!$C$97*B273&gt;Valores!$C$96,Valores!$C$96,Valores!$C$97*B273)</f>
        <v>42548.64</v>
      </c>
      <c r="AA273" s="125">
        <f>IF((Valores!$C$28)*B273&gt;Valores!$F$28,Valores!$F$28,(Valores!$C$28)*B273)</f>
        <v>1094.8799999999999</v>
      </c>
      <c r="AB273" s="214">
        <v>0</v>
      </c>
      <c r="AC273" s="125">
        <f t="shared" si="43"/>
        <v>0</v>
      </c>
      <c r="AD273" s="125">
        <f>IF(Valores!$C$29*B273&gt;Valores!$F$29,Valores!$F$29,Valores!$C$29*B273)</f>
        <v>911.76</v>
      </c>
      <c r="AE273" s="192">
        <v>0</v>
      </c>
      <c r="AF273" s="125">
        <f>ROUND(AE273*Valores!$C$2,2)</f>
        <v>0</v>
      </c>
      <c r="AG273" s="125">
        <f>IF($F$4="NO",IF(Valores!$D$63*'Escala Docente'!B273&gt;Valores!$F$63,Valores!$F$63,Valores!$D$63*'Escala Docente'!B273),IF(Valores!$D$63*'Escala Docente'!B273&gt;Valores!$F$63,Valores!$F$63,Valores!$D$63*'Escala Docente'!B273)/2)-0.05</f>
        <v>20823.55</v>
      </c>
      <c r="AH273" s="125">
        <f t="shared" si="46"/>
        <v>313174.62999999995</v>
      </c>
      <c r="AI273" s="125">
        <f>IF(Valores!$C$32*B273&gt;Valores!$F$32,Valores!$F$32,Valores!$C$32*B273)</f>
        <v>0</v>
      </c>
      <c r="AJ273" s="125">
        <f>IF(Valores!$C$90*B273&gt;Valores!$C$89,Valores!$C$89,Valores!$C$90*B273)</f>
        <v>0</v>
      </c>
      <c r="AK273" s="125">
        <f>IF(Valores!C$39*B273&gt;Valores!F$38,Valores!F$38,Valores!C$39*B273)</f>
        <v>0</v>
      </c>
      <c r="AL273" s="125">
        <f>IF($F$3="NO",0,IF(Valores!$C$62*B273&gt;Valores!$F$62,Valores!$F$62,Valores!$C$62*B273))</f>
        <v>272.5416</v>
      </c>
      <c r="AM273" s="125">
        <f t="shared" si="44"/>
        <v>272.5416</v>
      </c>
      <c r="AN273" s="125">
        <f>AH273*Valores!$C$71</f>
        <v>-34449.209299999995</v>
      </c>
      <c r="AO273" s="125">
        <f>AH273*-Valores!$C$72</f>
        <v>0</v>
      </c>
      <c r="AP273" s="125">
        <f>AH273*Valores!$C$73</f>
        <v>-14092.858349999997</v>
      </c>
      <c r="AQ273" s="125">
        <f>Valores!$C$100</f>
        <v>-554.86</v>
      </c>
      <c r="AR273" s="125">
        <f>IF($F$5=0,Valores!$C$101,(Valores!$C$101+$F$5*(Valores!$C$101)))</f>
        <v>-852</v>
      </c>
      <c r="AS273" s="125">
        <f t="shared" si="47"/>
        <v>263498.24395</v>
      </c>
      <c r="AT273" s="125">
        <f t="shared" si="41"/>
        <v>-34449.209299999995</v>
      </c>
      <c r="AU273" s="125">
        <f>AH273*Valores!$C$74</f>
        <v>-8455.715009999998</v>
      </c>
      <c r="AV273" s="125">
        <f>AH273*Valores!$C$75</f>
        <v>-939.5238899999998</v>
      </c>
      <c r="AW273" s="125">
        <f t="shared" si="45"/>
        <v>269602.72339999996</v>
      </c>
      <c r="AX273" s="126"/>
      <c r="AY273" s="126">
        <f t="shared" si="39"/>
        <v>24</v>
      </c>
      <c r="AZ273" s="123" t="s">
        <v>8</v>
      </c>
    </row>
    <row r="274" spans="1:52" s="110" customFormat="1" ht="11.25" customHeight="1">
      <c r="A274" s="123" t="s">
        <v>471</v>
      </c>
      <c r="B274" s="123">
        <v>24</v>
      </c>
      <c r="C274" s="126">
        <v>267</v>
      </c>
      <c r="D274" s="124" t="str">
        <f>CONCATENATE("Hora Cátedra Enseñanza Media ",B274," hs Esc Esp")</f>
        <v>Hora Cátedra Enseñanza Media 24 hs Esc Esp</v>
      </c>
      <c r="E274" s="192">
        <f t="shared" si="40"/>
        <v>1896</v>
      </c>
      <c r="F274" s="125">
        <f>ROUND(E274*Valores!$C$2,2)</f>
        <v>103237.2</v>
      </c>
      <c r="G274" s="192">
        <v>0</v>
      </c>
      <c r="H274" s="125">
        <f>ROUND(G274*Valores!$C$2,2)</f>
        <v>0</v>
      </c>
      <c r="I274" s="192">
        <v>0</v>
      </c>
      <c r="J274" s="125">
        <f>ROUND(I274*Valores!$C$2,2)</f>
        <v>0</v>
      </c>
      <c r="K274" s="192">
        <v>0</v>
      </c>
      <c r="L274" s="125">
        <f>ROUND(K274*Valores!$C$2,2)</f>
        <v>0</v>
      </c>
      <c r="M274" s="125">
        <f>ROUND(IF($H$2=0,IF(AND(A274&lt;&gt;"13-930",A274&lt;&gt;"13-940"),(SUM(F274,H274,J274,L274,X274,T274,R274)*Valores!$C$4),0),0),2)</f>
        <v>35129.28</v>
      </c>
      <c r="N274" s="125">
        <f t="shared" si="42"/>
        <v>0</v>
      </c>
      <c r="O274" s="125">
        <f>Valores!$C$7*B274</f>
        <v>44314.56</v>
      </c>
      <c r="P274" s="125">
        <f>ROUND(IF(B274&lt;15,(Valores!$E$5*B274),Valores!$D$5),2)</f>
        <v>27834.84</v>
      </c>
      <c r="Q274" s="125">
        <v>0</v>
      </c>
      <c r="R274" s="125">
        <f>IF($F$4="NO",IF(Valores!$C$49*B274&gt;Valores!$F$46,Valores!$F$46,Valores!$C$49*B274),IF(Valores!$C$49*B274&gt;Valores!$F$46,Valores!$F$46,Valores!$C$49*B274)/2)</f>
        <v>23342.4</v>
      </c>
      <c r="S274" s="125">
        <f>Valores!$C$18*B274</f>
        <v>13937.52</v>
      </c>
      <c r="T274" s="125">
        <f t="shared" si="48"/>
        <v>13937.52</v>
      </c>
      <c r="U274" s="125">
        <v>0</v>
      </c>
      <c r="V274" s="125">
        <v>0</v>
      </c>
      <c r="W274" s="192">
        <v>0</v>
      </c>
      <c r="X274" s="125">
        <f>ROUND(W274*Valores!$C$2,2)</f>
        <v>0</v>
      </c>
      <c r="Y274" s="125">
        <v>0</v>
      </c>
      <c r="Z274" s="125">
        <f>IF(Valores!$C$97*B274&gt;Valores!$C$96,Valores!$C$96,Valores!$C$97*B274)</f>
        <v>42548.64</v>
      </c>
      <c r="AA274" s="125">
        <f>IF((Valores!$C$28)*B274&gt;Valores!$F$28,Valores!$F$28,(Valores!$C$28)*B274)</f>
        <v>1094.8799999999999</v>
      </c>
      <c r="AB274" s="214">
        <v>0</v>
      </c>
      <c r="AC274" s="125">
        <f t="shared" si="43"/>
        <v>0</v>
      </c>
      <c r="AD274" s="125">
        <f>IF(Valores!$C$29*B274&gt;Valores!$F$29,Valores!$F$29,Valores!$C$29*B274)</f>
        <v>911.76</v>
      </c>
      <c r="AE274" s="192">
        <v>94</v>
      </c>
      <c r="AF274" s="125">
        <f>ROUND(AE274*Valores!$C$2,2)</f>
        <v>5118.3</v>
      </c>
      <c r="AG274" s="125">
        <f>IF($F$4="NO",IF(Valores!$D$63*'Escala Docente'!B274&gt;Valores!$F$63,Valores!$F$63,Valores!$D$63*'Escala Docente'!B274),IF(Valores!$D$63*'Escala Docente'!B274&gt;Valores!$F$63,Valores!$F$63,Valores!$D$63*'Escala Docente'!B274)/2)-0.05</f>
        <v>20823.55</v>
      </c>
      <c r="AH274" s="125">
        <f t="shared" si="46"/>
        <v>318292.92999999993</v>
      </c>
      <c r="AI274" s="125">
        <f>IF(Valores!$C$32*B274&gt;Valores!$F$32,Valores!$F$32,Valores!$C$32*B274)</f>
        <v>0</v>
      </c>
      <c r="AJ274" s="125">
        <f>IF(Valores!$C$90*B274&gt;Valores!$C$89,Valores!$C$89,Valores!$C$90*B274)</f>
        <v>0</v>
      </c>
      <c r="AK274" s="125">
        <f>IF(Valores!C$39*B274&gt;Valores!F$38,Valores!F$38,Valores!C$39*B274)</f>
        <v>0</v>
      </c>
      <c r="AL274" s="125">
        <f>IF($F$3="NO",0,IF(Valores!$C$62*B274&gt;Valores!$F$62,Valores!$F$62,Valores!$C$62*B274))</f>
        <v>272.5416</v>
      </c>
      <c r="AM274" s="125">
        <f t="shared" si="44"/>
        <v>272.5416</v>
      </c>
      <c r="AN274" s="125">
        <f>AH274*Valores!$C$71</f>
        <v>-35012.222299999994</v>
      </c>
      <c r="AO274" s="125">
        <f>AH274*-Valores!$C$72</f>
        <v>0</v>
      </c>
      <c r="AP274" s="125">
        <f>AH274*Valores!$C$73</f>
        <v>-14323.181849999997</v>
      </c>
      <c r="AQ274" s="125">
        <f>Valores!$C$100</f>
        <v>-554.86</v>
      </c>
      <c r="AR274" s="125">
        <f>IF($F$5=0,Valores!$C$101,(Valores!$C$101+$F$5*(Valores!$C$101)))</f>
        <v>-852</v>
      </c>
      <c r="AS274" s="125">
        <f t="shared" si="47"/>
        <v>267823.2074499999</v>
      </c>
      <c r="AT274" s="125">
        <f t="shared" si="41"/>
        <v>-35012.222299999994</v>
      </c>
      <c r="AU274" s="125">
        <f>AH274*Valores!$C$74</f>
        <v>-8593.909109999999</v>
      </c>
      <c r="AV274" s="125">
        <f>AH274*Valores!$C$75</f>
        <v>-954.8787899999999</v>
      </c>
      <c r="AW274" s="125">
        <f t="shared" si="45"/>
        <v>274004.4613999999</v>
      </c>
      <c r="AX274" s="126"/>
      <c r="AY274" s="126">
        <f t="shared" si="39"/>
        <v>24</v>
      </c>
      <c r="AZ274" s="123" t="s">
        <v>8</v>
      </c>
    </row>
    <row r="275" spans="1:52" s="110" customFormat="1" ht="11.25" customHeight="1">
      <c r="A275" s="123" t="s">
        <v>471</v>
      </c>
      <c r="B275" s="123">
        <v>25</v>
      </c>
      <c r="C275" s="126">
        <v>268</v>
      </c>
      <c r="D275" s="124" t="str">
        <f>CONCATENATE("Hora Cátedra Enseñanza Media ",B275," hs")</f>
        <v>Hora Cátedra Enseñanza Media 25 hs</v>
      </c>
      <c r="E275" s="192">
        <f t="shared" si="40"/>
        <v>1975</v>
      </c>
      <c r="F275" s="125">
        <f>ROUND(E275*Valores!$C$2,2)</f>
        <v>107538.75</v>
      </c>
      <c r="G275" s="192">
        <v>0</v>
      </c>
      <c r="H275" s="125">
        <f>ROUND(G275*Valores!$C$2,2)</f>
        <v>0</v>
      </c>
      <c r="I275" s="192">
        <v>0</v>
      </c>
      <c r="J275" s="125">
        <f>ROUND(I275*Valores!$C$2,2)</f>
        <v>0</v>
      </c>
      <c r="K275" s="192">
        <v>0</v>
      </c>
      <c r="L275" s="125">
        <f>ROUND(K275*Valores!$C$2,2)</f>
        <v>0</v>
      </c>
      <c r="M275" s="125">
        <f>ROUND(IF($H$2=0,IF(AND(A275&lt;&gt;"13-930",A275&lt;&gt;"13-940"),(SUM(F275,H275,J275,L275,X275,T275,R275)*Valores!$C$4),0),0),2)</f>
        <v>36593</v>
      </c>
      <c r="N275" s="125">
        <f t="shared" si="42"/>
        <v>0</v>
      </c>
      <c r="O275" s="125">
        <f>Valores!$C$7*B275</f>
        <v>46161</v>
      </c>
      <c r="P275" s="125">
        <f>ROUND(IF(B275&lt;15,(Valores!$E$5*B275),Valores!$D$5),2)</f>
        <v>27834.84</v>
      </c>
      <c r="Q275" s="125">
        <v>0</v>
      </c>
      <c r="R275" s="125">
        <f>IF($F$4="NO",IF(Valores!$C$49*B275&gt;Valores!$F$46,Valores!$F$46,Valores!$C$49*B275),IF(Valores!$C$49*B275&gt;Valores!$F$46,Valores!$F$46,Valores!$C$49*B275)/2)</f>
        <v>24315</v>
      </c>
      <c r="S275" s="125">
        <f>Valores!$C$18*B275</f>
        <v>14518.25</v>
      </c>
      <c r="T275" s="125">
        <f t="shared" si="48"/>
        <v>14518.25</v>
      </c>
      <c r="U275" s="125">
        <v>0</v>
      </c>
      <c r="V275" s="125">
        <v>0</v>
      </c>
      <c r="W275" s="192">
        <v>0</v>
      </c>
      <c r="X275" s="125">
        <f>ROUND(W275*Valores!$C$2,2)</f>
        <v>0</v>
      </c>
      <c r="Y275" s="125">
        <v>0</v>
      </c>
      <c r="Z275" s="125">
        <f>IF(Valores!$C$97*B275&gt;Valores!$C$96,Valores!$C$96,Valores!$C$97*B275)</f>
        <v>44321.5</v>
      </c>
      <c r="AA275" s="125">
        <f>IF((Valores!$C$28)*B275&gt;Valores!$F$28,Valores!$F$28,(Valores!$C$28)*B275)</f>
        <v>1140.5</v>
      </c>
      <c r="AB275" s="214">
        <v>0</v>
      </c>
      <c r="AC275" s="125">
        <f t="shared" si="43"/>
        <v>0</v>
      </c>
      <c r="AD275" s="125">
        <f>IF(Valores!$C$29*B275&gt;Valores!$F$29,Valores!$F$29,Valores!$C$29*B275)</f>
        <v>949.75</v>
      </c>
      <c r="AE275" s="192">
        <v>0</v>
      </c>
      <c r="AF275" s="125">
        <f>ROUND(AE275*Valores!$C$2,2)</f>
        <v>0</v>
      </c>
      <c r="AG275" s="125">
        <f>IF($F$4="NO",IF(Valores!$D$63*'Escala Docente'!B275&gt;Valores!$F$63,Valores!$F$63,Valores!$D$63*'Escala Docente'!B275),IF(Valores!$D$63*'Escala Docente'!B275&gt;Valores!$F$63,Valores!$F$63,Valores!$D$63*'Escala Docente'!B275)/2)-0.05</f>
        <v>21691.2</v>
      </c>
      <c r="AH275" s="125">
        <f t="shared" si="46"/>
        <v>325063.79</v>
      </c>
      <c r="AI275" s="125">
        <f>IF(Valores!$C$32*B275&gt;Valores!$F$32,Valores!$F$32,Valores!$C$32*B275)</f>
        <v>0</v>
      </c>
      <c r="AJ275" s="125">
        <f>IF(Valores!$C$90*B275&gt;Valores!$C$89,Valores!$C$89,Valores!$C$90*B275)</f>
        <v>0</v>
      </c>
      <c r="AK275" s="125">
        <f>IF(Valores!C$39*B275&gt;Valores!F$38,Valores!F$38,Valores!C$39*B275)</f>
        <v>0</v>
      </c>
      <c r="AL275" s="125">
        <f>IF($F$3="NO",0,IF(Valores!$C$62*B275&gt;Valores!$F$62,Valores!$F$62,Valores!$C$62*B275))</f>
        <v>283.8975</v>
      </c>
      <c r="AM275" s="125">
        <f t="shared" si="44"/>
        <v>283.8975</v>
      </c>
      <c r="AN275" s="125">
        <f>AH275*Valores!$C$71</f>
        <v>-35757.016899999995</v>
      </c>
      <c r="AO275" s="125">
        <f>AH275*-Valores!$C$72</f>
        <v>0</v>
      </c>
      <c r="AP275" s="125">
        <f>AH275*Valores!$C$73</f>
        <v>-14627.870549999998</v>
      </c>
      <c r="AQ275" s="125">
        <f>Valores!$C$100</f>
        <v>-554.86</v>
      </c>
      <c r="AR275" s="125">
        <f>IF($F$5=0,Valores!$C$101,(Valores!$C$101+$F$5*(Valores!$C$101)))</f>
        <v>-852</v>
      </c>
      <c r="AS275" s="125">
        <f t="shared" si="47"/>
        <v>273555.94005</v>
      </c>
      <c r="AT275" s="125">
        <f t="shared" si="41"/>
        <v>-35757.016899999995</v>
      </c>
      <c r="AU275" s="125">
        <f>AH275*Valores!$C$74</f>
        <v>-8776.722329999999</v>
      </c>
      <c r="AV275" s="125">
        <f>AH275*Valores!$C$75</f>
        <v>-975.19137</v>
      </c>
      <c r="AW275" s="125">
        <f t="shared" si="45"/>
        <v>279838.75690000004</v>
      </c>
      <c r="AX275" s="126"/>
      <c r="AY275" s="126">
        <f t="shared" si="39"/>
        <v>25</v>
      </c>
      <c r="AZ275" s="123" t="s">
        <v>4</v>
      </c>
    </row>
    <row r="276" spans="1:52" s="110" customFormat="1" ht="11.25" customHeight="1">
      <c r="A276" s="123" t="s">
        <v>471</v>
      </c>
      <c r="B276" s="123">
        <v>25</v>
      </c>
      <c r="C276" s="126">
        <v>269</v>
      </c>
      <c r="D276" s="124" t="str">
        <f>CONCATENATE("Hora Cátedra Enseñanza Media ",B276," hs Esc Esp")</f>
        <v>Hora Cátedra Enseñanza Media 25 hs Esc Esp</v>
      </c>
      <c r="E276" s="192">
        <f t="shared" si="40"/>
        <v>1975</v>
      </c>
      <c r="F276" s="125">
        <f>ROUND(E276*Valores!$C$2,2)</f>
        <v>107538.75</v>
      </c>
      <c r="G276" s="192">
        <v>0</v>
      </c>
      <c r="H276" s="125">
        <f>ROUND(G276*Valores!$C$2,2)</f>
        <v>0</v>
      </c>
      <c r="I276" s="192">
        <v>0</v>
      </c>
      <c r="J276" s="125">
        <f>ROUND(I276*Valores!$C$2,2)</f>
        <v>0</v>
      </c>
      <c r="K276" s="192">
        <v>0</v>
      </c>
      <c r="L276" s="125">
        <f>ROUND(K276*Valores!$C$2,2)</f>
        <v>0</v>
      </c>
      <c r="M276" s="125">
        <f>ROUND(IF($H$2=0,IF(AND(A276&lt;&gt;"13-930",A276&lt;&gt;"13-940"),(SUM(F276,H276,J276,L276,X276,T276,R276)*Valores!$C$4),0),0),2)</f>
        <v>36593</v>
      </c>
      <c r="N276" s="125">
        <f t="shared" si="42"/>
        <v>0</v>
      </c>
      <c r="O276" s="125">
        <f>Valores!$C$7*B276</f>
        <v>46161</v>
      </c>
      <c r="P276" s="125">
        <f>ROUND(IF(B276&lt;15,(Valores!$E$5*B276),Valores!$D$5),2)</f>
        <v>27834.84</v>
      </c>
      <c r="Q276" s="125">
        <v>0</v>
      </c>
      <c r="R276" s="125">
        <f>IF($F$4="NO",IF(Valores!$C$49*B276&gt;Valores!$F$46,Valores!$F$46,Valores!$C$49*B276),IF(Valores!$C$49*B276&gt;Valores!$F$46,Valores!$F$46,Valores!$C$49*B276)/2)</f>
        <v>24315</v>
      </c>
      <c r="S276" s="125">
        <f>Valores!$C$18*B276</f>
        <v>14518.25</v>
      </c>
      <c r="T276" s="125">
        <f t="shared" si="48"/>
        <v>14518.25</v>
      </c>
      <c r="U276" s="125">
        <v>0</v>
      </c>
      <c r="V276" s="125">
        <v>0</v>
      </c>
      <c r="W276" s="192">
        <v>0</v>
      </c>
      <c r="X276" s="125">
        <f>ROUND(W276*Valores!$C$2,2)</f>
        <v>0</v>
      </c>
      <c r="Y276" s="125">
        <v>0</v>
      </c>
      <c r="Z276" s="125">
        <f>IF(Valores!$C$97*B276&gt;Valores!$C$96,Valores!$C$96,Valores!$C$97*B276)</f>
        <v>44321.5</v>
      </c>
      <c r="AA276" s="125">
        <f>IF((Valores!$C$28)*B276&gt;Valores!$F$28,Valores!$F$28,(Valores!$C$28)*B276)</f>
        <v>1140.5</v>
      </c>
      <c r="AB276" s="214">
        <v>0</v>
      </c>
      <c r="AC276" s="125">
        <f t="shared" si="43"/>
        <v>0</v>
      </c>
      <c r="AD276" s="125">
        <f>IF(Valores!$C$29*B276&gt;Valores!$F$29,Valores!$F$29,Valores!$C$29*B276)</f>
        <v>949.75</v>
      </c>
      <c r="AE276" s="192">
        <v>94</v>
      </c>
      <c r="AF276" s="125">
        <f>ROUND(AE276*Valores!$C$2,2)</f>
        <v>5118.3</v>
      </c>
      <c r="AG276" s="125">
        <f>IF($F$4="NO",IF(Valores!$D$63*'Escala Docente'!B276&gt;Valores!$F$63,Valores!$F$63,Valores!$D$63*'Escala Docente'!B276),IF(Valores!$D$63*'Escala Docente'!B276&gt;Valores!$F$63,Valores!$F$63,Valores!$D$63*'Escala Docente'!B276)/2)-0.05</f>
        <v>21691.2</v>
      </c>
      <c r="AH276" s="125">
        <f t="shared" si="46"/>
        <v>330182.08999999997</v>
      </c>
      <c r="AI276" s="125">
        <f>IF(Valores!$C$32*B276&gt;Valores!$F$32,Valores!$F$32,Valores!$C$32*B276)</f>
        <v>0</v>
      </c>
      <c r="AJ276" s="125">
        <f>IF(Valores!$C$90*B276&gt;Valores!$C$89,Valores!$C$89,Valores!$C$90*B276)</f>
        <v>0</v>
      </c>
      <c r="AK276" s="125">
        <f>IF(Valores!C$39*B276&gt;Valores!F$38,Valores!F$38,Valores!C$39*B276)</f>
        <v>0</v>
      </c>
      <c r="AL276" s="125">
        <f>IF($F$3="NO",0,IF(Valores!$C$62*B276&gt;Valores!$F$62,Valores!$F$62,Valores!$C$62*B276))</f>
        <v>283.8975</v>
      </c>
      <c r="AM276" s="125">
        <f t="shared" si="44"/>
        <v>283.8975</v>
      </c>
      <c r="AN276" s="125">
        <f>AH276*Valores!$C$71</f>
        <v>-36320.029899999994</v>
      </c>
      <c r="AO276" s="125">
        <f>AH276*-Valores!$C$72</f>
        <v>0</v>
      </c>
      <c r="AP276" s="125">
        <f>AH276*Valores!$C$73</f>
        <v>-14858.194049999998</v>
      </c>
      <c r="AQ276" s="125">
        <f>Valores!$C$100</f>
        <v>-554.86</v>
      </c>
      <c r="AR276" s="125">
        <f>IF($F$5=0,Valores!$C$101,(Valores!$C$101+$F$5*(Valores!$C$101)))</f>
        <v>-852</v>
      </c>
      <c r="AS276" s="125">
        <f t="shared" si="47"/>
        <v>277880.90355</v>
      </c>
      <c r="AT276" s="125">
        <f t="shared" si="41"/>
        <v>-36320.029899999994</v>
      </c>
      <c r="AU276" s="125">
        <f>AH276*Valores!$C$74</f>
        <v>-8914.91643</v>
      </c>
      <c r="AV276" s="125">
        <f>AH276*Valores!$C$75</f>
        <v>-990.5462699999999</v>
      </c>
      <c r="AW276" s="125">
        <f t="shared" si="45"/>
        <v>284240.4949</v>
      </c>
      <c r="AX276" s="126"/>
      <c r="AY276" s="126">
        <f t="shared" si="39"/>
        <v>25</v>
      </c>
      <c r="AZ276" s="123" t="s">
        <v>4</v>
      </c>
    </row>
    <row r="277" spans="1:52" s="110" customFormat="1" ht="11.25" customHeight="1">
      <c r="A277" s="123" t="s">
        <v>471</v>
      </c>
      <c r="B277" s="123">
        <v>26</v>
      </c>
      <c r="C277" s="126">
        <v>270</v>
      </c>
      <c r="D277" s="124" t="str">
        <f>CONCATENATE("Hora Cátedra Enseñanza Media ",B277," hs")</f>
        <v>Hora Cátedra Enseñanza Media 26 hs</v>
      </c>
      <c r="E277" s="192">
        <f t="shared" si="40"/>
        <v>2054</v>
      </c>
      <c r="F277" s="125">
        <f>ROUND(E277*Valores!$C$2,2)</f>
        <v>111840.3</v>
      </c>
      <c r="G277" s="192">
        <v>0</v>
      </c>
      <c r="H277" s="125">
        <f>ROUND(G277*Valores!$C$2,2)</f>
        <v>0</v>
      </c>
      <c r="I277" s="192">
        <v>0</v>
      </c>
      <c r="J277" s="125">
        <f>ROUND(I277*Valores!$C$2,2)</f>
        <v>0</v>
      </c>
      <c r="K277" s="192">
        <v>0</v>
      </c>
      <c r="L277" s="125">
        <f>ROUND(K277*Valores!$C$2,2)</f>
        <v>0</v>
      </c>
      <c r="M277" s="125">
        <f>ROUND(IF($H$2=0,IF(AND(A277&lt;&gt;"13-930",A277&lt;&gt;"13-940"),(SUM(F277,H277,J277,L277,X277,T277,R277)*Valores!$C$4),0),0),2)</f>
        <v>38056.72</v>
      </c>
      <c r="N277" s="125">
        <f t="shared" si="42"/>
        <v>0</v>
      </c>
      <c r="O277" s="125">
        <f>Valores!$C$7*B277</f>
        <v>48007.44</v>
      </c>
      <c r="P277" s="125">
        <f>ROUND(IF(B277&lt;15,(Valores!$E$5*B277),Valores!$D$5),2)</f>
        <v>27834.84</v>
      </c>
      <c r="Q277" s="125">
        <v>0</v>
      </c>
      <c r="R277" s="125">
        <f>IF($F$4="NO",IF(Valores!$C$49*B277&gt;Valores!$F$46,Valores!$F$46,Valores!$C$49*B277),IF(Valores!$C$49*B277&gt;Valores!$F$46,Valores!$F$46,Valores!$C$49*B277)/2)</f>
        <v>25287.600000000002</v>
      </c>
      <c r="S277" s="125">
        <f>Valores!$C$18*B277</f>
        <v>15098.98</v>
      </c>
      <c r="T277" s="125">
        <f t="shared" si="48"/>
        <v>15098.98</v>
      </c>
      <c r="U277" s="125">
        <v>0</v>
      </c>
      <c r="V277" s="125">
        <v>0</v>
      </c>
      <c r="W277" s="192">
        <v>0</v>
      </c>
      <c r="X277" s="125">
        <f>ROUND(W277*Valores!$C$2,2)</f>
        <v>0</v>
      </c>
      <c r="Y277" s="125">
        <v>0</v>
      </c>
      <c r="Z277" s="125">
        <f>IF(Valores!$C$97*B277&gt;Valores!$C$96,Valores!$C$96,Valores!$C$97*B277)</f>
        <v>46094.36</v>
      </c>
      <c r="AA277" s="125">
        <f>IF((Valores!$C$28)*B277&gt;Valores!$F$28,Valores!$F$28,(Valores!$C$28)*B277)</f>
        <v>1186.12</v>
      </c>
      <c r="AB277" s="214">
        <v>0</v>
      </c>
      <c r="AC277" s="125">
        <f t="shared" si="43"/>
        <v>0</v>
      </c>
      <c r="AD277" s="125">
        <f>IF(Valores!$C$29*B277&gt;Valores!$F$29,Valores!$F$29,Valores!$C$29*B277)</f>
        <v>987.74</v>
      </c>
      <c r="AE277" s="192">
        <v>0</v>
      </c>
      <c r="AF277" s="125">
        <f>ROUND(AE277*Valores!$C$2,2)</f>
        <v>0</v>
      </c>
      <c r="AG277" s="125">
        <f>IF($F$4="NO",IF(Valores!$D$63*'Escala Docente'!B277&gt;Valores!$F$63,Valores!$F$63,Valores!$D$63*'Escala Docente'!B277),IF(Valores!$D$63*'Escala Docente'!B277&gt;Valores!$F$63,Valores!$F$63,Valores!$D$63*'Escala Docente'!B277)/2)-0.05</f>
        <v>22558.85</v>
      </c>
      <c r="AH277" s="125">
        <f t="shared" si="46"/>
        <v>336952.94999999995</v>
      </c>
      <c r="AI277" s="125">
        <f>IF(Valores!$C$32*B277&gt;Valores!$F$32,Valores!$F$32,Valores!$C$32*B277)</f>
        <v>0</v>
      </c>
      <c r="AJ277" s="125">
        <f>IF(Valores!$C$90*B277&gt;Valores!$C$89,Valores!$C$89,Valores!$C$90*B277)</f>
        <v>0</v>
      </c>
      <c r="AK277" s="125">
        <f>IF(Valores!C$39*B277&gt;Valores!F$38,Valores!F$38,Valores!C$39*B277)</f>
        <v>0</v>
      </c>
      <c r="AL277" s="125">
        <f>IF($F$3="NO",0,IF(Valores!$C$62*B277&gt;Valores!$F$62,Valores!$F$62,Valores!$C$62*B277))</f>
        <v>295.2534</v>
      </c>
      <c r="AM277" s="125">
        <f t="shared" si="44"/>
        <v>295.2534</v>
      </c>
      <c r="AN277" s="125">
        <f>AH277*Valores!$C$71</f>
        <v>-37064.824499999995</v>
      </c>
      <c r="AO277" s="125">
        <f>AH277*-Valores!$C$72</f>
        <v>0</v>
      </c>
      <c r="AP277" s="125">
        <f>AH277*Valores!$C$73</f>
        <v>-15162.882749999997</v>
      </c>
      <c r="AQ277" s="125">
        <f>Valores!$C$100</f>
        <v>-554.86</v>
      </c>
      <c r="AR277" s="125">
        <f>IF($F$5=0,Valores!$C$101,(Valores!$C$101+$F$5*(Valores!$C$101)))</f>
        <v>-852</v>
      </c>
      <c r="AS277" s="125">
        <f t="shared" si="47"/>
        <v>283613.63615</v>
      </c>
      <c r="AT277" s="125">
        <f t="shared" si="41"/>
        <v>-37064.824499999995</v>
      </c>
      <c r="AU277" s="125">
        <f>AH277*Valores!$C$74</f>
        <v>-9097.72965</v>
      </c>
      <c r="AV277" s="125">
        <f>AH277*Valores!$C$75</f>
        <v>-1010.8588499999998</v>
      </c>
      <c r="AW277" s="125">
        <f t="shared" si="45"/>
        <v>290074.79039999994</v>
      </c>
      <c r="AX277" s="126"/>
      <c r="AY277" s="126">
        <f t="shared" si="39"/>
        <v>26</v>
      </c>
      <c r="AZ277" s="123" t="s">
        <v>4</v>
      </c>
    </row>
    <row r="278" spans="1:52" s="110" customFormat="1" ht="11.25" customHeight="1">
      <c r="A278" s="123" t="s">
        <v>471</v>
      </c>
      <c r="B278" s="123">
        <v>26</v>
      </c>
      <c r="C278" s="126">
        <v>271</v>
      </c>
      <c r="D278" s="124" t="str">
        <f>CONCATENATE("Hora Cátedra Enseñanza Media ",B278," hs Esc Esp")</f>
        <v>Hora Cátedra Enseñanza Media 26 hs Esc Esp</v>
      </c>
      <c r="E278" s="192">
        <f t="shared" si="40"/>
        <v>2054</v>
      </c>
      <c r="F278" s="125">
        <f>ROUND(E278*Valores!$C$2,2)</f>
        <v>111840.3</v>
      </c>
      <c r="G278" s="192">
        <v>0</v>
      </c>
      <c r="H278" s="125">
        <f>ROUND(G278*Valores!$C$2,2)</f>
        <v>0</v>
      </c>
      <c r="I278" s="192">
        <v>0</v>
      </c>
      <c r="J278" s="125">
        <f>ROUND(I278*Valores!$C$2,2)</f>
        <v>0</v>
      </c>
      <c r="K278" s="192">
        <v>0</v>
      </c>
      <c r="L278" s="125">
        <f>ROUND(K278*Valores!$C$2,2)</f>
        <v>0</v>
      </c>
      <c r="M278" s="125">
        <f>ROUND(IF($H$2=0,IF(AND(A278&lt;&gt;"13-930",A278&lt;&gt;"13-940"),(SUM(F278,H278,J278,L278,X278,T278,R278)*Valores!$C$4),0),0),2)</f>
        <v>38056.72</v>
      </c>
      <c r="N278" s="125">
        <f t="shared" si="42"/>
        <v>0</v>
      </c>
      <c r="O278" s="125">
        <f>Valores!$C$7*B278</f>
        <v>48007.44</v>
      </c>
      <c r="P278" s="125">
        <f>ROUND(IF(B278&lt;15,(Valores!$E$5*B278),Valores!$D$5),2)</f>
        <v>27834.84</v>
      </c>
      <c r="Q278" s="125">
        <v>0</v>
      </c>
      <c r="R278" s="125">
        <f>IF($F$4="NO",IF(Valores!$C$49*B278&gt;Valores!$F$46,Valores!$F$46,Valores!$C$49*B278),IF(Valores!$C$49*B278&gt;Valores!$F$46,Valores!$F$46,Valores!$C$49*B278)/2)</f>
        <v>25287.600000000002</v>
      </c>
      <c r="S278" s="125">
        <f>Valores!$C$18*B278</f>
        <v>15098.98</v>
      </c>
      <c r="T278" s="125">
        <f t="shared" si="48"/>
        <v>15098.98</v>
      </c>
      <c r="U278" s="125">
        <v>0</v>
      </c>
      <c r="V278" s="125">
        <v>0</v>
      </c>
      <c r="W278" s="192">
        <v>0</v>
      </c>
      <c r="X278" s="125">
        <f>ROUND(W278*Valores!$C$2,2)</f>
        <v>0</v>
      </c>
      <c r="Y278" s="125">
        <v>0</v>
      </c>
      <c r="Z278" s="125">
        <f>IF(Valores!$C$97*B278&gt;Valores!$C$96,Valores!$C$96,Valores!$C$97*B278)</f>
        <v>46094.36</v>
      </c>
      <c r="AA278" s="125">
        <f>IF((Valores!$C$28)*B278&gt;Valores!$F$28,Valores!$F$28,(Valores!$C$28)*B278)</f>
        <v>1186.12</v>
      </c>
      <c r="AB278" s="214">
        <v>0</v>
      </c>
      <c r="AC278" s="125">
        <f t="shared" si="43"/>
        <v>0</v>
      </c>
      <c r="AD278" s="125">
        <f>IF(Valores!$C$29*B278&gt;Valores!$F$29,Valores!$F$29,Valores!$C$29*B278)</f>
        <v>987.74</v>
      </c>
      <c r="AE278" s="192">
        <v>94</v>
      </c>
      <c r="AF278" s="125">
        <f>ROUND(AE278*Valores!$C$2,2)</f>
        <v>5118.3</v>
      </c>
      <c r="AG278" s="125">
        <f>IF($F$4="NO",IF(Valores!$D$63*'Escala Docente'!B278&gt;Valores!$F$63,Valores!$F$63,Valores!$D$63*'Escala Docente'!B278),IF(Valores!$D$63*'Escala Docente'!B278&gt;Valores!$F$63,Valores!$F$63,Valores!$D$63*'Escala Docente'!B278)/2)-0.05</f>
        <v>22558.85</v>
      </c>
      <c r="AH278" s="125">
        <f t="shared" si="46"/>
        <v>342071.24999999994</v>
      </c>
      <c r="AI278" s="125">
        <f>IF(Valores!$C$32*B278&gt;Valores!$F$32,Valores!$F$32,Valores!$C$32*B278)</f>
        <v>0</v>
      </c>
      <c r="AJ278" s="125">
        <f>IF(Valores!$C$90*B278&gt;Valores!$C$89,Valores!$C$89,Valores!$C$90*B278)</f>
        <v>0</v>
      </c>
      <c r="AK278" s="125">
        <f>IF(Valores!C$39*B278&gt;Valores!F$38,Valores!F$38,Valores!C$39*B278)</f>
        <v>0</v>
      </c>
      <c r="AL278" s="125">
        <f>IF($F$3="NO",0,IF(Valores!$C$62*B278&gt;Valores!$F$62,Valores!$F$62,Valores!$C$62*B278))</f>
        <v>295.2534</v>
      </c>
      <c r="AM278" s="125">
        <f t="shared" si="44"/>
        <v>295.2534</v>
      </c>
      <c r="AN278" s="125">
        <f>AH278*Valores!$C$71</f>
        <v>-37627.837499999994</v>
      </c>
      <c r="AO278" s="125">
        <f>AH278*-Valores!$C$72</f>
        <v>0</v>
      </c>
      <c r="AP278" s="125">
        <f>AH278*Valores!$C$73</f>
        <v>-15393.206249999997</v>
      </c>
      <c r="AQ278" s="125">
        <f>Valores!$C$100</f>
        <v>-554.86</v>
      </c>
      <c r="AR278" s="125">
        <f>IF($F$5=0,Valores!$C$101,(Valores!$C$101+$F$5*(Valores!$C$101)))</f>
        <v>-852</v>
      </c>
      <c r="AS278" s="125">
        <f t="shared" si="47"/>
        <v>287938.59964999993</v>
      </c>
      <c r="AT278" s="125">
        <f t="shared" si="41"/>
        <v>-37627.837499999994</v>
      </c>
      <c r="AU278" s="125">
        <f>AH278*Valores!$C$74</f>
        <v>-9235.923749999998</v>
      </c>
      <c r="AV278" s="125">
        <f>AH278*Valores!$C$75</f>
        <v>-1026.21375</v>
      </c>
      <c r="AW278" s="125">
        <f t="shared" si="45"/>
        <v>294476.52839999995</v>
      </c>
      <c r="AX278" s="126"/>
      <c r="AY278" s="126">
        <f t="shared" si="39"/>
        <v>26</v>
      </c>
      <c r="AZ278" s="123" t="s">
        <v>4</v>
      </c>
    </row>
    <row r="279" spans="1:52" s="110" customFormat="1" ht="11.25" customHeight="1">
      <c r="A279" s="123" t="s">
        <v>471</v>
      </c>
      <c r="B279" s="123">
        <v>27</v>
      </c>
      <c r="C279" s="126">
        <v>272</v>
      </c>
      <c r="D279" s="124" t="str">
        <f>CONCATENATE("Hora Cátedra Enseñanza Media ",B279," hs")</f>
        <v>Hora Cátedra Enseñanza Media 27 hs</v>
      </c>
      <c r="E279" s="192">
        <f t="shared" si="40"/>
        <v>2133</v>
      </c>
      <c r="F279" s="125">
        <f>ROUND(E279*Valores!$C$2,2)</f>
        <v>116141.85</v>
      </c>
      <c r="G279" s="192">
        <v>0</v>
      </c>
      <c r="H279" s="125">
        <f>ROUND(G279*Valores!$C$2,2)</f>
        <v>0</v>
      </c>
      <c r="I279" s="192">
        <v>0</v>
      </c>
      <c r="J279" s="125">
        <f>ROUND(I279*Valores!$C$2,2)</f>
        <v>0</v>
      </c>
      <c r="K279" s="192">
        <v>0</v>
      </c>
      <c r="L279" s="125">
        <f>ROUND(K279*Valores!$C$2,2)</f>
        <v>0</v>
      </c>
      <c r="M279" s="125">
        <f>ROUND(IF($H$2=0,IF(AND(A279&lt;&gt;"13-930",A279&lt;&gt;"13-940"),(SUM(F279,H279,J279,L279,X279,T279,R279)*Valores!$C$4),0),0),2)</f>
        <v>39520.44</v>
      </c>
      <c r="N279" s="125">
        <f t="shared" si="42"/>
        <v>0</v>
      </c>
      <c r="O279" s="125">
        <f>Valores!$C$7*B279</f>
        <v>49853.880000000005</v>
      </c>
      <c r="P279" s="125">
        <f>ROUND(IF(B279&lt;15,(Valores!$E$5*B279),Valores!$D$5),2)</f>
        <v>27834.84</v>
      </c>
      <c r="Q279" s="125">
        <v>0</v>
      </c>
      <c r="R279" s="125">
        <f>IF($F$4="NO",IF(Valores!$C$49*B279&gt;Valores!$F$46,Valores!$F$46,Valores!$C$49*B279),IF(Valores!$C$49*B279&gt;Valores!$F$46,Valores!$F$46,Valores!$C$49*B279)/2)</f>
        <v>26260.2</v>
      </c>
      <c r="S279" s="125">
        <f>Valores!$C$18*B279</f>
        <v>15679.710000000001</v>
      </c>
      <c r="T279" s="125">
        <f t="shared" si="48"/>
        <v>15679.71</v>
      </c>
      <c r="U279" s="125">
        <v>0</v>
      </c>
      <c r="V279" s="125">
        <v>0</v>
      </c>
      <c r="W279" s="192">
        <v>0</v>
      </c>
      <c r="X279" s="125">
        <f>ROUND(W279*Valores!$C$2,2)</f>
        <v>0</v>
      </c>
      <c r="Y279" s="125">
        <v>0</v>
      </c>
      <c r="Z279" s="125">
        <f>IF(Valores!$C$97*B279&gt;Valores!$C$96,Valores!$C$96,Valores!$C$97*B279)</f>
        <v>47867.219999999994</v>
      </c>
      <c r="AA279" s="125">
        <f>IF((Valores!$C$28)*B279&gt;Valores!$F$28,Valores!$F$28,(Valores!$C$28)*B279)</f>
        <v>1231.74</v>
      </c>
      <c r="AB279" s="214">
        <v>0</v>
      </c>
      <c r="AC279" s="125">
        <f t="shared" si="43"/>
        <v>0</v>
      </c>
      <c r="AD279" s="125">
        <f>IF(Valores!$C$29*B279&gt;Valores!$F$29,Valores!$F$29,Valores!$C$29*B279)</f>
        <v>1025.73</v>
      </c>
      <c r="AE279" s="192">
        <v>0</v>
      </c>
      <c r="AF279" s="125">
        <f>ROUND(AE279*Valores!$C$2,2)</f>
        <v>0</v>
      </c>
      <c r="AG279" s="125">
        <f>IF($F$4="NO",IF(Valores!$D$63*'Escala Docente'!B279&gt;Valores!$F$63,Valores!$F$63,Valores!$D$63*'Escala Docente'!B279),IF(Valores!$D$63*'Escala Docente'!B279&gt;Valores!$F$63,Valores!$F$63,Valores!$D$63*'Escala Docente'!B279)/2)-0.06</f>
        <v>23426.489999999998</v>
      </c>
      <c r="AH279" s="125">
        <f t="shared" si="46"/>
        <v>348842.1</v>
      </c>
      <c r="AI279" s="125">
        <f>IF(Valores!$C$32*B279&gt;Valores!$F$32,Valores!$F$32,Valores!$C$32*B279)</f>
        <v>0</v>
      </c>
      <c r="AJ279" s="125">
        <f>IF(Valores!$C$90*B279&gt;Valores!$C$89,Valores!$C$89,Valores!$C$90*B279)</f>
        <v>0</v>
      </c>
      <c r="AK279" s="125">
        <f>IF(Valores!C$39*B279&gt;Valores!F$38,Valores!F$38,Valores!C$39*B279)</f>
        <v>0</v>
      </c>
      <c r="AL279" s="125">
        <f>IF($F$3="NO",0,IF(Valores!$C$62*B279&gt;Valores!$F$62,Valores!$F$62,Valores!$C$62*B279))</f>
        <v>306.6093</v>
      </c>
      <c r="AM279" s="125">
        <f t="shared" si="44"/>
        <v>306.6093</v>
      </c>
      <c r="AN279" s="125">
        <f>AH279*Valores!$C$71</f>
        <v>-38372.631</v>
      </c>
      <c r="AO279" s="125">
        <f>AH279*-Valores!$C$72</f>
        <v>0</v>
      </c>
      <c r="AP279" s="125">
        <f>AH279*Valores!$C$73</f>
        <v>-15697.894499999999</v>
      </c>
      <c r="AQ279" s="125">
        <f>Valores!$C$100</f>
        <v>-554.86</v>
      </c>
      <c r="AR279" s="125">
        <f>IF($F$5=0,Valores!$C$101,(Valores!$C$101+$F$5*(Valores!$C$101)))</f>
        <v>-852</v>
      </c>
      <c r="AS279" s="125">
        <f t="shared" si="47"/>
        <v>293671.32379999995</v>
      </c>
      <c r="AT279" s="125">
        <f t="shared" si="41"/>
        <v>-38372.631</v>
      </c>
      <c r="AU279" s="125">
        <f>AH279*Valores!$C$74</f>
        <v>-9418.7367</v>
      </c>
      <c r="AV279" s="125">
        <f>AH279*Valores!$C$75</f>
        <v>-1046.5263</v>
      </c>
      <c r="AW279" s="125">
        <f t="shared" si="45"/>
        <v>300310.8153</v>
      </c>
      <c r="AX279" s="126"/>
      <c r="AY279" s="126">
        <f t="shared" si="39"/>
        <v>27</v>
      </c>
      <c r="AZ279" s="123" t="s">
        <v>8</v>
      </c>
    </row>
    <row r="280" spans="1:52" s="110" customFormat="1" ht="11.25" customHeight="1">
      <c r="A280" s="123" t="s">
        <v>471</v>
      </c>
      <c r="B280" s="123">
        <v>27</v>
      </c>
      <c r="C280" s="126">
        <v>273</v>
      </c>
      <c r="D280" s="124" t="str">
        <f>CONCATENATE("Hora Cátedra Enseñanza Media ",B280," hs Esc Esp")</f>
        <v>Hora Cátedra Enseñanza Media 27 hs Esc Esp</v>
      </c>
      <c r="E280" s="192">
        <f t="shared" si="40"/>
        <v>2133</v>
      </c>
      <c r="F280" s="125">
        <f>ROUND(E280*Valores!$C$2,2)</f>
        <v>116141.85</v>
      </c>
      <c r="G280" s="192">
        <v>0</v>
      </c>
      <c r="H280" s="125">
        <f>ROUND(G280*Valores!$C$2,2)</f>
        <v>0</v>
      </c>
      <c r="I280" s="192">
        <v>0</v>
      </c>
      <c r="J280" s="125">
        <f>ROUND(I280*Valores!$C$2,2)</f>
        <v>0</v>
      </c>
      <c r="K280" s="192">
        <v>0</v>
      </c>
      <c r="L280" s="125">
        <f>ROUND(K280*Valores!$C$2,2)</f>
        <v>0</v>
      </c>
      <c r="M280" s="125">
        <f>ROUND(IF($H$2=0,IF(AND(A280&lt;&gt;"13-930",A280&lt;&gt;"13-940"),(SUM(F280,H280,J280,L280,X280,T280,R280)*Valores!$C$4),0),0),2)</f>
        <v>39520.44</v>
      </c>
      <c r="N280" s="125">
        <f t="shared" si="42"/>
        <v>0</v>
      </c>
      <c r="O280" s="125">
        <f>Valores!$C$7*B280</f>
        <v>49853.880000000005</v>
      </c>
      <c r="P280" s="125">
        <f>ROUND(IF(B280&lt;15,(Valores!$E$5*B280),Valores!$D$5),2)</f>
        <v>27834.84</v>
      </c>
      <c r="Q280" s="125">
        <v>0</v>
      </c>
      <c r="R280" s="125">
        <f>IF($F$4="NO",IF(Valores!$C$49*B280&gt;Valores!$F$46,Valores!$F$46,Valores!$C$49*B280),IF(Valores!$C$49*B280&gt;Valores!$F$46,Valores!$F$46,Valores!$C$49*B280)/2)</f>
        <v>26260.2</v>
      </c>
      <c r="S280" s="125">
        <f>Valores!$C$18*B280</f>
        <v>15679.710000000001</v>
      </c>
      <c r="T280" s="125">
        <f t="shared" si="48"/>
        <v>15679.71</v>
      </c>
      <c r="U280" s="125">
        <v>0</v>
      </c>
      <c r="V280" s="125">
        <v>0</v>
      </c>
      <c r="W280" s="192">
        <v>0</v>
      </c>
      <c r="X280" s="125">
        <f>ROUND(W280*Valores!$C$2,2)</f>
        <v>0</v>
      </c>
      <c r="Y280" s="125">
        <v>0</v>
      </c>
      <c r="Z280" s="125">
        <f>IF(Valores!$C$97*B280&gt;Valores!$C$96,Valores!$C$96,Valores!$C$97*B280)</f>
        <v>47867.219999999994</v>
      </c>
      <c r="AA280" s="125">
        <f>IF((Valores!$C$28)*B280&gt;Valores!$F$28,Valores!$F$28,(Valores!$C$28)*B280)</f>
        <v>1231.74</v>
      </c>
      <c r="AB280" s="214">
        <v>0</v>
      </c>
      <c r="AC280" s="125">
        <f t="shared" si="43"/>
        <v>0</v>
      </c>
      <c r="AD280" s="125">
        <f>IF(Valores!$C$29*B280&gt;Valores!$F$29,Valores!$F$29,Valores!$C$29*B280)</f>
        <v>1025.73</v>
      </c>
      <c r="AE280" s="192">
        <v>94</v>
      </c>
      <c r="AF280" s="125">
        <f>ROUND(AE280*Valores!$C$2,2)</f>
        <v>5118.3</v>
      </c>
      <c r="AG280" s="125">
        <f>IF($F$4="NO",IF(Valores!$D$63*'Escala Docente'!B280&gt;Valores!$F$63,Valores!$F$63,Valores!$D$63*'Escala Docente'!B280),IF(Valores!$D$63*'Escala Docente'!B280&gt;Valores!$F$63,Valores!$F$63,Valores!$D$63*'Escala Docente'!B280)/2)-0.06</f>
        <v>23426.489999999998</v>
      </c>
      <c r="AH280" s="125">
        <f t="shared" si="46"/>
        <v>353960.39999999997</v>
      </c>
      <c r="AI280" s="125">
        <f>IF(Valores!$C$32*B280&gt;Valores!$F$32,Valores!$F$32,Valores!$C$32*B280)</f>
        <v>0</v>
      </c>
      <c r="AJ280" s="125">
        <f>IF(Valores!$C$90*B280&gt;Valores!$C$89,Valores!$C$89,Valores!$C$90*B280)</f>
        <v>0</v>
      </c>
      <c r="AK280" s="125">
        <f>IF(Valores!C$39*B280&gt;Valores!F$38,Valores!F$38,Valores!C$39*B280)</f>
        <v>0</v>
      </c>
      <c r="AL280" s="125">
        <f>IF($F$3="NO",0,IF(Valores!$C$62*B280&gt;Valores!$F$62,Valores!$F$62,Valores!$C$62*B280))</f>
        <v>306.6093</v>
      </c>
      <c r="AM280" s="125">
        <f t="shared" si="44"/>
        <v>306.6093</v>
      </c>
      <c r="AN280" s="125">
        <f>AH280*Valores!$C$71</f>
        <v>-38935.64399999999</v>
      </c>
      <c r="AO280" s="125">
        <f>AH280*-Valores!$C$72</f>
        <v>0</v>
      </c>
      <c r="AP280" s="125">
        <f>AH280*Valores!$C$73</f>
        <v>-15928.217999999997</v>
      </c>
      <c r="AQ280" s="125">
        <f>Valores!$C$100</f>
        <v>-554.86</v>
      </c>
      <c r="AR280" s="125">
        <f>IF($F$5=0,Valores!$C$101,(Valores!$C$101+$F$5*(Valores!$C$101)))</f>
        <v>-852</v>
      </c>
      <c r="AS280" s="125">
        <f t="shared" si="47"/>
        <v>297996.28729999997</v>
      </c>
      <c r="AT280" s="125">
        <f t="shared" si="41"/>
        <v>-38935.64399999999</v>
      </c>
      <c r="AU280" s="125">
        <f>AH280*Valores!$C$74</f>
        <v>-9556.930799999998</v>
      </c>
      <c r="AV280" s="125">
        <f>AH280*Valores!$C$75</f>
        <v>-1061.8811999999998</v>
      </c>
      <c r="AW280" s="125">
        <f t="shared" si="45"/>
        <v>304712.55329999997</v>
      </c>
      <c r="AX280" s="126"/>
      <c r="AY280" s="126">
        <f t="shared" si="39"/>
        <v>27</v>
      </c>
      <c r="AZ280" s="123" t="s">
        <v>8</v>
      </c>
    </row>
    <row r="281" spans="1:52" s="110" customFormat="1" ht="11.25" customHeight="1">
      <c r="A281" s="123" t="s">
        <v>471</v>
      </c>
      <c r="B281" s="123">
        <v>28</v>
      </c>
      <c r="C281" s="126">
        <v>274</v>
      </c>
      <c r="D281" s="124" t="str">
        <f>CONCATENATE("Hora Cátedra Enseñanza Media ",B281," hs")</f>
        <v>Hora Cátedra Enseñanza Media 28 hs</v>
      </c>
      <c r="E281" s="192">
        <f t="shared" si="40"/>
        <v>2212</v>
      </c>
      <c r="F281" s="125">
        <f>ROUND(E281*Valores!$C$2,2)</f>
        <v>120443.4</v>
      </c>
      <c r="G281" s="192">
        <v>0</v>
      </c>
      <c r="H281" s="125">
        <f>ROUND(G281*Valores!$C$2,2)</f>
        <v>0</v>
      </c>
      <c r="I281" s="192">
        <v>0</v>
      </c>
      <c r="J281" s="125">
        <f>ROUND(I281*Valores!$C$2,2)</f>
        <v>0</v>
      </c>
      <c r="K281" s="192">
        <v>0</v>
      </c>
      <c r="L281" s="125">
        <f>ROUND(K281*Valores!$C$2,2)</f>
        <v>0</v>
      </c>
      <c r="M281" s="125">
        <f>ROUND(IF($H$2=0,IF(AND(A281&lt;&gt;"13-930",A281&lt;&gt;"13-940"),(SUM(F281,H281,J281,L281,X281,T281,R281)*Valores!$C$4),0),0),2)</f>
        <v>40984.16</v>
      </c>
      <c r="N281" s="125">
        <f t="shared" si="42"/>
        <v>0</v>
      </c>
      <c r="O281" s="125">
        <f>Valores!$C$7*B281</f>
        <v>51700.32</v>
      </c>
      <c r="P281" s="125">
        <f>ROUND(IF(B281&lt;15,(Valores!$E$5*B281),Valores!$D$5),2)</f>
        <v>27834.84</v>
      </c>
      <c r="Q281" s="125">
        <v>0</v>
      </c>
      <c r="R281" s="125">
        <f>IF($F$4="NO",IF(Valores!$C$49*B281&gt;Valores!$F$46,Valores!$F$46,Valores!$C$49*B281),IF(Valores!$C$49*B281&gt;Valores!$F$46,Valores!$F$46,Valores!$C$49*B281)/2)</f>
        <v>27232.8</v>
      </c>
      <c r="S281" s="125">
        <f>Valores!$C$18*B281</f>
        <v>16260.44</v>
      </c>
      <c r="T281" s="125">
        <f t="shared" si="48"/>
        <v>16260.44</v>
      </c>
      <c r="U281" s="125">
        <v>0</v>
      </c>
      <c r="V281" s="125">
        <v>0</v>
      </c>
      <c r="W281" s="192">
        <v>0</v>
      </c>
      <c r="X281" s="125">
        <f>ROUND(W281*Valores!$C$2,2)</f>
        <v>0</v>
      </c>
      <c r="Y281" s="125">
        <v>0</v>
      </c>
      <c r="Z281" s="125">
        <f>IF(Valores!$C$97*B281&gt;Valores!$C$96,Valores!$C$96,Valores!$C$97*B281)</f>
        <v>49640.079999999994</v>
      </c>
      <c r="AA281" s="125">
        <f>IF((Valores!$C$28)*B281&gt;Valores!$F$28,Valores!$F$28,(Valores!$C$28)*B281)</f>
        <v>1277.36</v>
      </c>
      <c r="AB281" s="214">
        <v>0</v>
      </c>
      <c r="AC281" s="125">
        <f t="shared" si="43"/>
        <v>0</v>
      </c>
      <c r="AD281" s="125">
        <f>IF(Valores!$C$29*B281&gt;Valores!$F$29,Valores!$F$29,Valores!$C$29*B281)</f>
        <v>1063.72</v>
      </c>
      <c r="AE281" s="192">
        <v>0</v>
      </c>
      <c r="AF281" s="125">
        <f>ROUND(AE281*Valores!$C$2,2)</f>
        <v>0</v>
      </c>
      <c r="AG281" s="125">
        <f>IF($F$4="NO",IF(Valores!$D$63*'Escala Docente'!B281&gt;Valores!$F$63,Valores!$F$63,Valores!$D$63*'Escala Docente'!B281),IF(Valores!$D$63*'Escala Docente'!B281&gt;Valores!$F$63,Valores!$F$63,Valores!$D$63*'Escala Docente'!B281)/2)-0.06</f>
        <v>24294.14</v>
      </c>
      <c r="AH281" s="125">
        <f t="shared" si="46"/>
        <v>360731.26</v>
      </c>
      <c r="AI281" s="125">
        <f>IF(Valores!$C$32*B281&gt;Valores!$F$32,Valores!$F$32,Valores!$C$32*B281)</f>
        <v>0</v>
      </c>
      <c r="AJ281" s="125">
        <f>IF(Valores!$C$90*B281&gt;Valores!$C$89,Valores!$C$89,Valores!$C$90*B281)</f>
        <v>0</v>
      </c>
      <c r="AK281" s="125">
        <f>IF(Valores!C$39*B281&gt;Valores!F$38,Valores!F$38,Valores!C$39*B281)</f>
        <v>0</v>
      </c>
      <c r="AL281" s="125">
        <f>IF($F$3="NO",0,IF(Valores!$C$62*B281&gt;Valores!$F$62,Valores!$F$62,Valores!$C$62*B281))</f>
        <v>317.9652</v>
      </c>
      <c r="AM281" s="125">
        <f t="shared" si="44"/>
        <v>317.9652</v>
      </c>
      <c r="AN281" s="125">
        <f>AH281*Valores!$C$71</f>
        <v>-39680.4386</v>
      </c>
      <c r="AO281" s="125">
        <f>AH281*-Valores!$C$72</f>
        <v>0</v>
      </c>
      <c r="AP281" s="125">
        <f>AH281*Valores!$C$73</f>
        <v>-16232.9067</v>
      </c>
      <c r="AQ281" s="125">
        <f>Valores!$C$100</f>
        <v>-554.86</v>
      </c>
      <c r="AR281" s="125">
        <f>IF($F$5=0,Valores!$C$101,(Valores!$C$101+$F$5*(Valores!$C$101)))</f>
        <v>-852</v>
      </c>
      <c r="AS281" s="125">
        <f t="shared" si="47"/>
        <v>303729.0199</v>
      </c>
      <c r="AT281" s="125">
        <f t="shared" si="41"/>
        <v>-39680.4386</v>
      </c>
      <c r="AU281" s="125">
        <f>AH281*Valores!$C$74</f>
        <v>-9739.74402</v>
      </c>
      <c r="AV281" s="125">
        <f>AH281*Valores!$C$75</f>
        <v>-1082.19378</v>
      </c>
      <c r="AW281" s="125">
        <f t="shared" si="45"/>
        <v>310546.8488</v>
      </c>
      <c r="AX281" s="126"/>
      <c r="AY281" s="126">
        <f t="shared" si="39"/>
        <v>28</v>
      </c>
      <c r="AZ281" s="123" t="s">
        <v>4</v>
      </c>
    </row>
    <row r="282" spans="1:52" s="110" customFormat="1" ht="11.25" customHeight="1">
      <c r="A282" s="123" t="s">
        <v>471</v>
      </c>
      <c r="B282" s="123">
        <v>28</v>
      </c>
      <c r="C282" s="126">
        <v>275</v>
      </c>
      <c r="D282" s="124" t="str">
        <f>CONCATENATE("Hora Cátedra Enseñanza Media ",B282," hs Esc Esp")</f>
        <v>Hora Cátedra Enseñanza Media 28 hs Esc Esp</v>
      </c>
      <c r="E282" s="192">
        <f t="shared" si="40"/>
        <v>2212</v>
      </c>
      <c r="F282" s="125">
        <f>ROUND(E282*Valores!$C$2,2)</f>
        <v>120443.4</v>
      </c>
      <c r="G282" s="192">
        <v>0</v>
      </c>
      <c r="H282" s="125">
        <f>ROUND(G282*Valores!$C$2,2)</f>
        <v>0</v>
      </c>
      <c r="I282" s="192">
        <v>0</v>
      </c>
      <c r="J282" s="125">
        <f>ROUND(I282*Valores!$C$2,2)</f>
        <v>0</v>
      </c>
      <c r="K282" s="192">
        <v>0</v>
      </c>
      <c r="L282" s="125">
        <f>ROUND(K282*Valores!$C$2,2)</f>
        <v>0</v>
      </c>
      <c r="M282" s="125">
        <f>ROUND(IF($H$2=0,IF(AND(A282&lt;&gt;"13-930",A282&lt;&gt;"13-940"),(SUM(F282,H282,J282,L282,X282,T282,R282)*Valores!$C$4),0),0),2)</f>
        <v>40984.16</v>
      </c>
      <c r="N282" s="125">
        <f t="shared" si="42"/>
        <v>0</v>
      </c>
      <c r="O282" s="125">
        <f>Valores!$C$7*B282</f>
        <v>51700.32</v>
      </c>
      <c r="P282" s="125">
        <f>ROUND(IF(B282&lt;15,(Valores!$E$5*B282),Valores!$D$5),2)</f>
        <v>27834.84</v>
      </c>
      <c r="Q282" s="125">
        <v>0</v>
      </c>
      <c r="R282" s="125">
        <f>IF($F$4="NO",IF(Valores!$C$49*B282&gt;Valores!$F$46,Valores!$F$46,Valores!$C$49*B282),IF(Valores!$C$49*B282&gt;Valores!$F$46,Valores!$F$46,Valores!$C$49*B282)/2)</f>
        <v>27232.8</v>
      </c>
      <c r="S282" s="125">
        <f>Valores!$C$18*B282</f>
        <v>16260.44</v>
      </c>
      <c r="T282" s="125">
        <f t="shared" si="48"/>
        <v>16260.44</v>
      </c>
      <c r="U282" s="125">
        <v>0</v>
      </c>
      <c r="V282" s="125">
        <v>0</v>
      </c>
      <c r="W282" s="192">
        <v>0</v>
      </c>
      <c r="X282" s="125">
        <f>ROUND(W282*Valores!$C$2,2)</f>
        <v>0</v>
      </c>
      <c r="Y282" s="125">
        <v>0</v>
      </c>
      <c r="Z282" s="125">
        <f>IF(Valores!$C$97*B282&gt;Valores!$C$96,Valores!$C$96,Valores!$C$97*B282)</f>
        <v>49640.079999999994</v>
      </c>
      <c r="AA282" s="125">
        <f>IF((Valores!$C$28)*B282&gt;Valores!$F$28,Valores!$F$28,(Valores!$C$28)*B282)</f>
        <v>1277.36</v>
      </c>
      <c r="AB282" s="214">
        <v>0</v>
      </c>
      <c r="AC282" s="125">
        <f t="shared" si="43"/>
        <v>0</v>
      </c>
      <c r="AD282" s="125">
        <f>IF(Valores!$C$29*B282&gt;Valores!$F$29,Valores!$F$29,Valores!$C$29*B282)</f>
        <v>1063.72</v>
      </c>
      <c r="AE282" s="192">
        <v>94</v>
      </c>
      <c r="AF282" s="125">
        <f>ROUND(AE282*Valores!$C$2,2)</f>
        <v>5118.3</v>
      </c>
      <c r="AG282" s="125">
        <f>IF($F$4="NO",IF(Valores!$D$63*'Escala Docente'!B282&gt;Valores!$F$63,Valores!$F$63,Valores!$D$63*'Escala Docente'!B282),IF(Valores!$D$63*'Escala Docente'!B282&gt;Valores!$F$63,Valores!$F$63,Valores!$D$63*'Escala Docente'!B282)/2)-0.06</f>
        <v>24294.14</v>
      </c>
      <c r="AH282" s="125">
        <f t="shared" si="46"/>
        <v>365849.56</v>
      </c>
      <c r="AI282" s="125">
        <f>IF(Valores!$C$32*B282&gt;Valores!$F$32,Valores!$F$32,Valores!$C$32*B282)</f>
        <v>0</v>
      </c>
      <c r="AJ282" s="125">
        <f>IF(Valores!$C$90*B282&gt;Valores!$C$89,Valores!$C$89,Valores!$C$90*B282)</f>
        <v>0</v>
      </c>
      <c r="AK282" s="125">
        <f>IF(Valores!C$39*B282&gt;Valores!F$38,Valores!F$38,Valores!C$39*B282)</f>
        <v>0</v>
      </c>
      <c r="AL282" s="125">
        <f>IF($F$3="NO",0,IF(Valores!$C$62*B282&gt;Valores!$F$62,Valores!$F$62,Valores!$C$62*B282))</f>
        <v>317.9652</v>
      </c>
      <c r="AM282" s="125">
        <f t="shared" si="44"/>
        <v>317.9652</v>
      </c>
      <c r="AN282" s="125">
        <f>AH282*Valores!$C$71</f>
        <v>-40243.4516</v>
      </c>
      <c r="AO282" s="125">
        <f>AH282*-Valores!$C$72</f>
        <v>0</v>
      </c>
      <c r="AP282" s="125">
        <f>AH282*Valores!$C$73</f>
        <v>-16463.230199999998</v>
      </c>
      <c r="AQ282" s="125">
        <f>Valores!$C$100</f>
        <v>-554.86</v>
      </c>
      <c r="AR282" s="125">
        <f>IF($F$5=0,Valores!$C$101,(Valores!$C$101+$F$5*(Valores!$C$101)))</f>
        <v>-852</v>
      </c>
      <c r="AS282" s="125">
        <f t="shared" si="47"/>
        <v>308053.9834</v>
      </c>
      <c r="AT282" s="125">
        <f t="shared" si="41"/>
        <v>-40243.4516</v>
      </c>
      <c r="AU282" s="125">
        <f>AH282*Valores!$C$74</f>
        <v>-9877.93812</v>
      </c>
      <c r="AV282" s="125">
        <f>AH282*Valores!$C$75</f>
        <v>-1097.54868</v>
      </c>
      <c r="AW282" s="125">
        <f t="shared" si="45"/>
        <v>314948.5868</v>
      </c>
      <c r="AX282" s="126"/>
      <c r="AY282" s="126">
        <f t="shared" si="39"/>
        <v>28</v>
      </c>
      <c r="AZ282" s="123" t="s">
        <v>4</v>
      </c>
    </row>
    <row r="283" spans="1:52" s="110" customFormat="1" ht="11.25" customHeight="1">
      <c r="A283" s="123" t="s">
        <v>471</v>
      </c>
      <c r="B283" s="123">
        <v>29</v>
      </c>
      <c r="C283" s="126">
        <v>276</v>
      </c>
      <c r="D283" s="124" t="str">
        <f>CONCATENATE("Hora Cátedra Enseñanza Media ",B283," hs")</f>
        <v>Hora Cátedra Enseñanza Media 29 hs</v>
      </c>
      <c r="E283" s="192">
        <f t="shared" si="40"/>
        <v>2291</v>
      </c>
      <c r="F283" s="125">
        <f>ROUND(E283*Valores!$C$2,2)</f>
        <v>124744.95</v>
      </c>
      <c r="G283" s="192">
        <v>0</v>
      </c>
      <c r="H283" s="125">
        <f>ROUND(G283*Valores!$C$2,2)</f>
        <v>0</v>
      </c>
      <c r="I283" s="192">
        <v>0</v>
      </c>
      <c r="J283" s="125">
        <f>ROUND(I283*Valores!$C$2,2)</f>
        <v>0</v>
      </c>
      <c r="K283" s="192">
        <v>0</v>
      </c>
      <c r="L283" s="125">
        <f>ROUND(K283*Valores!$C$2,2)</f>
        <v>0</v>
      </c>
      <c r="M283" s="125">
        <f>ROUND(IF($H$2=0,IF(AND(A283&lt;&gt;"13-930",A283&lt;&gt;"13-940"),(SUM(F283,H283,J283,L283,X283,T283,R283)*Valores!$C$4),0),0),2)</f>
        <v>42447.88</v>
      </c>
      <c r="N283" s="125">
        <f t="shared" si="42"/>
        <v>0</v>
      </c>
      <c r="O283" s="125">
        <f>Valores!$C$7*B283</f>
        <v>53546.76</v>
      </c>
      <c r="P283" s="125">
        <f>ROUND(IF(B283&lt;15,(Valores!$E$5*B283),Valores!$D$5),2)</f>
        <v>27834.84</v>
      </c>
      <c r="Q283" s="125">
        <v>0</v>
      </c>
      <c r="R283" s="125">
        <f>IF($F$4="NO",IF(Valores!$C$49*B283&gt;Valores!$F$46,Valores!$F$46,Valores!$C$49*B283),IF(Valores!$C$49*B283&gt;Valores!$F$46,Valores!$F$46,Valores!$C$49*B283)/2)</f>
        <v>28205.4</v>
      </c>
      <c r="S283" s="125">
        <f>Valores!$C$18*B283</f>
        <v>16841.170000000002</v>
      </c>
      <c r="T283" s="125">
        <f t="shared" si="48"/>
        <v>16841.17</v>
      </c>
      <c r="U283" s="125">
        <v>0</v>
      </c>
      <c r="V283" s="125">
        <v>0</v>
      </c>
      <c r="W283" s="192">
        <v>0</v>
      </c>
      <c r="X283" s="125">
        <f>ROUND(W283*Valores!$C$2,2)</f>
        <v>0</v>
      </c>
      <c r="Y283" s="125">
        <v>0</v>
      </c>
      <c r="Z283" s="125">
        <f>IF(Valores!$C$97*B283&gt;Valores!$C$96,Valores!$C$96,Valores!$C$97*B283)</f>
        <v>51412.939999999995</v>
      </c>
      <c r="AA283" s="125">
        <f>IF((Valores!$C$28)*B283&gt;Valores!$F$28,Valores!$F$28,(Valores!$C$28)*B283)</f>
        <v>1322.98</v>
      </c>
      <c r="AB283" s="214">
        <v>0</v>
      </c>
      <c r="AC283" s="125">
        <f t="shared" si="43"/>
        <v>0</v>
      </c>
      <c r="AD283" s="125">
        <f>IF(Valores!$C$29*B283&gt;Valores!$F$29,Valores!$F$29,Valores!$C$29*B283)</f>
        <v>1101.71</v>
      </c>
      <c r="AE283" s="192">
        <v>0</v>
      </c>
      <c r="AF283" s="125">
        <f>ROUND(AE283*Valores!$C$2,2)</f>
        <v>0</v>
      </c>
      <c r="AG283" s="125">
        <f>IF($F$4="NO",IF(Valores!$D$63*'Escala Docente'!B283&gt;Valores!$F$63,Valores!$F$63,Valores!$D$63*'Escala Docente'!B283),IF(Valores!$D$63*'Escala Docente'!B283&gt;Valores!$F$63,Valores!$F$63,Valores!$D$63*'Escala Docente'!B283)/2)-0.06</f>
        <v>25161.789999999997</v>
      </c>
      <c r="AH283" s="125">
        <f t="shared" si="46"/>
        <v>372620.42</v>
      </c>
      <c r="AI283" s="125">
        <f>IF(Valores!$C$32*B283&gt;Valores!$F$32,Valores!$F$32,Valores!$C$32*B283)</f>
        <v>0</v>
      </c>
      <c r="AJ283" s="125">
        <f>IF(Valores!$C$90*B283&gt;Valores!$C$89,Valores!$C$89,Valores!$C$90*B283)</f>
        <v>0</v>
      </c>
      <c r="AK283" s="125">
        <f>IF(Valores!C$39*B283&gt;Valores!F$38,Valores!F$38,Valores!C$39*B283)</f>
        <v>0</v>
      </c>
      <c r="AL283" s="125">
        <f>IF($F$3="NO",0,IF(Valores!$C$62*B283&gt;Valores!$F$62,Valores!$F$62,Valores!$C$62*B283))</f>
        <v>327.6</v>
      </c>
      <c r="AM283" s="125">
        <f t="shared" si="44"/>
        <v>327.6</v>
      </c>
      <c r="AN283" s="125">
        <f>AH283*Valores!$C$71</f>
        <v>-40988.2462</v>
      </c>
      <c r="AO283" s="125">
        <f>AH283*-Valores!$C$72</f>
        <v>0</v>
      </c>
      <c r="AP283" s="125">
        <f>AH283*Valores!$C$73</f>
        <v>-16767.918899999997</v>
      </c>
      <c r="AQ283" s="125">
        <f>Valores!$C$100</f>
        <v>-554.86</v>
      </c>
      <c r="AR283" s="125">
        <f>IF($F$5=0,Valores!$C$101,(Valores!$C$101+$F$5*(Valores!$C$101)))</f>
        <v>-852</v>
      </c>
      <c r="AS283" s="125">
        <f t="shared" si="47"/>
        <v>313784.9949</v>
      </c>
      <c r="AT283" s="125">
        <f t="shared" si="41"/>
        <v>-40988.2462</v>
      </c>
      <c r="AU283" s="125">
        <f>AH283*Valores!$C$74</f>
        <v>-10060.751339999999</v>
      </c>
      <c r="AV283" s="125">
        <f>AH283*Valores!$C$75</f>
        <v>-1117.86126</v>
      </c>
      <c r="AW283" s="125">
        <f t="shared" si="45"/>
        <v>320781.1612</v>
      </c>
      <c r="AX283" s="126"/>
      <c r="AY283" s="126">
        <f t="shared" si="39"/>
        <v>29</v>
      </c>
      <c r="AZ283" s="123" t="s">
        <v>8</v>
      </c>
    </row>
    <row r="284" spans="1:52" s="110" customFormat="1" ht="11.25" customHeight="1">
      <c r="A284" s="123" t="s">
        <v>471</v>
      </c>
      <c r="B284" s="123">
        <v>29</v>
      </c>
      <c r="C284" s="126">
        <v>277</v>
      </c>
      <c r="D284" s="124" t="str">
        <f>CONCATENATE("Hora Cátedra Enseñanza Media ",B284," hs Esc Esp")</f>
        <v>Hora Cátedra Enseñanza Media 29 hs Esc Esp</v>
      </c>
      <c r="E284" s="192">
        <f t="shared" si="40"/>
        <v>2291</v>
      </c>
      <c r="F284" s="125">
        <f>ROUND(E284*Valores!$C$2,2)</f>
        <v>124744.95</v>
      </c>
      <c r="G284" s="192">
        <v>0</v>
      </c>
      <c r="H284" s="125">
        <f>ROUND(G284*Valores!$C$2,2)</f>
        <v>0</v>
      </c>
      <c r="I284" s="192">
        <v>0</v>
      </c>
      <c r="J284" s="125">
        <f>ROUND(I284*Valores!$C$2,2)</f>
        <v>0</v>
      </c>
      <c r="K284" s="192">
        <v>0</v>
      </c>
      <c r="L284" s="125">
        <f>ROUND(K284*Valores!$C$2,2)</f>
        <v>0</v>
      </c>
      <c r="M284" s="125">
        <f>ROUND(IF($H$2=0,IF(AND(A284&lt;&gt;"13-930",A284&lt;&gt;"13-940"),(SUM(F284,H284,J284,L284,X284,T284,R284)*Valores!$C$4),0),0),2)</f>
        <v>42447.88</v>
      </c>
      <c r="N284" s="125">
        <f t="shared" si="42"/>
        <v>0</v>
      </c>
      <c r="O284" s="125">
        <f>Valores!$C$7*B284</f>
        <v>53546.76</v>
      </c>
      <c r="P284" s="125">
        <f>ROUND(IF(B284&lt;15,(Valores!$E$5*B284),Valores!$D$5),2)</f>
        <v>27834.84</v>
      </c>
      <c r="Q284" s="125">
        <v>0</v>
      </c>
      <c r="R284" s="125">
        <f>IF($F$4="NO",IF(Valores!$C$49*B284&gt;Valores!$F$46,Valores!$F$46,Valores!$C$49*B284),IF(Valores!$C$49*B284&gt;Valores!$F$46,Valores!$F$46,Valores!$C$49*B284)/2)</f>
        <v>28205.4</v>
      </c>
      <c r="S284" s="125">
        <f>Valores!$C$18*B284</f>
        <v>16841.170000000002</v>
      </c>
      <c r="T284" s="125">
        <f t="shared" si="48"/>
        <v>16841.17</v>
      </c>
      <c r="U284" s="125">
        <v>0</v>
      </c>
      <c r="V284" s="125">
        <v>0</v>
      </c>
      <c r="W284" s="192">
        <v>0</v>
      </c>
      <c r="X284" s="125">
        <f>ROUND(W284*Valores!$C$2,2)</f>
        <v>0</v>
      </c>
      <c r="Y284" s="125">
        <v>0</v>
      </c>
      <c r="Z284" s="125">
        <f>IF(Valores!$C$97*B284&gt;Valores!$C$96,Valores!$C$96,Valores!$C$97*B284)</f>
        <v>51412.939999999995</v>
      </c>
      <c r="AA284" s="125">
        <f>IF((Valores!$C$28)*B284&gt;Valores!$F$28,Valores!$F$28,(Valores!$C$28)*B284)</f>
        <v>1322.98</v>
      </c>
      <c r="AB284" s="214">
        <v>0</v>
      </c>
      <c r="AC284" s="125">
        <f t="shared" si="43"/>
        <v>0</v>
      </c>
      <c r="AD284" s="125">
        <f>IF(Valores!$C$29*B284&gt;Valores!$F$29,Valores!$F$29,Valores!$C$29*B284)</f>
        <v>1101.71</v>
      </c>
      <c r="AE284" s="192">
        <v>94</v>
      </c>
      <c r="AF284" s="125">
        <f>ROUND(AE284*Valores!$C$2,2)</f>
        <v>5118.3</v>
      </c>
      <c r="AG284" s="125">
        <f>IF($F$4="NO",IF(Valores!$D$63*'Escala Docente'!B284&gt;Valores!$F$63,Valores!$F$63,Valores!$D$63*'Escala Docente'!B284),IF(Valores!$D$63*'Escala Docente'!B284&gt;Valores!$F$63,Valores!$F$63,Valores!$D$63*'Escala Docente'!B284)/2)-0.06</f>
        <v>25161.789999999997</v>
      </c>
      <c r="AH284" s="125">
        <f t="shared" si="46"/>
        <v>377738.72</v>
      </c>
      <c r="AI284" s="125">
        <f>IF(Valores!$C$32*B284&gt;Valores!$F$32,Valores!$F$32,Valores!$C$32*B284)</f>
        <v>0</v>
      </c>
      <c r="AJ284" s="125">
        <f>IF(Valores!$C$90*B284&gt;Valores!$C$89,Valores!$C$89,Valores!$C$90*B284)</f>
        <v>0</v>
      </c>
      <c r="AK284" s="125">
        <f>IF(Valores!C$39*B284&gt;Valores!F$38,Valores!F$38,Valores!C$39*B284)</f>
        <v>0</v>
      </c>
      <c r="AL284" s="125">
        <f>IF($F$3="NO",0,IF(Valores!$C$62*B284&gt;Valores!$F$62,Valores!$F$62,Valores!$C$62*B284))</f>
        <v>327.6</v>
      </c>
      <c r="AM284" s="125">
        <f t="shared" si="44"/>
        <v>327.6</v>
      </c>
      <c r="AN284" s="125">
        <f>AH284*Valores!$C$71</f>
        <v>-41551.2592</v>
      </c>
      <c r="AO284" s="125">
        <f>AH284*-Valores!$C$72</f>
        <v>0</v>
      </c>
      <c r="AP284" s="125">
        <f>AH284*Valores!$C$73</f>
        <v>-16998.2424</v>
      </c>
      <c r="AQ284" s="125">
        <f>Valores!$C$100</f>
        <v>-554.86</v>
      </c>
      <c r="AR284" s="125">
        <f>IF($F$5=0,Valores!$C$101,(Valores!$C$101+$F$5*(Valores!$C$101)))</f>
        <v>-852</v>
      </c>
      <c r="AS284" s="125">
        <f t="shared" si="47"/>
        <v>318109.9584</v>
      </c>
      <c r="AT284" s="125">
        <f t="shared" si="41"/>
        <v>-41551.2592</v>
      </c>
      <c r="AU284" s="125">
        <f>AH284*Valores!$C$74</f>
        <v>-10198.94544</v>
      </c>
      <c r="AV284" s="125">
        <f>AH284*Valores!$C$75</f>
        <v>-1133.21616</v>
      </c>
      <c r="AW284" s="125">
        <f t="shared" si="45"/>
        <v>325182.8992</v>
      </c>
      <c r="AX284" s="126"/>
      <c r="AY284" s="126">
        <f t="shared" si="39"/>
        <v>29</v>
      </c>
      <c r="AZ284" s="123" t="s">
        <v>8</v>
      </c>
    </row>
    <row r="285" spans="1:52" s="110" customFormat="1" ht="11.25" customHeight="1">
      <c r="A285" s="123" t="s">
        <v>471</v>
      </c>
      <c r="B285" s="123">
        <v>30</v>
      </c>
      <c r="C285" s="126">
        <v>278</v>
      </c>
      <c r="D285" s="124" t="str">
        <f>CONCATENATE("Hora Cátedra Enseñanza Media ",B285," hs")</f>
        <v>Hora Cátedra Enseñanza Media 30 hs</v>
      </c>
      <c r="E285" s="192">
        <f t="shared" si="40"/>
        <v>2370</v>
      </c>
      <c r="F285" s="125">
        <f>ROUND(E285*Valores!$C$2,2)</f>
        <v>129046.5</v>
      </c>
      <c r="G285" s="192">
        <v>0</v>
      </c>
      <c r="H285" s="125">
        <f>ROUND(G285*Valores!$C$2,2)</f>
        <v>0</v>
      </c>
      <c r="I285" s="192">
        <v>0</v>
      </c>
      <c r="J285" s="125">
        <f>ROUND(I285*Valores!$C$2,2)</f>
        <v>0</v>
      </c>
      <c r="K285" s="192">
        <v>0</v>
      </c>
      <c r="L285" s="125">
        <f>ROUND(K285*Valores!$C$2,2)</f>
        <v>0</v>
      </c>
      <c r="M285" s="125">
        <f>ROUND(IF($H$2=0,IF(AND(A285&lt;&gt;"13-930",A285&lt;&gt;"13-940"),(SUM(F285,H285,J285,L285,X285,T285,R285)*Valores!$C$4),0),0),2)</f>
        <v>43911.6</v>
      </c>
      <c r="N285" s="125">
        <f t="shared" si="42"/>
        <v>0</v>
      </c>
      <c r="O285" s="125">
        <f>Valores!$C$7*B285</f>
        <v>55393.200000000004</v>
      </c>
      <c r="P285" s="125">
        <f>ROUND(IF(B285&lt;15,(Valores!$E$5*B285),Valores!$D$5),2)</f>
        <v>27834.84</v>
      </c>
      <c r="Q285" s="125">
        <v>0</v>
      </c>
      <c r="R285" s="125">
        <f>IF($F$4="NO",IF(Valores!$C$49*B285&gt;Valores!$F$46,Valores!$F$46,Valores!$C$49*B285),IF(Valores!$C$49*B285&gt;Valores!$F$46,Valores!$F$46,Valores!$C$49*B285)/2)</f>
        <v>29178</v>
      </c>
      <c r="S285" s="125">
        <f>Valores!$C$18*B285</f>
        <v>17421.9</v>
      </c>
      <c r="T285" s="125">
        <f t="shared" si="48"/>
        <v>17421.9</v>
      </c>
      <c r="U285" s="125">
        <v>0</v>
      </c>
      <c r="V285" s="125">
        <v>0</v>
      </c>
      <c r="W285" s="192">
        <v>0</v>
      </c>
      <c r="X285" s="125">
        <f>ROUND(W285*Valores!$C$2,2)</f>
        <v>0</v>
      </c>
      <c r="Y285" s="125">
        <v>0</v>
      </c>
      <c r="Z285" s="125">
        <f>IF(Valores!$C$97*B285&gt;Valores!$C$96,Valores!$C$96,Valores!$C$97*B285)</f>
        <v>53185.799999999996</v>
      </c>
      <c r="AA285" s="125">
        <f>IF((Valores!$C$28)*B285&gt;Valores!$F$28,Valores!$F$28,(Valores!$C$28)*B285)</f>
        <v>1368.6</v>
      </c>
      <c r="AB285" s="214">
        <v>0</v>
      </c>
      <c r="AC285" s="125">
        <f t="shared" si="43"/>
        <v>0</v>
      </c>
      <c r="AD285" s="125">
        <f>IF(Valores!$C$29*B285&gt;Valores!$F$29,Valores!$F$29,Valores!$C$29*B285)</f>
        <v>1138.39</v>
      </c>
      <c r="AE285" s="192">
        <v>0</v>
      </c>
      <c r="AF285" s="125">
        <f>ROUND(AE285*Valores!$C$2,2)</f>
        <v>0</v>
      </c>
      <c r="AG285" s="125">
        <f>IF($F$4="NO",IF(Valores!$D$63*'Escala Docente'!B285&gt;Valores!$F$63,Valores!$F$63,Valores!$D$63*'Escala Docente'!B285),IF(Valores!$D$63*'Escala Docente'!B285&gt;Valores!$F$63,Valores!$F$63,Valores!$D$63*'Escala Docente'!B285)/2)</f>
        <v>26029.44</v>
      </c>
      <c r="AH285" s="125">
        <f t="shared" si="46"/>
        <v>384508.27</v>
      </c>
      <c r="AI285" s="125">
        <f>IF(Valores!$C$32*B285&gt;Valores!$F$32,Valores!$F$32,Valores!$C$32*B285)</f>
        <v>0</v>
      </c>
      <c r="AJ285" s="125">
        <f>IF(Valores!$C$90*B285&gt;Valores!$C$89,Valores!$C$89,Valores!$C$90*B285)</f>
        <v>0</v>
      </c>
      <c r="AK285" s="125">
        <f>IF(Valores!C$39*B285&gt;Valores!F$38,Valores!F$38,Valores!C$39*B285)</f>
        <v>0</v>
      </c>
      <c r="AL285" s="125">
        <f>IF($F$3="NO",0,IF(Valores!$C$62*B285&gt;Valores!$F$62,Valores!$F$62,Valores!$C$62*B285))</f>
        <v>327.6</v>
      </c>
      <c r="AM285" s="125">
        <f t="shared" si="44"/>
        <v>327.6</v>
      </c>
      <c r="AN285" s="125">
        <f>AH285*Valores!$C$71</f>
        <v>-42295.909700000004</v>
      </c>
      <c r="AO285" s="125">
        <f>AH285*-Valores!$C$72</f>
        <v>0</v>
      </c>
      <c r="AP285" s="125">
        <f>AH285*Valores!$C$73</f>
        <v>-17302.87215</v>
      </c>
      <c r="AQ285" s="125">
        <f>Valores!$C$100</f>
        <v>-554.86</v>
      </c>
      <c r="AR285" s="125">
        <f>IF($F$5=0,Valores!$C$101,(Valores!$C$101+$F$5*(Valores!$C$101)))</f>
        <v>-852</v>
      </c>
      <c r="AS285" s="125">
        <f t="shared" si="47"/>
        <v>323830.22815</v>
      </c>
      <c r="AT285" s="125">
        <f t="shared" si="41"/>
        <v>-42295.909700000004</v>
      </c>
      <c r="AU285" s="125">
        <f>AH285*Valores!$C$74</f>
        <v>-10381.72329</v>
      </c>
      <c r="AV285" s="125">
        <f>AH285*Valores!$C$75</f>
        <v>-1153.5248100000001</v>
      </c>
      <c r="AW285" s="125">
        <f t="shared" si="45"/>
        <v>331004.7122</v>
      </c>
      <c r="AX285" s="126"/>
      <c r="AY285" s="126">
        <f t="shared" si="39"/>
        <v>30</v>
      </c>
      <c r="AZ285" s="123" t="s">
        <v>4</v>
      </c>
    </row>
    <row r="286" spans="1:52" s="110" customFormat="1" ht="11.25" customHeight="1">
      <c r="A286" s="123" t="s">
        <v>471</v>
      </c>
      <c r="B286" s="123">
        <v>30</v>
      </c>
      <c r="C286" s="126">
        <v>279</v>
      </c>
      <c r="D286" s="124" t="str">
        <f>CONCATENATE("Hora Cátedra Enseñanza Media ",B286," hs Esc Esp")</f>
        <v>Hora Cátedra Enseñanza Media 30 hs Esc Esp</v>
      </c>
      <c r="E286" s="192">
        <f t="shared" si="40"/>
        <v>2370</v>
      </c>
      <c r="F286" s="125">
        <f>ROUND(E286*Valores!$C$2,2)</f>
        <v>129046.5</v>
      </c>
      <c r="G286" s="192">
        <v>0</v>
      </c>
      <c r="H286" s="125">
        <f>ROUND(G286*Valores!$C$2,2)</f>
        <v>0</v>
      </c>
      <c r="I286" s="192">
        <v>0</v>
      </c>
      <c r="J286" s="125">
        <f>ROUND(I286*Valores!$C$2,2)</f>
        <v>0</v>
      </c>
      <c r="K286" s="192">
        <v>0</v>
      </c>
      <c r="L286" s="125">
        <f>ROUND(K286*Valores!$C$2,2)</f>
        <v>0</v>
      </c>
      <c r="M286" s="125">
        <f>ROUND(IF($H$2=0,IF(AND(A286&lt;&gt;"13-930",A286&lt;&gt;"13-940"),(SUM(F286,H286,J286,L286,X286,T286,R286)*Valores!$C$4),0),0),2)</f>
        <v>43911.6</v>
      </c>
      <c r="N286" s="125">
        <f t="shared" si="42"/>
        <v>0</v>
      </c>
      <c r="O286" s="125">
        <f>Valores!$C$7*B286</f>
        <v>55393.200000000004</v>
      </c>
      <c r="P286" s="125">
        <f>ROUND(IF(B286&lt;15,(Valores!$E$5*B286),Valores!$D$5),2)</f>
        <v>27834.84</v>
      </c>
      <c r="Q286" s="125">
        <v>0</v>
      </c>
      <c r="R286" s="125">
        <f>IF($F$4="NO",IF(Valores!$C$49*B286&gt;Valores!$F$46,Valores!$F$46,Valores!$C$49*B286),IF(Valores!$C$49*B286&gt;Valores!$F$46,Valores!$F$46,Valores!$C$49*B286)/2)</f>
        <v>29178</v>
      </c>
      <c r="S286" s="125">
        <f>Valores!$C$18*B286</f>
        <v>17421.9</v>
      </c>
      <c r="T286" s="125">
        <f t="shared" si="48"/>
        <v>17421.9</v>
      </c>
      <c r="U286" s="125">
        <v>0</v>
      </c>
      <c r="V286" s="125">
        <v>0</v>
      </c>
      <c r="W286" s="192">
        <v>0</v>
      </c>
      <c r="X286" s="125">
        <f>ROUND(W286*Valores!$C$2,2)</f>
        <v>0</v>
      </c>
      <c r="Y286" s="125">
        <v>0</v>
      </c>
      <c r="Z286" s="125">
        <f>IF(Valores!$C$97*B286&gt;Valores!$C$96,Valores!$C$96,Valores!$C$97*B286)</f>
        <v>53185.799999999996</v>
      </c>
      <c r="AA286" s="125">
        <f>IF((Valores!$C$28)*B286&gt;Valores!$F$28,Valores!$F$28,(Valores!$C$28)*B286)</f>
        <v>1368.6</v>
      </c>
      <c r="AB286" s="214">
        <v>0</v>
      </c>
      <c r="AC286" s="125">
        <f t="shared" si="43"/>
        <v>0</v>
      </c>
      <c r="AD286" s="125">
        <f>IF(Valores!$C$29*B286&gt;Valores!$F$29,Valores!$F$29,Valores!$C$29*B286)</f>
        <v>1138.39</v>
      </c>
      <c r="AE286" s="192">
        <v>94</v>
      </c>
      <c r="AF286" s="125">
        <f>ROUND(AE286*Valores!$C$2,2)</f>
        <v>5118.3</v>
      </c>
      <c r="AG286" s="125">
        <f>IF($F$4="NO",IF(Valores!$D$63*'Escala Docente'!B286&gt;Valores!$F$63,Valores!$F$63,Valores!$D$63*'Escala Docente'!B286),IF(Valores!$D$63*'Escala Docente'!B286&gt;Valores!$F$63,Valores!$F$63,Valores!$D$63*'Escala Docente'!B286)/2)</f>
        <v>26029.44</v>
      </c>
      <c r="AH286" s="125">
        <f t="shared" si="46"/>
        <v>389626.57</v>
      </c>
      <c r="AI286" s="125">
        <f>IF(Valores!$C$32*B286&gt;Valores!$F$32,Valores!$F$32,Valores!$C$32*B286)</f>
        <v>0</v>
      </c>
      <c r="AJ286" s="125">
        <f>IF(Valores!$C$90*B286&gt;Valores!$C$89,Valores!$C$89,Valores!$C$90*B286)</f>
        <v>0</v>
      </c>
      <c r="AK286" s="125">
        <f>IF(Valores!C$39*B286&gt;Valores!F$38,Valores!F$38,Valores!C$39*B286)</f>
        <v>0</v>
      </c>
      <c r="AL286" s="125">
        <f>IF($F$3="NO",0,IF(Valores!$C$62*B286&gt;Valores!$F$62,Valores!$F$62,Valores!$C$62*B286))</f>
        <v>327.6</v>
      </c>
      <c r="AM286" s="125">
        <f t="shared" si="44"/>
        <v>327.6</v>
      </c>
      <c r="AN286" s="125">
        <f>AH286*Valores!$C$71</f>
        <v>-42858.9227</v>
      </c>
      <c r="AO286" s="125">
        <f>AH286*-Valores!$C$72</f>
        <v>0</v>
      </c>
      <c r="AP286" s="125">
        <f>AH286*Valores!$C$73</f>
        <v>-17533.19565</v>
      </c>
      <c r="AQ286" s="125">
        <f>Valores!$C$100</f>
        <v>-554.86</v>
      </c>
      <c r="AR286" s="125">
        <f>IF($F$5=0,Valores!$C$101,(Valores!$C$101+$F$5*(Valores!$C$101)))</f>
        <v>-852</v>
      </c>
      <c r="AS286" s="125">
        <f t="shared" si="47"/>
        <v>328155.19165</v>
      </c>
      <c r="AT286" s="125">
        <f t="shared" si="41"/>
        <v>-42858.9227</v>
      </c>
      <c r="AU286" s="125">
        <f>AH286*Valores!$C$74</f>
        <v>-10519.91739</v>
      </c>
      <c r="AV286" s="125">
        <f>AH286*Valores!$C$75</f>
        <v>-1168.87971</v>
      </c>
      <c r="AW286" s="125">
        <f t="shared" si="45"/>
        <v>335406.45019999996</v>
      </c>
      <c r="AX286" s="126"/>
      <c r="AY286" s="126">
        <f t="shared" si="39"/>
        <v>30</v>
      </c>
      <c r="AZ286" s="123" t="s">
        <v>4</v>
      </c>
    </row>
    <row r="287" spans="1:52" s="110" customFormat="1" ht="11.25" customHeight="1">
      <c r="A287" s="123" t="s">
        <v>471</v>
      </c>
      <c r="B287" s="123">
        <v>31</v>
      </c>
      <c r="C287" s="126">
        <v>280</v>
      </c>
      <c r="D287" s="124" t="str">
        <f>CONCATENATE("Hora Cátedra Enseñanza Media ",B287," hs")</f>
        <v>Hora Cátedra Enseñanza Media 31 hs</v>
      </c>
      <c r="E287" s="192">
        <f t="shared" si="40"/>
        <v>2449</v>
      </c>
      <c r="F287" s="125">
        <f>ROUND(E287*Valores!$C$2,2)</f>
        <v>133348.05</v>
      </c>
      <c r="G287" s="192">
        <v>0</v>
      </c>
      <c r="H287" s="125">
        <f>ROUND(G287*Valores!$C$2,2)</f>
        <v>0</v>
      </c>
      <c r="I287" s="192">
        <v>0</v>
      </c>
      <c r="J287" s="125">
        <f>ROUND(I287*Valores!$C$2,2)</f>
        <v>0</v>
      </c>
      <c r="K287" s="192">
        <v>0</v>
      </c>
      <c r="L287" s="125">
        <f>ROUND(K287*Valores!$C$2,2)</f>
        <v>0</v>
      </c>
      <c r="M287" s="125">
        <f>ROUND(IF($H$2=0,IF(AND(A287&lt;&gt;"13-930",A287&lt;&gt;"13-940"),(SUM(F287,H287,J287,L287,X287,T287,R287)*Valores!$C$4),0),0),2)</f>
        <v>45375.32</v>
      </c>
      <c r="N287" s="125">
        <f t="shared" si="42"/>
        <v>0</v>
      </c>
      <c r="O287" s="125">
        <f>Valores!$C$7*B287</f>
        <v>57239.64</v>
      </c>
      <c r="P287" s="125">
        <f>ROUND(IF(B287&lt;15,(Valores!$E$5*B287),Valores!$D$5),2)</f>
        <v>27834.84</v>
      </c>
      <c r="Q287" s="125">
        <v>0</v>
      </c>
      <c r="R287" s="125">
        <f>IF($F$4="NO",IF(Valores!$C$49*B287&gt;Valores!$F$46,Valores!$F$46,Valores!$C$49*B287),IF(Valores!$C$49*B287&gt;Valores!$F$46,Valores!$F$46,Valores!$C$49*B287)/2)</f>
        <v>30150.600000000002</v>
      </c>
      <c r="S287" s="125">
        <f>Valores!$C$18*B287</f>
        <v>18002.63</v>
      </c>
      <c r="T287" s="125">
        <f t="shared" si="48"/>
        <v>18002.63</v>
      </c>
      <c r="U287" s="125">
        <v>0</v>
      </c>
      <c r="V287" s="125">
        <v>0</v>
      </c>
      <c r="W287" s="192">
        <v>0</v>
      </c>
      <c r="X287" s="125">
        <f>ROUND(W287*Valores!$C$2,2)</f>
        <v>0</v>
      </c>
      <c r="Y287" s="125">
        <v>0</v>
      </c>
      <c r="Z287" s="125">
        <f>IF(Valores!$C$97*B287&gt;Valores!$C$96,Valores!$C$96,Valores!$C$97*B287)</f>
        <v>54958.659999999996</v>
      </c>
      <c r="AA287" s="125">
        <f>IF((Valores!$C$28)*B287&gt;Valores!$F$28,Valores!$F$28,(Valores!$C$28)*B287)</f>
        <v>1414.22</v>
      </c>
      <c r="AB287" s="214">
        <v>0</v>
      </c>
      <c r="AC287" s="125">
        <f t="shared" si="43"/>
        <v>0</v>
      </c>
      <c r="AD287" s="125">
        <f>IF(Valores!$C$29*B287&gt;Valores!$F$29,Valores!$F$29,Valores!$C$29*B287)</f>
        <v>1138.39</v>
      </c>
      <c r="AE287" s="192">
        <v>0</v>
      </c>
      <c r="AF287" s="125">
        <f>ROUND(AE287*Valores!$C$2,2)</f>
        <v>0</v>
      </c>
      <c r="AG287" s="125">
        <f>IF($F$4="NO",IF(Valores!$D$63*'Escala Docente'!B287&gt;Valores!$F$63,Valores!$F$63,Valores!$D$63*'Escala Docente'!B287),IF(Valores!$D$63*'Escala Docente'!B287&gt;Valores!$F$63,Valores!$F$63,Valores!$D$63*'Escala Docente'!B287)/2)</f>
        <v>26029.44</v>
      </c>
      <c r="AH287" s="125">
        <f t="shared" si="46"/>
        <v>395491.79</v>
      </c>
      <c r="AI287" s="125">
        <f>IF(Valores!$C$32*B287&gt;Valores!$F$32,Valores!$F$32,Valores!$C$32*B287)</f>
        <v>0</v>
      </c>
      <c r="AJ287" s="125">
        <f>IF(Valores!$C$90*B287&gt;Valores!$C$89,Valores!$C$89,Valores!$C$90*B287)</f>
        <v>0</v>
      </c>
      <c r="AK287" s="125">
        <f>IF(Valores!C$39*B287&gt;Valores!F$38,Valores!F$38,Valores!C$39*B287)</f>
        <v>0</v>
      </c>
      <c r="AL287" s="125">
        <f>IF($F$3="NO",0,IF(Valores!$C$62*B287&gt;Valores!$F$62,Valores!$F$62,Valores!$C$62*B287))</f>
        <v>327.6</v>
      </c>
      <c r="AM287" s="125">
        <f t="shared" si="44"/>
        <v>327.6</v>
      </c>
      <c r="AN287" s="125">
        <f>AH287*Valores!$C$71</f>
        <v>-43504.0969</v>
      </c>
      <c r="AO287" s="125">
        <f>AH287*-Valores!$C$72</f>
        <v>0</v>
      </c>
      <c r="AP287" s="125">
        <f>AH287*Valores!$C$73</f>
        <v>-17797.130549999998</v>
      </c>
      <c r="AQ287" s="125">
        <f>Valores!$C$100</f>
        <v>-554.86</v>
      </c>
      <c r="AR287" s="125">
        <f>IF($F$5=0,Valores!$C$101,(Valores!$C$101+$F$5*(Valores!$C$101)))</f>
        <v>-852</v>
      </c>
      <c r="AS287" s="125">
        <f t="shared" si="47"/>
        <v>333111.30254999996</v>
      </c>
      <c r="AT287" s="125">
        <f t="shared" si="41"/>
        <v>-43504.0969</v>
      </c>
      <c r="AU287" s="125">
        <f>AH287*Valores!$C$74</f>
        <v>-10678.27833</v>
      </c>
      <c r="AV287" s="125">
        <f>AH287*Valores!$C$75</f>
        <v>-1186.4753699999999</v>
      </c>
      <c r="AW287" s="125">
        <f t="shared" si="45"/>
        <v>340450.53939999995</v>
      </c>
      <c r="AX287" s="126"/>
      <c r="AY287" s="126">
        <f aca="true" t="shared" si="49" ref="AY287:AY299">1*B287</f>
        <v>31</v>
      </c>
      <c r="AZ287" s="123" t="s">
        <v>8</v>
      </c>
    </row>
    <row r="288" spans="1:52" s="110" customFormat="1" ht="11.25" customHeight="1">
      <c r="A288" s="123" t="s">
        <v>471</v>
      </c>
      <c r="B288" s="123">
        <v>31</v>
      </c>
      <c r="C288" s="126">
        <v>281</v>
      </c>
      <c r="D288" s="124" t="str">
        <f>CONCATENATE("Hora Cátedra Enseñanza Media ",B288," hs Esc Esp")</f>
        <v>Hora Cátedra Enseñanza Media 31 hs Esc Esp</v>
      </c>
      <c r="E288" s="192">
        <f t="shared" si="40"/>
        <v>2449</v>
      </c>
      <c r="F288" s="125">
        <f>ROUND(E288*Valores!$C$2,2)</f>
        <v>133348.05</v>
      </c>
      <c r="G288" s="192">
        <v>0</v>
      </c>
      <c r="H288" s="125">
        <f>ROUND(G288*Valores!$C$2,2)</f>
        <v>0</v>
      </c>
      <c r="I288" s="192">
        <v>0</v>
      </c>
      <c r="J288" s="125">
        <f>ROUND(I288*Valores!$C$2,2)</f>
        <v>0</v>
      </c>
      <c r="K288" s="192">
        <v>0</v>
      </c>
      <c r="L288" s="125">
        <f>ROUND(K288*Valores!$C$2,2)</f>
        <v>0</v>
      </c>
      <c r="M288" s="125">
        <f>ROUND(IF($H$2=0,IF(AND(A288&lt;&gt;"13-930",A288&lt;&gt;"13-940"),(SUM(F288,H288,J288,L288,X288,T288,R288)*Valores!$C$4),0),0),2)</f>
        <v>45375.32</v>
      </c>
      <c r="N288" s="125">
        <f t="shared" si="42"/>
        <v>0</v>
      </c>
      <c r="O288" s="125">
        <f>Valores!$C$7*B288</f>
        <v>57239.64</v>
      </c>
      <c r="P288" s="125">
        <f>ROUND(IF(B288&lt;15,(Valores!$E$5*B288),Valores!$D$5),2)</f>
        <v>27834.84</v>
      </c>
      <c r="Q288" s="125">
        <v>0</v>
      </c>
      <c r="R288" s="125">
        <f>IF($F$4="NO",IF(Valores!$C$49*B288&gt;Valores!$F$46,Valores!$F$46,Valores!$C$49*B288),IF(Valores!$C$49*B288&gt;Valores!$F$46,Valores!$F$46,Valores!$C$49*B288)/2)</f>
        <v>30150.600000000002</v>
      </c>
      <c r="S288" s="125">
        <f>Valores!$C$18*B288</f>
        <v>18002.63</v>
      </c>
      <c r="T288" s="125">
        <f t="shared" si="48"/>
        <v>18002.63</v>
      </c>
      <c r="U288" s="125">
        <v>0</v>
      </c>
      <c r="V288" s="125">
        <v>0</v>
      </c>
      <c r="W288" s="192">
        <v>0</v>
      </c>
      <c r="X288" s="125">
        <f>ROUND(W288*Valores!$C$2,2)</f>
        <v>0</v>
      </c>
      <c r="Y288" s="125">
        <v>0</v>
      </c>
      <c r="Z288" s="125">
        <f>IF(Valores!$C$97*B288&gt;Valores!$C$96,Valores!$C$96,Valores!$C$97*B288)</f>
        <v>54958.659999999996</v>
      </c>
      <c r="AA288" s="125">
        <f>IF((Valores!$C$28)*B288&gt;Valores!$F$28,Valores!$F$28,(Valores!$C$28)*B288)</f>
        <v>1414.22</v>
      </c>
      <c r="AB288" s="214">
        <v>0</v>
      </c>
      <c r="AC288" s="125">
        <f t="shared" si="43"/>
        <v>0</v>
      </c>
      <c r="AD288" s="125">
        <f>IF(Valores!$C$29*B288&gt;Valores!$F$29,Valores!$F$29,Valores!$C$29*B288)</f>
        <v>1138.39</v>
      </c>
      <c r="AE288" s="192">
        <v>94</v>
      </c>
      <c r="AF288" s="125">
        <f>ROUND(AE288*Valores!$C$2,2)</f>
        <v>5118.3</v>
      </c>
      <c r="AG288" s="125">
        <f>IF($F$4="NO",IF(Valores!$D$63*'Escala Docente'!B288&gt;Valores!$F$63,Valores!$F$63,Valores!$D$63*'Escala Docente'!B288),IF(Valores!$D$63*'Escala Docente'!B288&gt;Valores!$F$63,Valores!$F$63,Valores!$D$63*'Escala Docente'!B288)/2)</f>
        <v>26029.44</v>
      </c>
      <c r="AH288" s="125">
        <f t="shared" si="46"/>
        <v>400610.08999999997</v>
      </c>
      <c r="AI288" s="125">
        <f>IF(Valores!$C$32*B288&gt;Valores!$F$32,Valores!$F$32,Valores!$C$32*B288)</f>
        <v>0</v>
      </c>
      <c r="AJ288" s="125">
        <f>IF(Valores!$C$90*B288&gt;Valores!$C$89,Valores!$C$89,Valores!$C$90*B288)</f>
        <v>0</v>
      </c>
      <c r="AK288" s="125">
        <f>IF(Valores!C$39*B288&gt;Valores!F$38,Valores!F$38,Valores!C$39*B288)</f>
        <v>0</v>
      </c>
      <c r="AL288" s="125">
        <f>IF($F$3="NO",0,IF(Valores!$C$62*B288&gt;Valores!$F$62,Valores!$F$62,Valores!$C$62*B288))</f>
        <v>327.6</v>
      </c>
      <c r="AM288" s="125">
        <f t="shared" si="44"/>
        <v>327.6</v>
      </c>
      <c r="AN288" s="125">
        <f>AH288*Valores!$C$71</f>
        <v>-44067.109899999996</v>
      </c>
      <c r="AO288" s="125">
        <f>AH288*-Valores!$C$72</f>
        <v>0</v>
      </c>
      <c r="AP288" s="125">
        <f>AH288*Valores!$C$73</f>
        <v>-18027.454049999997</v>
      </c>
      <c r="AQ288" s="125">
        <f>Valores!$C$100</f>
        <v>-554.86</v>
      </c>
      <c r="AR288" s="125">
        <f>IF($F$5=0,Valores!$C$101,(Valores!$C$101+$F$5*(Valores!$C$101)))</f>
        <v>-852</v>
      </c>
      <c r="AS288" s="125">
        <f t="shared" si="47"/>
        <v>337436.26605</v>
      </c>
      <c r="AT288" s="125">
        <f t="shared" si="41"/>
        <v>-44067.109899999996</v>
      </c>
      <c r="AU288" s="125">
        <f>AH288*Valores!$C$74</f>
        <v>-10816.47243</v>
      </c>
      <c r="AV288" s="125">
        <f>AH288*Valores!$C$75</f>
        <v>-1201.83027</v>
      </c>
      <c r="AW288" s="125">
        <f t="shared" si="45"/>
        <v>344852.27739999996</v>
      </c>
      <c r="AX288" s="126"/>
      <c r="AY288" s="126">
        <f t="shared" si="49"/>
        <v>31</v>
      </c>
      <c r="AZ288" s="123" t="s">
        <v>8</v>
      </c>
    </row>
    <row r="289" spans="1:52" s="110" customFormat="1" ht="11.25" customHeight="1">
      <c r="A289" s="123" t="s">
        <v>471</v>
      </c>
      <c r="B289" s="123">
        <v>32</v>
      </c>
      <c r="C289" s="126">
        <v>282</v>
      </c>
      <c r="D289" s="124" t="str">
        <f>CONCATENATE("Hora Cátedra Enseñanza Media ",B289," hs")</f>
        <v>Hora Cátedra Enseñanza Media 32 hs</v>
      </c>
      <c r="E289" s="192">
        <f t="shared" si="40"/>
        <v>2528</v>
      </c>
      <c r="F289" s="125">
        <f>ROUND(E289*Valores!$C$2,2)</f>
        <v>137649.6</v>
      </c>
      <c r="G289" s="192">
        <v>0</v>
      </c>
      <c r="H289" s="125">
        <f>ROUND(G289*Valores!$C$2,2)</f>
        <v>0</v>
      </c>
      <c r="I289" s="192">
        <v>0</v>
      </c>
      <c r="J289" s="125">
        <f>ROUND(I289*Valores!$C$2,2)</f>
        <v>0</v>
      </c>
      <c r="K289" s="192">
        <v>0</v>
      </c>
      <c r="L289" s="125">
        <f>ROUND(K289*Valores!$C$2,2)</f>
        <v>0</v>
      </c>
      <c r="M289" s="125">
        <f>ROUND(IF($H$2=0,IF(AND(A289&lt;&gt;"13-930",A289&lt;&gt;"13-940"),(SUM(F289,H289,J289,L289,X289,T289,R289)*Valores!$C$4),0),0),2)</f>
        <v>46839.04</v>
      </c>
      <c r="N289" s="125">
        <f t="shared" si="42"/>
        <v>0</v>
      </c>
      <c r="O289" s="125">
        <f>Valores!$C$7*B289</f>
        <v>59086.08</v>
      </c>
      <c r="P289" s="125">
        <f>ROUND(IF(B289&lt;15,(Valores!$E$5*B289),Valores!$D$5),2)</f>
        <v>27834.84</v>
      </c>
      <c r="Q289" s="125">
        <v>0</v>
      </c>
      <c r="R289" s="125">
        <f>IF($F$4="NO",IF(Valores!$C$49*B289&gt;Valores!$F$46,Valores!$F$46,Valores!$C$49*B289),IF(Valores!$C$49*B289&gt;Valores!$F$46,Valores!$F$46,Valores!$C$49*B289)/2)</f>
        <v>31123.2</v>
      </c>
      <c r="S289" s="125">
        <f>Valores!$C$18*B289</f>
        <v>18583.36</v>
      </c>
      <c r="T289" s="125">
        <f t="shared" si="48"/>
        <v>18583.36</v>
      </c>
      <c r="U289" s="125">
        <v>0</v>
      </c>
      <c r="V289" s="125">
        <v>0</v>
      </c>
      <c r="W289" s="192">
        <v>0</v>
      </c>
      <c r="X289" s="125">
        <f>ROUND(W289*Valores!$C$2,2)</f>
        <v>0</v>
      </c>
      <c r="Y289" s="125">
        <v>0</v>
      </c>
      <c r="Z289" s="125">
        <f>IF(Valores!$C$97*B289&gt;Valores!$C$96,Valores!$C$96,Valores!$C$97*B289)</f>
        <v>56731.52</v>
      </c>
      <c r="AA289" s="125">
        <f>IF((Valores!$C$28)*B289&gt;Valores!$F$28,Valores!$F$28,(Valores!$C$28)*B289)</f>
        <v>1459.84</v>
      </c>
      <c r="AB289" s="214">
        <v>0</v>
      </c>
      <c r="AC289" s="125">
        <f t="shared" si="43"/>
        <v>0</v>
      </c>
      <c r="AD289" s="125">
        <f>IF(Valores!$C$29*B289&gt;Valores!$F$29,Valores!$F$29,Valores!$C$29*B289)</f>
        <v>1138.39</v>
      </c>
      <c r="AE289" s="192">
        <v>0</v>
      </c>
      <c r="AF289" s="125">
        <f>ROUND(AE289*Valores!$C$2,2)</f>
        <v>0</v>
      </c>
      <c r="AG289" s="125">
        <f>IF($F$4="NO",IF(Valores!$D$63*'Escala Docente'!B289&gt;Valores!$F$63,Valores!$F$63,Valores!$D$63*'Escala Docente'!B289),IF(Valores!$D$63*'Escala Docente'!B289&gt;Valores!$F$63,Valores!$F$63,Valores!$D$63*'Escala Docente'!B289)/2)</f>
        <v>26029.44</v>
      </c>
      <c r="AH289" s="125">
        <f t="shared" si="46"/>
        <v>406475.3100000001</v>
      </c>
      <c r="AI289" s="125">
        <f>IF(Valores!$C$32*B289&gt;Valores!$F$32,Valores!$F$32,Valores!$C$32*B289)</f>
        <v>0</v>
      </c>
      <c r="AJ289" s="125">
        <f>IF(Valores!$C$90*B289&gt;Valores!$C$89,Valores!$C$89,Valores!$C$90*B289)</f>
        <v>0</v>
      </c>
      <c r="AK289" s="125">
        <f>IF(Valores!C$39*B289&gt;Valores!F$38,Valores!F$38,Valores!C$39*B289)</f>
        <v>0</v>
      </c>
      <c r="AL289" s="125">
        <f>IF($F$3="NO",0,IF(Valores!$C$62*B289&gt;Valores!$F$62,Valores!$F$62,Valores!$C$62*B289))</f>
        <v>327.6</v>
      </c>
      <c r="AM289" s="125">
        <f t="shared" si="44"/>
        <v>327.6</v>
      </c>
      <c r="AN289" s="125">
        <f>AH289*Valores!$C$71</f>
        <v>-44712.28410000001</v>
      </c>
      <c r="AO289" s="125">
        <f>AH289*-Valores!$C$72</f>
        <v>0</v>
      </c>
      <c r="AP289" s="125">
        <f>AH289*Valores!$C$73</f>
        <v>-18291.388950000004</v>
      </c>
      <c r="AQ289" s="125">
        <f>Valores!$C$100</f>
        <v>-554.86</v>
      </c>
      <c r="AR289" s="125">
        <f>IF($F$5=0,Valores!$C$101,(Valores!$C$101+$F$5*(Valores!$C$101)))</f>
        <v>-852</v>
      </c>
      <c r="AS289" s="125">
        <f t="shared" si="47"/>
        <v>342392.37695000006</v>
      </c>
      <c r="AT289" s="125">
        <f t="shared" si="41"/>
        <v>-44712.28410000001</v>
      </c>
      <c r="AU289" s="125">
        <f>AH289*Valores!$C$74</f>
        <v>-10974.833370000002</v>
      </c>
      <c r="AV289" s="125">
        <f>AH289*Valores!$C$75</f>
        <v>-1219.4259300000003</v>
      </c>
      <c r="AW289" s="125">
        <f t="shared" si="45"/>
        <v>349896.36660000007</v>
      </c>
      <c r="AX289" s="126"/>
      <c r="AY289" s="126">
        <f t="shared" si="49"/>
        <v>32</v>
      </c>
      <c r="AZ289" s="123" t="s">
        <v>8</v>
      </c>
    </row>
    <row r="290" spans="1:52" s="110" customFormat="1" ht="11.25" customHeight="1">
      <c r="A290" s="123" t="s">
        <v>471</v>
      </c>
      <c r="B290" s="123">
        <v>32</v>
      </c>
      <c r="C290" s="126">
        <v>283</v>
      </c>
      <c r="D290" s="124" t="str">
        <f>CONCATENATE("Hora Cátedra Enseñanza Media ",B290," hs Esc Esp")</f>
        <v>Hora Cátedra Enseñanza Media 32 hs Esc Esp</v>
      </c>
      <c r="E290" s="192">
        <f t="shared" si="40"/>
        <v>2528</v>
      </c>
      <c r="F290" s="125">
        <f>ROUND(E290*Valores!$C$2,2)</f>
        <v>137649.6</v>
      </c>
      <c r="G290" s="192">
        <v>0</v>
      </c>
      <c r="H290" s="125">
        <f>ROUND(G290*Valores!$C$2,2)</f>
        <v>0</v>
      </c>
      <c r="I290" s="192">
        <v>0</v>
      </c>
      <c r="J290" s="125">
        <f>ROUND(I290*Valores!$C$2,2)</f>
        <v>0</v>
      </c>
      <c r="K290" s="192">
        <v>0</v>
      </c>
      <c r="L290" s="125">
        <f>ROUND(K290*Valores!$C$2,2)</f>
        <v>0</v>
      </c>
      <c r="M290" s="125">
        <f>ROUND(IF($H$2=0,IF(AND(A290&lt;&gt;"13-930",A290&lt;&gt;"13-940"),(SUM(F290,H290,J290,L290,X290,T290,R290)*Valores!$C$4),0),0),2)</f>
        <v>46839.04</v>
      </c>
      <c r="N290" s="125">
        <f t="shared" si="42"/>
        <v>0</v>
      </c>
      <c r="O290" s="125">
        <f>Valores!$C$7*B290</f>
        <v>59086.08</v>
      </c>
      <c r="P290" s="125">
        <f>ROUND(IF(B290&lt;15,(Valores!$E$5*B290),Valores!$D$5),2)</f>
        <v>27834.84</v>
      </c>
      <c r="Q290" s="125">
        <v>0</v>
      </c>
      <c r="R290" s="125">
        <f>IF($F$4="NO",IF(Valores!$C$49*B290&gt;Valores!$F$46,Valores!$F$46,Valores!$C$49*B290),IF(Valores!$C$49*B290&gt;Valores!$F$46,Valores!$F$46,Valores!$C$49*B290)/2)</f>
        <v>31123.2</v>
      </c>
      <c r="S290" s="125">
        <f>Valores!$C$18*B290</f>
        <v>18583.36</v>
      </c>
      <c r="T290" s="125">
        <f t="shared" si="48"/>
        <v>18583.36</v>
      </c>
      <c r="U290" s="125">
        <v>0</v>
      </c>
      <c r="V290" s="125">
        <v>0</v>
      </c>
      <c r="W290" s="192">
        <v>0</v>
      </c>
      <c r="X290" s="125">
        <f>ROUND(W290*Valores!$C$2,2)</f>
        <v>0</v>
      </c>
      <c r="Y290" s="125">
        <v>0</v>
      </c>
      <c r="Z290" s="125">
        <f>IF(Valores!$C$97*B290&gt;Valores!$C$96,Valores!$C$96,Valores!$C$97*B290)</f>
        <v>56731.52</v>
      </c>
      <c r="AA290" s="125">
        <f>IF((Valores!$C$28)*B290&gt;Valores!$F$28,Valores!$F$28,(Valores!$C$28)*B290)</f>
        <v>1459.84</v>
      </c>
      <c r="AB290" s="214">
        <v>0</v>
      </c>
      <c r="AC290" s="125">
        <f t="shared" si="43"/>
        <v>0</v>
      </c>
      <c r="AD290" s="125">
        <f>IF(Valores!$C$29*B290&gt;Valores!$F$29,Valores!$F$29,Valores!$C$29*B290)</f>
        <v>1138.39</v>
      </c>
      <c r="AE290" s="192">
        <v>94</v>
      </c>
      <c r="AF290" s="125">
        <f>ROUND(AE290*Valores!$C$2,2)</f>
        <v>5118.3</v>
      </c>
      <c r="AG290" s="125">
        <f>IF($F$4="NO",IF(Valores!$D$63*'Escala Docente'!B290&gt;Valores!$F$63,Valores!$F$63,Valores!$D$63*'Escala Docente'!B290),IF(Valores!$D$63*'Escala Docente'!B290&gt;Valores!$F$63,Valores!$F$63,Valores!$D$63*'Escala Docente'!B290)/2)</f>
        <v>26029.44</v>
      </c>
      <c r="AH290" s="125">
        <f t="shared" si="46"/>
        <v>411593.6100000001</v>
      </c>
      <c r="AI290" s="125">
        <f>IF(Valores!$C$32*B290&gt;Valores!$F$32,Valores!$F$32,Valores!$C$32*B290)</f>
        <v>0</v>
      </c>
      <c r="AJ290" s="125">
        <f>IF(Valores!$C$90*B290&gt;Valores!$C$89,Valores!$C$89,Valores!$C$90*B290)</f>
        <v>0</v>
      </c>
      <c r="AK290" s="125">
        <f>IF(Valores!C$39*B290&gt;Valores!F$38,Valores!F$38,Valores!C$39*B290)</f>
        <v>0</v>
      </c>
      <c r="AL290" s="125">
        <f>IF($F$3="NO",0,IF(Valores!$C$62*B290&gt;Valores!$F$62,Valores!$F$62,Valores!$C$62*B290))</f>
        <v>327.6</v>
      </c>
      <c r="AM290" s="125">
        <f t="shared" si="44"/>
        <v>327.6</v>
      </c>
      <c r="AN290" s="125">
        <f>AH290*Valores!$C$71</f>
        <v>-45275.29710000001</v>
      </c>
      <c r="AO290" s="125">
        <f>AH290*-Valores!$C$72</f>
        <v>0</v>
      </c>
      <c r="AP290" s="125">
        <f>AH290*Valores!$C$73</f>
        <v>-18521.712450000003</v>
      </c>
      <c r="AQ290" s="125">
        <f>Valores!$C$100</f>
        <v>-554.86</v>
      </c>
      <c r="AR290" s="125">
        <f>IF($F$5=0,Valores!$C$101,(Valores!$C$101+$F$5*(Valores!$C$101)))</f>
        <v>-852</v>
      </c>
      <c r="AS290" s="125">
        <f t="shared" si="47"/>
        <v>346717.3404500001</v>
      </c>
      <c r="AT290" s="125">
        <f t="shared" si="41"/>
        <v>-45275.29710000001</v>
      </c>
      <c r="AU290" s="125">
        <f>AH290*Valores!$C$74</f>
        <v>-11113.027470000003</v>
      </c>
      <c r="AV290" s="125">
        <f>AH290*Valores!$C$75</f>
        <v>-1234.7808300000004</v>
      </c>
      <c r="AW290" s="125">
        <f t="shared" si="45"/>
        <v>354298.1046000001</v>
      </c>
      <c r="AX290" s="126"/>
      <c r="AY290" s="126">
        <f t="shared" si="49"/>
        <v>32</v>
      </c>
      <c r="AZ290" s="123" t="s">
        <v>8</v>
      </c>
    </row>
    <row r="291" spans="1:52" s="110" customFormat="1" ht="11.25" customHeight="1">
      <c r="A291" s="123" t="s">
        <v>471</v>
      </c>
      <c r="B291" s="123">
        <v>33</v>
      </c>
      <c r="C291" s="126">
        <v>284</v>
      </c>
      <c r="D291" s="124" t="str">
        <f>CONCATENATE("Hora Cátedra Enseñanza Media ",B291," hs")</f>
        <v>Hora Cátedra Enseñanza Media 33 hs</v>
      </c>
      <c r="E291" s="192">
        <f aca="true" t="shared" si="50" ref="E291:E298">79*B291</f>
        <v>2607</v>
      </c>
      <c r="F291" s="125">
        <f>ROUND(E291*Valores!$C$2,2)</f>
        <v>141951.15</v>
      </c>
      <c r="G291" s="192">
        <v>0</v>
      </c>
      <c r="H291" s="125">
        <f>ROUND(G291*Valores!$C$2,2)</f>
        <v>0</v>
      </c>
      <c r="I291" s="192">
        <v>0</v>
      </c>
      <c r="J291" s="125">
        <f>ROUND(I291*Valores!$C$2,2)</f>
        <v>0</v>
      </c>
      <c r="K291" s="192">
        <v>0</v>
      </c>
      <c r="L291" s="125">
        <f>ROUND(K291*Valores!$C$2,2)</f>
        <v>0</v>
      </c>
      <c r="M291" s="125">
        <f>ROUND(IF($H$2=0,IF(AND(A291&lt;&gt;"13-930",A291&lt;&gt;"13-940"),(SUM(F291,H291,J291,L291,X291,T291,R291)*Valores!$C$4),0),0),2)</f>
        <v>48302.76</v>
      </c>
      <c r="N291" s="125">
        <f t="shared" si="42"/>
        <v>0</v>
      </c>
      <c r="O291" s="125">
        <f>Valores!$C$7*B291</f>
        <v>60932.520000000004</v>
      </c>
      <c r="P291" s="125">
        <f>ROUND(IF(B291&lt;15,(Valores!$E$5*B291),Valores!$D$5),2)</f>
        <v>27834.84</v>
      </c>
      <c r="Q291" s="125">
        <v>0</v>
      </c>
      <c r="R291" s="125">
        <f>IF($F$4="NO",IF(Valores!$C$49*B291&gt;Valores!$F$46,Valores!$F$46,Valores!$C$49*B291),IF(Valores!$C$49*B291&gt;Valores!$F$46,Valores!$F$46,Valores!$C$49*B291)/2)</f>
        <v>32095.8</v>
      </c>
      <c r="S291" s="125">
        <f>Valores!$C$18*B291</f>
        <v>19164.09</v>
      </c>
      <c r="T291" s="125">
        <f t="shared" si="48"/>
        <v>19164.09</v>
      </c>
      <c r="U291" s="125">
        <v>0</v>
      </c>
      <c r="V291" s="125">
        <v>0</v>
      </c>
      <c r="W291" s="192">
        <v>0</v>
      </c>
      <c r="X291" s="125">
        <f>ROUND(W291*Valores!$C$2,2)</f>
        <v>0</v>
      </c>
      <c r="Y291" s="125">
        <v>0</v>
      </c>
      <c r="Z291" s="125">
        <f>IF(Valores!$C$97*B291&gt;Valores!$C$96,Valores!$C$96,Valores!$C$97*B291)</f>
        <v>58504.38</v>
      </c>
      <c r="AA291" s="125">
        <f>IF((Valores!$C$28)*B291&gt;Valores!$F$28,Valores!$F$28,(Valores!$C$28)*B291)</f>
        <v>1505.4599999999998</v>
      </c>
      <c r="AB291" s="214">
        <v>0</v>
      </c>
      <c r="AC291" s="125">
        <f t="shared" si="43"/>
        <v>0</v>
      </c>
      <c r="AD291" s="125">
        <f>IF(Valores!$C$29*B291&gt;Valores!$F$29,Valores!$F$29,Valores!$C$29*B291)</f>
        <v>1138.39</v>
      </c>
      <c r="AE291" s="192">
        <v>0</v>
      </c>
      <c r="AF291" s="125">
        <f>ROUND(AE291*Valores!$C$2,2)</f>
        <v>0</v>
      </c>
      <c r="AG291" s="125">
        <f>IF($F$4="NO",IF(Valores!$D$63*'Escala Docente'!B291&gt;Valores!$F$63,Valores!$F$63,Valores!$D$63*'Escala Docente'!B291),IF(Valores!$D$63*'Escala Docente'!B291&gt;Valores!$F$63,Valores!$F$63,Valores!$D$63*'Escala Docente'!B291)/2)</f>
        <v>26029.44</v>
      </c>
      <c r="AH291" s="125">
        <f t="shared" si="46"/>
        <v>417458.8300000001</v>
      </c>
      <c r="AI291" s="125">
        <f>IF(Valores!$C$32*B291&gt;Valores!$F$32,Valores!$F$32,Valores!$C$32*B291)</f>
        <v>0</v>
      </c>
      <c r="AJ291" s="125">
        <f>IF(Valores!$C$90*B291&gt;Valores!$C$89,Valores!$C$89,Valores!$C$90*B291)</f>
        <v>0</v>
      </c>
      <c r="AK291" s="125">
        <f>IF(Valores!C$39*B291&gt;Valores!F$38,Valores!F$38,Valores!C$39*B291)</f>
        <v>0</v>
      </c>
      <c r="AL291" s="125">
        <f>IF($F$3="NO",0,IF(Valores!$C$62*B291&gt;Valores!$F$62,Valores!$F$62,Valores!$C$62*B291))</f>
        <v>327.6</v>
      </c>
      <c r="AM291" s="125">
        <f t="shared" si="44"/>
        <v>327.6</v>
      </c>
      <c r="AN291" s="125">
        <f>AH291*Valores!$C$71</f>
        <v>-45920.47130000001</v>
      </c>
      <c r="AO291" s="125">
        <f>AH291*-Valores!$C$72</f>
        <v>0</v>
      </c>
      <c r="AP291" s="125">
        <f>AH291*Valores!$C$73</f>
        <v>-18785.647350000003</v>
      </c>
      <c r="AQ291" s="125">
        <f>Valores!$C$100</f>
        <v>-554.86</v>
      </c>
      <c r="AR291" s="125">
        <f>IF($F$5=0,Valores!$C$101,(Valores!$C$101+$F$5*(Valores!$C$101)))</f>
        <v>-852</v>
      </c>
      <c r="AS291" s="125">
        <f t="shared" si="47"/>
        <v>351673.45135000005</v>
      </c>
      <c r="AT291" s="125">
        <f t="shared" si="41"/>
        <v>-45920.47130000001</v>
      </c>
      <c r="AU291" s="125">
        <f>AH291*Valores!$C$74</f>
        <v>-11271.388410000001</v>
      </c>
      <c r="AV291" s="125">
        <f>AH291*Valores!$C$75</f>
        <v>-1252.3764900000003</v>
      </c>
      <c r="AW291" s="125">
        <f t="shared" si="45"/>
        <v>359342.1938</v>
      </c>
      <c r="AX291" s="126"/>
      <c r="AY291" s="126">
        <f t="shared" si="49"/>
        <v>33</v>
      </c>
      <c r="AZ291" s="123" t="s">
        <v>8</v>
      </c>
    </row>
    <row r="292" spans="1:52" s="110" customFormat="1" ht="11.25" customHeight="1">
      <c r="A292" s="123" t="s">
        <v>471</v>
      </c>
      <c r="B292" s="123">
        <v>33</v>
      </c>
      <c r="C292" s="126">
        <v>285</v>
      </c>
      <c r="D292" s="123" t="str">
        <f>CONCATENATE("Hora Cátedra Enseñanza Media ",B292," hs Esc Esp")</f>
        <v>Hora Cátedra Enseñanza Media 33 hs Esc Esp</v>
      </c>
      <c r="E292" s="193">
        <f t="shared" si="50"/>
        <v>2607</v>
      </c>
      <c r="F292" s="125">
        <f>ROUND(E292*Valores!$C$2,2)</f>
        <v>141951.15</v>
      </c>
      <c r="G292" s="192">
        <v>0</v>
      </c>
      <c r="H292" s="125">
        <f>ROUND(G292*Valores!$C$2,2)</f>
        <v>0</v>
      </c>
      <c r="I292" s="192">
        <v>0</v>
      </c>
      <c r="J292" s="125">
        <f>ROUND(I292*Valores!$C$2,2)</f>
        <v>0</v>
      </c>
      <c r="K292" s="192">
        <v>0</v>
      </c>
      <c r="L292" s="125">
        <f>ROUND(K292*Valores!$C$2,2)</f>
        <v>0</v>
      </c>
      <c r="M292" s="125">
        <f>ROUND(IF($H$2=0,IF(AND(A292&lt;&gt;"13-930",A292&lt;&gt;"13-940"),(SUM(F292,H292,J292,L292,X292,T292,R292)*Valores!$C$4),0),0),2)</f>
        <v>48302.76</v>
      </c>
      <c r="N292" s="125">
        <f t="shared" si="42"/>
        <v>0</v>
      </c>
      <c r="O292" s="125">
        <f>Valores!$C$7*B292</f>
        <v>60932.520000000004</v>
      </c>
      <c r="P292" s="125">
        <f>ROUND(IF(B292&lt;15,(Valores!$E$5*B292),Valores!$D$5),2)</f>
        <v>27834.84</v>
      </c>
      <c r="Q292" s="125">
        <v>0</v>
      </c>
      <c r="R292" s="125">
        <f>IF($F$4="NO",IF(Valores!$C$49*B292&gt;Valores!$F$46,Valores!$F$46,Valores!$C$49*B292),IF(Valores!$C$49*B292&gt;Valores!$F$46,Valores!$F$46,Valores!$C$49*B292)/2)</f>
        <v>32095.8</v>
      </c>
      <c r="S292" s="125">
        <f>Valores!$C$18*B292</f>
        <v>19164.09</v>
      </c>
      <c r="T292" s="125">
        <f t="shared" si="48"/>
        <v>19164.09</v>
      </c>
      <c r="U292" s="125">
        <v>0</v>
      </c>
      <c r="V292" s="125">
        <v>0</v>
      </c>
      <c r="W292" s="192">
        <v>0</v>
      </c>
      <c r="X292" s="125">
        <f>ROUND(W292*Valores!$C$2,2)</f>
        <v>0</v>
      </c>
      <c r="Y292" s="125">
        <v>0</v>
      </c>
      <c r="Z292" s="125">
        <f>IF(Valores!$C$97*B292&gt;Valores!$C$96,Valores!$C$96,Valores!$C$97*B292)</f>
        <v>58504.38</v>
      </c>
      <c r="AA292" s="125">
        <f>IF((Valores!$C$28)*B292&gt;Valores!$F$28,Valores!$F$28,(Valores!$C$28)*B292)</f>
        <v>1505.4599999999998</v>
      </c>
      <c r="AB292" s="214">
        <v>0</v>
      </c>
      <c r="AC292" s="125">
        <f t="shared" si="43"/>
        <v>0</v>
      </c>
      <c r="AD292" s="125">
        <f>IF(Valores!$C$29*B292&gt;Valores!$F$29,Valores!$F$29,Valores!$C$29*B292)</f>
        <v>1138.39</v>
      </c>
      <c r="AE292" s="192">
        <v>94</v>
      </c>
      <c r="AF292" s="125">
        <f>ROUND(AE292*Valores!$C$2,2)</f>
        <v>5118.3</v>
      </c>
      <c r="AG292" s="125">
        <f>IF($F$4="NO",IF(Valores!$D$63*'Escala Docente'!B292&gt;Valores!$F$63,Valores!$F$63,Valores!$D$63*'Escala Docente'!B292),IF(Valores!$D$63*'Escala Docente'!B292&gt;Valores!$F$63,Valores!$F$63,Valores!$D$63*'Escala Docente'!B292)/2)</f>
        <v>26029.44</v>
      </c>
      <c r="AH292" s="125">
        <f t="shared" si="46"/>
        <v>422577.13000000006</v>
      </c>
      <c r="AI292" s="125">
        <f>IF(Valores!$C$32*B292&gt;Valores!$F$32,Valores!$F$32,Valores!$C$32*B292)</f>
        <v>0</v>
      </c>
      <c r="AJ292" s="125">
        <f>IF(Valores!$C$90*B292&gt;Valores!$C$89,Valores!$C$89,Valores!$C$90*B292)</f>
        <v>0</v>
      </c>
      <c r="AK292" s="125">
        <f>IF(Valores!C$39*B292&gt;Valores!F$38,Valores!F$38,Valores!C$39*B292)</f>
        <v>0</v>
      </c>
      <c r="AL292" s="125">
        <f>IF($F$3="NO",0,IF(Valores!$C$62*B292&gt;Valores!$F$62,Valores!$F$62,Valores!$C$62*B292))</f>
        <v>327.6</v>
      </c>
      <c r="AM292" s="125">
        <f t="shared" si="44"/>
        <v>327.6</v>
      </c>
      <c r="AN292" s="125">
        <f>AH292*Valores!$C$71</f>
        <v>-46483.484300000004</v>
      </c>
      <c r="AO292" s="125">
        <f>AH292*-Valores!$C$72</f>
        <v>0</v>
      </c>
      <c r="AP292" s="125">
        <f>AH292*Valores!$C$73</f>
        <v>-19015.97085</v>
      </c>
      <c r="AQ292" s="125">
        <f>Valores!$C$100</f>
        <v>-554.86</v>
      </c>
      <c r="AR292" s="125">
        <f>IF($F$5=0,Valores!$C$101,(Valores!$C$101+$F$5*(Valores!$C$101)))</f>
        <v>-852</v>
      </c>
      <c r="AS292" s="125">
        <f t="shared" si="47"/>
        <v>355998.41485000006</v>
      </c>
      <c r="AT292" s="125">
        <f t="shared" si="41"/>
        <v>-46483.484300000004</v>
      </c>
      <c r="AU292" s="125">
        <f>AH292*Valores!$C$74</f>
        <v>-11409.582510000002</v>
      </c>
      <c r="AV292" s="125">
        <f>AH292*Valores!$C$75</f>
        <v>-1267.7313900000001</v>
      </c>
      <c r="AW292" s="125">
        <f t="shared" si="45"/>
        <v>363743.9318</v>
      </c>
      <c r="AX292" s="123"/>
      <c r="AY292" s="126">
        <f t="shared" si="49"/>
        <v>33</v>
      </c>
      <c r="AZ292" s="123" t="s">
        <v>8</v>
      </c>
    </row>
    <row r="293" spans="1:52" s="110" customFormat="1" ht="11.25" customHeight="1">
      <c r="A293" s="123" t="s">
        <v>471</v>
      </c>
      <c r="B293" s="123">
        <v>34</v>
      </c>
      <c r="C293" s="126">
        <v>286</v>
      </c>
      <c r="D293" s="124" t="str">
        <f>CONCATENATE("Hora Cátedra Enseñanza Media ",B293," hs")</f>
        <v>Hora Cátedra Enseñanza Media 34 hs</v>
      </c>
      <c r="E293" s="192">
        <f t="shared" si="50"/>
        <v>2686</v>
      </c>
      <c r="F293" s="125">
        <f>ROUND(E293*Valores!$C$2,2)</f>
        <v>146252.7</v>
      </c>
      <c r="G293" s="192">
        <v>0</v>
      </c>
      <c r="H293" s="125">
        <f>ROUND(G293*Valores!$C$2,2)</f>
        <v>0</v>
      </c>
      <c r="I293" s="192">
        <v>0</v>
      </c>
      <c r="J293" s="125">
        <f>ROUND(I293*Valores!$C$2,2)</f>
        <v>0</v>
      </c>
      <c r="K293" s="192">
        <v>0</v>
      </c>
      <c r="L293" s="125">
        <f>ROUND(K293*Valores!$C$2,2)</f>
        <v>0</v>
      </c>
      <c r="M293" s="125">
        <f>ROUND(IF($H$2=0,IF(AND(A293&lt;&gt;"13-930",A293&lt;&gt;"13-940"),(SUM(F293,H293,J293,L293,X293,T293,R293)*Valores!$C$4),0),0),2)</f>
        <v>49766.48</v>
      </c>
      <c r="N293" s="125">
        <f t="shared" si="42"/>
        <v>0</v>
      </c>
      <c r="O293" s="125">
        <f>Valores!$C$7*B293</f>
        <v>62778.96</v>
      </c>
      <c r="P293" s="125">
        <f>ROUND(IF(B293&lt;15,(Valores!$E$5*B293),Valores!$D$5),2)</f>
        <v>27834.84</v>
      </c>
      <c r="Q293" s="125">
        <v>0</v>
      </c>
      <c r="R293" s="125">
        <f>IF($F$4="NO",IF(Valores!$C$49*B293&gt;Valores!$F$46,Valores!$F$46,Valores!$C$49*B293),IF(Valores!$C$49*B293&gt;Valores!$F$46,Valores!$F$46,Valores!$C$49*B293)/2)</f>
        <v>33068.4</v>
      </c>
      <c r="S293" s="125">
        <f>Valores!$C$18*B293</f>
        <v>19744.82</v>
      </c>
      <c r="T293" s="125">
        <f t="shared" si="48"/>
        <v>19744.82</v>
      </c>
      <c r="U293" s="125">
        <v>0</v>
      </c>
      <c r="V293" s="125">
        <v>0</v>
      </c>
      <c r="W293" s="192">
        <v>0</v>
      </c>
      <c r="X293" s="125">
        <f>ROUND(W293*Valores!$C$2,2)</f>
        <v>0</v>
      </c>
      <c r="Y293" s="125">
        <v>0</v>
      </c>
      <c r="Z293" s="125">
        <f>IF(Valores!$C$97*B293&gt;Valores!$C$96,Valores!$C$96,Valores!$C$97*B293)</f>
        <v>60277.24</v>
      </c>
      <c r="AA293" s="125">
        <f>IF((Valores!$C$28)*B293&gt;Valores!$F$28,Valores!$F$28,(Valores!$C$28)*B293)</f>
        <v>1551.08</v>
      </c>
      <c r="AB293" s="214">
        <v>0</v>
      </c>
      <c r="AC293" s="125">
        <f t="shared" si="43"/>
        <v>0</v>
      </c>
      <c r="AD293" s="125">
        <f>IF(Valores!$C$29*B293&gt;Valores!$F$29,Valores!$F$29,Valores!$C$29*B293)</f>
        <v>1138.39</v>
      </c>
      <c r="AE293" s="192">
        <v>0</v>
      </c>
      <c r="AF293" s="125">
        <f>ROUND(AE293*Valores!$C$2,2)</f>
        <v>0</v>
      </c>
      <c r="AG293" s="125">
        <f>IF($F$4="NO",IF(Valores!$D$63*'Escala Docente'!B293&gt;Valores!$F$63,Valores!$F$63,Valores!$D$63*'Escala Docente'!B293),IF(Valores!$D$63*'Escala Docente'!B293&gt;Valores!$F$63,Valores!$F$63,Valores!$D$63*'Escala Docente'!B293)/2)</f>
        <v>26029.44</v>
      </c>
      <c r="AH293" s="125">
        <f t="shared" si="46"/>
        <v>428442.3500000001</v>
      </c>
      <c r="AI293" s="125">
        <f>IF(Valores!$C$32*B293&gt;Valores!$F$32,Valores!$F$32,Valores!$C$32*B293)</f>
        <v>0</v>
      </c>
      <c r="AJ293" s="125">
        <f>IF(Valores!$C$90*B293&gt;Valores!$C$89,Valores!$C$89,Valores!$C$90*B293)</f>
        <v>0</v>
      </c>
      <c r="AK293" s="125">
        <f>IF(Valores!C$39*B293&gt;Valores!F$38,Valores!F$38,Valores!C$39*B293)</f>
        <v>0</v>
      </c>
      <c r="AL293" s="125">
        <f>IF($F$3="NO",0,IF(Valores!$C$62*B293&gt;Valores!$F$62,Valores!$F$62,Valores!$C$62*B293))</f>
        <v>327.6</v>
      </c>
      <c r="AM293" s="125">
        <f t="shared" si="44"/>
        <v>327.6</v>
      </c>
      <c r="AN293" s="125">
        <f>AH293*Valores!$C$71</f>
        <v>-47128.65850000001</v>
      </c>
      <c r="AO293" s="125">
        <f>AH293*-Valores!$C$72</f>
        <v>0</v>
      </c>
      <c r="AP293" s="125">
        <f>AH293*Valores!$C$73</f>
        <v>-19279.90575</v>
      </c>
      <c r="AQ293" s="125">
        <f>Valores!$C$100</f>
        <v>-554.86</v>
      </c>
      <c r="AR293" s="125">
        <f>IF($F$5=0,Valores!$C$101,(Valores!$C$101+$F$5*(Valores!$C$101)))</f>
        <v>-852</v>
      </c>
      <c r="AS293" s="125">
        <f t="shared" si="47"/>
        <v>360954.5257500001</v>
      </c>
      <c r="AT293" s="125">
        <f t="shared" si="41"/>
        <v>-47128.65850000001</v>
      </c>
      <c r="AU293" s="125">
        <f>AH293*Valores!$C$74</f>
        <v>-11567.943450000002</v>
      </c>
      <c r="AV293" s="125">
        <f>AH293*Valores!$C$75</f>
        <v>-1285.3270500000003</v>
      </c>
      <c r="AW293" s="125">
        <f t="shared" si="45"/>
        <v>368788.02100000007</v>
      </c>
      <c r="AX293" s="126"/>
      <c r="AY293" s="126">
        <f t="shared" si="49"/>
        <v>34</v>
      </c>
      <c r="AZ293" s="123" t="s">
        <v>8</v>
      </c>
    </row>
    <row r="294" spans="1:52" s="110" customFormat="1" ht="11.25" customHeight="1">
      <c r="A294" s="123" t="s">
        <v>471</v>
      </c>
      <c r="B294" s="123">
        <v>34</v>
      </c>
      <c r="C294" s="126">
        <v>287</v>
      </c>
      <c r="D294" s="124" t="str">
        <f>CONCATENATE("Hora Cátedra Enseñanza Media ",B294," hs Esc Esp")</f>
        <v>Hora Cátedra Enseñanza Media 34 hs Esc Esp</v>
      </c>
      <c r="E294" s="192">
        <f t="shared" si="50"/>
        <v>2686</v>
      </c>
      <c r="F294" s="125">
        <f>ROUND(E294*Valores!$C$2,2)</f>
        <v>146252.7</v>
      </c>
      <c r="G294" s="192">
        <v>0</v>
      </c>
      <c r="H294" s="125">
        <f>ROUND(G294*Valores!$C$2,2)</f>
        <v>0</v>
      </c>
      <c r="I294" s="192">
        <v>0</v>
      </c>
      <c r="J294" s="125">
        <f>ROUND(I294*Valores!$C$2,2)</f>
        <v>0</v>
      </c>
      <c r="K294" s="192">
        <v>0</v>
      </c>
      <c r="L294" s="125">
        <f>ROUND(K294*Valores!$C$2,2)</f>
        <v>0</v>
      </c>
      <c r="M294" s="125">
        <f>ROUND(IF($H$2=0,IF(AND(A294&lt;&gt;"13-930",A294&lt;&gt;"13-940"),(SUM(F294,H294,J294,L294,X294,T294,R294)*Valores!$C$4),0),0),2)</f>
        <v>49766.48</v>
      </c>
      <c r="N294" s="125">
        <f t="shared" si="42"/>
        <v>0</v>
      </c>
      <c r="O294" s="125">
        <f>Valores!$C$7*B294</f>
        <v>62778.96</v>
      </c>
      <c r="P294" s="125">
        <f>ROUND(IF(B294&lt;15,(Valores!$E$5*B294),Valores!$D$5),2)</f>
        <v>27834.84</v>
      </c>
      <c r="Q294" s="125">
        <v>0</v>
      </c>
      <c r="R294" s="125">
        <f>IF($F$4="NO",IF(Valores!$C$49*B294&gt;Valores!$F$46,Valores!$F$46,Valores!$C$49*B294),IF(Valores!$C$49*B294&gt;Valores!$F$46,Valores!$F$46,Valores!$C$49*B294)/2)</f>
        <v>33068.4</v>
      </c>
      <c r="S294" s="125">
        <f>Valores!$C$18*B294</f>
        <v>19744.82</v>
      </c>
      <c r="T294" s="125">
        <f t="shared" si="48"/>
        <v>19744.82</v>
      </c>
      <c r="U294" s="125">
        <v>0</v>
      </c>
      <c r="V294" s="125">
        <v>0</v>
      </c>
      <c r="W294" s="192">
        <v>0</v>
      </c>
      <c r="X294" s="125">
        <f>ROUND(W294*Valores!$C$2,2)</f>
        <v>0</v>
      </c>
      <c r="Y294" s="125">
        <v>0</v>
      </c>
      <c r="Z294" s="125">
        <f>IF(Valores!$C$97*B294&gt;Valores!$C$96,Valores!$C$96,Valores!$C$97*B294)</f>
        <v>60277.24</v>
      </c>
      <c r="AA294" s="125">
        <f>IF((Valores!$C$28)*B294&gt;Valores!$F$28,Valores!$F$28,(Valores!$C$28)*B294)</f>
        <v>1551.08</v>
      </c>
      <c r="AB294" s="214">
        <v>0</v>
      </c>
      <c r="AC294" s="125">
        <f t="shared" si="43"/>
        <v>0</v>
      </c>
      <c r="AD294" s="125">
        <f>IF(Valores!$C$29*B294&gt;Valores!$F$29,Valores!$F$29,Valores!$C$29*B294)</f>
        <v>1138.39</v>
      </c>
      <c r="AE294" s="192">
        <v>94</v>
      </c>
      <c r="AF294" s="125">
        <f>ROUND(AE294*Valores!$C$2,2)</f>
        <v>5118.3</v>
      </c>
      <c r="AG294" s="125">
        <f>IF($F$4="NO",IF(Valores!$D$63*'Escala Docente'!B294&gt;Valores!$F$63,Valores!$F$63,Valores!$D$63*'Escala Docente'!B294),IF(Valores!$D$63*'Escala Docente'!B294&gt;Valores!$F$63,Valores!$F$63,Valores!$D$63*'Escala Docente'!B294)/2)</f>
        <v>26029.44</v>
      </c>
      <c r="AH294" s="125">
        <f t="shared" si="46"/>
        <v>433560.6500000001</v>
      </c>
      <c r="AI294" s="125">
        <f>IF(Valores!$C$32*B294&gt;Valores!$F$32,Valores!$F$32,Valores!$C$32*B294)</f>
        <v>0</v>
      </c>
      <c r="AJ294" s="125">
        <f>IF(Valores!$C$90*B294&gt;Valores!$C$89,Valores!$C$89,Valores!$C$90*B294)</f>
        <v>0</v>
      </c>
      <c r="AK294" s="125">
        <f>IF(Valores!C$39*B294&gt;Valores!F$38,Valores!F$38,Valores!C$39*B294)</f>
        <v>0</v>
      </c>
      <c r="AL294" s="125">
        <f>IF($F$3="NO",0,IF(Valores!$C$62*B294&gt;Valores!$F$62,Valores!$F$62,Valores!$C$62*B294))</f>
        <v>327.6</v>
      </c>
      <c r="AM294" s="125">
        <f t="shared" si="44"/>
        <v>327.6</v>
      </c>
      <c r="AN294" s="125">
        <f>AH294*Valores!$C$71</f>
        <v>-47691.67150000001</v>
      </c>
      <c r="AO294" s="125">
        <f>AH294*-Valores!$C$72</f>
        <v>0</v>
      </c>
      <c r="AP294" s="125">
        <f>AH294*Valores!$C$73</f>
        <v>-19510.229250000004</v>
      </c>
      <c r="AQ294" s="125">
        <f>Valores!$C$100</f>
        <v>-554.86</v>
      </c>
      <c r="AR294" s="125">
        <f>IF($F$5=0,Valores!$C$101,(Valores!$C$101+$F$5*(Valores!$C$101)))</f>
        <v>-852</v>
      </c>
      <c r="AS294" s="125">
        <f t="shared" si="47"/>
        <v>365279.48925000004</v>
      </c>
      <c r="AT294" s="125">
        <f t="shared" si="41"/>
        <v>-47691.67150000001</v>
      </c>
      <c r="AU294" s="125">
        <f>AH294*Valores!$C$74</f>
        <v>-11706.137550000001</v>
      </c>
      <c r="AV294" s="125">
        <f>AH294*Valores!$C$75</f>
        <v>-1300.6819500000004</v>
      </c>
      <c r="AW294" s="125">
        <f t="shared" si="45"/>
        <v>373189.7590000001</v>
      </c>
      <c r="AX294" s="126"/>
      <c r="AY294" s="126">
        <f t="shared" si="49"/>
        <v>34</v>
      </c>
      <c r="AZ294" s="123" t="s">
        <v>8</v>
      </c>
    </row>
    <row r="295" spans="1:52" s="110" customFormat="1" ht="11.25" customHeight="1">
      <c r="A295" s="123" t="s">
        <v>471</v>
      </c>
      <c r="B295" s="123">
        <v>35</v>
      </c>
      <c r="C295" s="126">
        <v>288</v>
      </c>
      <c r="D295" s="124" t="str">
        <f>CONCATENATE("Hora Cátedra Enseñanza Media ",B295," hs")</f>
        <v>Hora Cátedra Enseñanza Media 35 hs</v>
      </c>
      <c r="E295" s="192">
        <f t="shared" si="50"/>
        <v>2765</v>
      </c>
      <c r="F295" s="125">
        <f>ROUND(E295*Valores!$C$2,2)</f>
        <v>150554.25</v>
      </c>
      <c r="G295" s="192">
        <v>0</v>
      </c>
      <c r="H295" s="125">
        <f>ROUND(G295*Valores!$C$2,2)</f>
        <v>0</v>
      </c>
      <c r="I295" s="192">
        <v>0</v>
      </c>
      <c r="J295" s="125">
        <f>ROUND(I295*Valores!$C$2,2)</f>
        <v>0</v>
      </c>
      <c r="K295" s="192">
        <v>0</v>
      </c>
      <c r="L295" s="125">
        <f>ROUND(K295*Valores!$C$2,2)</f>
        <v>0</v>
      </c>
      <c r="M295" s="125">
        <f>ROUND(IF($H$2=0,IF(AND(A295&lt;&gt;"13-930",A295&lt;&gt;"13-940"),(SUM(F295,H295,J295,L295,X295,T295,R295)*Valores!$C$4),0),0),2)</f>
        <v>51170.19</v>
      </c>
      <c r="N295" s="125">
        <f t="shared" si="42"/>
        <v>0</v>
      </c>
      <c r="O295" s="125">
        <f>Valores!$C$7*B295</f>
        <v>64625.4</v>
      </c>
      <c r="P295" s="125">
        <f>ROUND(IF(B295&lt;15,(Valores!$E$5*B295),Valores!$D$5),2)</f>
        <v>27834.84</v>
      </c>
      <c r="Q295" s="125">
        <v>0</v>
      </c>
      <c r="R295" s="125">
        <f>IF($F$4="NO",IF(Valores!$C$49*B295&gt;Valores!$F$46,Valores!$F$46,Valores!$C$49*B295),IF(Valores!$C$49*B295&gt;Valores!$F$46,Valores!$F$46,Valores!$C$49*B295)/2)</f>
        <v>33800.96</v>
      </c>
      <c r="S295" s="125">
        <f>Valores!$C$18*B295</f>
        <v>20325.55</v>
      </c>
      <c r="T295" s="125">
        <f t="shared" si="48"/>
        <v>20325.55</v>
      </c>
      <c r="U295" s="125">
        <v>0</v>
      </c>
      <c r="V295" s="125">
        <v>0</v>
      </c>
      <c r="W295" s="192">
        <v>0</v>
      </c>
      <c r="X295" s="125">
        <f>ROUND(W295*Valores!$C$2,2)</f>
        <v>0</v>
      </c>
      <c r="Y295" s="125">
        <v>0</v>
      </c>
      <c r="Z295" s="125">
        <f>IF(Valores!$C$97*B295&gt;Valores!$C$96,Valores!$C$96,Valores!$C$97*B295)</f>
        <v>62050.1</v>
      </c>
      <c r="AA295" s="125">
        <f>IF((Valores!$C$28)*B295&gt;Valores!$F$28,Valores!$F$28,(Valores!$C$28)*B295)</f>
        <v>1596.6999999999998</v>
      </c>
      <c r="AB295" s="214">
        <v>0</v>
      </c>
      <c r="AC295" s="125">
        <f t="shared" si="43"/>
        <v>0</v>
      </c>
      <c r="AD295" s="125">
        <f>IF(Valores!$C$29*B295&gt;Valores!$F$29,Valores!$F$29,Valores!$C$29*B295)</f>
        <v>1138.39</v>
      </c>
      <c r="AE295" s="192">
        <v>0</v>
      </c>
      <c r="AF295" s="125">
        <f>ROUND(AE295*Valores!$C$2,2)</f>
        <v>0</v>
      </c>
      <c r="AG295" s="125">
        <f>IF($F$4="NO",IF(Valores!$D$63*'Escala Docente'!B295&gt;Valores!$F$63,Valores!$F$63,Valores!$D$63*'Escala Docente'!B295),IF(Valores!$D$63*'Escala Docente'!B295&gt;Valores!$F$63,Valores!$F$63,Valores!$D$63*'Escala Docente'!B295)/2)</f>
        <v>26029.44</v>
      </c>
      <c r="AH295" s="125">
        <f t="shared" si="46"/>
        <v>439125.82000000007</v>
      </c>
      <c r="AI295" s="125">
        <f>IF(Valores!$C$32*B295&gt;Valores!$F$32,Valores!$F$32,Valores!$C$32*B295)</f>
        <v>0</v>
      </c>
      <c r="AJ295" s="125">
        <f>IF(Valores!$C$90*B295&gt;Valores!$C$89,Valores!$C$89,Valores!$C$90*B295)</f>
        <v>0</v>
      </c>
      <c r="AK295" s="125">
        <f>IF(Valores!C$39*B295&gt;Valores!F$38,Valores!F$38,Valores!C$39*B295)</f>
        <v>0</v>
      </c>
      <c r="AL295" s="125">
        <f>IF($F$3="NO",0,IF(Valores!$C$62*B295&gt;Valores!$F$62,Valores!$F$62,Valores!$C$62*B295))</f>
        <v>327.6</v>
      </c>
      <c r="AM295" s="125">
        <f t="shared" si="44"/>
        <v>327.6</v>
      </c>
      <c r="AN295" s="125">
        <f>AH295*Valores!$C$71</f>
        <v>-48303.840200000006</v>
      </c>
      <c r="AO295" s="125">
        <f>AH295*-Valores!$C$72</f>
        <v>0</v>
      </c>
      <c r="AP295" s="125">
        <f>AH295*Valores!$C$73</f>
        <v>-19760.661900000003</v>
      </c>
      <c r="AQ295" s="125">
        <f>Valores!$C$100</f>
        <v>-554.86</v>
      </c>
      <c r="AR295" s="125">
        <f>IF($F$5=0,Valores!$C$101,(Valores!$C$101+$F$5*(Valores!$C$101)))</f>
        <v>-852</v>
      </c>
      <c r="AS295" s="125">
        <f t="shared" si="47"/>
        <v>369982.0579000001</v>
      </c>
      <c r="AT295" s="125">
        <f t="shared" si="41"/>
        <v>-48303.840200000006</v>
      </c>
      <c r="AU295" s="125">
        <f>AH295*Valores!$C$74</f>
        <v>-11856.397140000001</v>
      </c>
      <c r="AV295" s="125">
        <f>AH295*Valores!$C$75</f>
        <v>-1317.3774600000002</v>
      </c>
      <c r="AW295" s="125">
        <f t="shared" si="45"/>
        <v>377975.80520000006</v>
      </c>
      <c r="AX295" s="126"/>
      <c r="AY295" s="126">
        <f t="shared" si="49"/>
        <v>35</v>
      </c>
      <c r="AZ295" s="123" t="s">
        <v>8</v>
      </c>
    </row>
    <row r="296" spans="1:52" s="110" customFormat="1" ht="11.25" customHeight="1">
      <c r="A296" s="123" t="s">
        <v>471</v>
      </c>
      <c r="B296" s="123">
        <v>35</v>
      </c>
      <c r="C296" s="126">
        <v>289</v>
      </c>
      <c r="D296" s="124" t="str">
        <f>CONCATENATE("Hora Cátedra Enseñanza Media ",B296," hs Esc Esp")</f>
        <v>Hora Cátedra Enseñanza Media 35 hs Esc Esp</v>
      </c>
      <c r="E296" s="192">
        <f t="shared" si="50"/>
        <v>2765</v>
      </c>
      <c r="F296" s="125">
        <f>ROUND(E296*Valores!$C$2,2)</f>
        <v>150554.25</v>
      </c>
      <c r="G296" s="192">
        <v>0</v>
      </c>
      <c r="H296" s="125">
        <f>ROUND(G296*Valores!$C$2,2)</f>
        <v>0</v>
      </c>
      <c r="I296" s="192">
        <v>0</v>
      </c>
      <c r="J296" s="125">
        <f>ROUND(I296*Valores!$C$2,2)</f>
        <v>0</v>
      </c>
      <c r="K296" s="192">
        <v>0</v>
      </c>
      <c r="L296" s="125">
        <f>ROUND(K296*Valores!$C$2,2)</f>
        <v>0</v>
      </c>
      <c r="M296" s="125">
        <f>ROUND(IF($H$2=0,IF(AND(A296&lt;&gt;"13-930",A296&lt;&gt;"13-940"),(SUM(F296,H296,J296,L296,X296,T296,R296)*Valores!$C$4),0),0),2)</f>
        <v>51170.19</v>
      </c>
      <c r="N296" s="125">
        <f t="shared" si="42"/>
        <v>0</v>
      </c>
      <c r="O296" s="125">
        <f>Valores!$C$7*B296</f>
        <v>64625.4</v>
      </c>
      <c r="P296" s="125">
        <f>ROUND(IF(B296&lt;15,(Valores!$E$5*B296),Valores!$D$5),2)</f>
        <v>27834.84</v>
      </c>
      <c r="Q296" s="125">
        <v>0</v>
      </c>
      <c r="R296" s="125">
        <f>IF($F$4="NO",IF(Valores!$C$49*B296&gt;Valores!$F$46,Valores!$F$46,Valores!$C$49*B296),IF(Valores!$C$49*B296&gt;Valores!$F$46,Valores!$F$46,Valores!$C$49*B296)/2)</f>
        <v>33800.96</v>
      </c>
      <c r="S296" s="125">
        <f>Valores!$C$18*B296</f>
        <v>20325.55</v>
      </c>
      <c r="T296" s="125">
        <f t="shared" si="48"/>
        <v>20325.55</v>
      </c>
      <c r="U296" s="125">
        <v>0</v>
      </c>
      <c r="V296" s="125">
        <v>0</v>
      </c>
      <c r="W296" s="192">
        <v>0</v>
      </c>
      <c r="X296" s="125">
        <f>ROUND(W296*Valores!$C$2,2)</f>
        <v>0</v>
      </c>
      <c r="Y296" s="125">
        <v>0</v>
      </c>
      <c r="Z296" s="125">
        <f>IF(Valores!$C$97*B296&gt;Valores!$C$96,Valores!$C$96,Valores!$C$97*B296)</f>
        <v>62050.1</v>
      </c>
      <c r="AA296" s="125">
        <f>IF((Valores!$C$28)*B296&gt;Valores!$F$28,Valores!$F$28,(Valores!$C$28)*B296)</f>
        <v>1596.6999999999998</v>
      </c>
      <c r="AB296" s="214">
        <v>0</v>
      </c>
      <c r="AC296" s="125">
        <f t="shared" si="43"/>
        <v>0</v>
      </c>
      <c r="AD296" s="125">
        <f>IF(Valores!$C$29*B296&gt;Valores!$F$29,Valores!$F$29,Valores!$C$29*B296)</f>
        <v>1138.39</v>
      </c>
      <c r="AE296" s="192">
        <v>94</v>
      </c>
      <c r="AF296" s="125">
        <f>ROUND(AE296*Valores!$C$2,2)</f>
        <v>5118.3</v>
      </c>
      <c r="AG296" s="125">
        <f>IF($F$4="NO",IF(Valores!$D$63*'Escala Docente'!B296&gt;Valores!$F$63,Valores!$F$63,Valores!$D$63*'Escala Docente'!B296),IF(Valores!$D$63*'Escala Docente'!B296&gt;Valores!$F$63,Valores!$F$63,Valores!$D$63*'Escala Docente'!B296)/2)</f>
        <v>26029.44</v>
      </c>
      <c r="AH296" s="125">
        <f t="shared" si="46"/>
        <v>444244.12000000005</v>
      </c>
      <c r="AI296" s="125">
        <f>IF(Valores!$C$32*B296&gt;Valores!$F$32,Valores!$F$32,Valores!$C$32*B296)</f>
        <v>0</v>
      </c>
      <c r="AJ296" s="125">
        <f>IF(Valores!$C$90*B296&gt;Valores!$C$89,Valores!$C$89,Valores!$C$90*B296)</f>
        <v>0</v>
      </c>
      <c r="AK296" s="125">
        <f>IF(Valores!C$39*B296&gt;Valores!F$38,Valores!F$38,Valores!C$39*B296)</f>
        <v>0</v>
      </c>
      <c r="AL296" s="125">
        <f>IF($F$3="NO",0,IF(Valores!$C$62*B296&gt;Valores!$F$62,Valores!$F$62,Valores!$C$62*B296))</f>
        <v>327.6</v>
      </c>
      <c r="AM296" s="125">
        <f t="shared" si="44"/>
        <v>327.6</v>
      </c>
      <c r="AN296" s="125">
        <f>AH296*Valores!$C$71</f>
        <v>-48866.853200000005</v>
      </c>
      <c r="AO296" s="125">
        <f>AH296*-Valores!$C$72</f>
        <v>0</v>
      </c>
      <c r="AP296" s="125">
        <f>AH296*Valores!$C$73</f>
        <v>-19990.9854</v>
      </c>
      <c r="AQ296" s="125">
        <f>Valores!$C$100</f>
        <v>-554.86</v>
      </c>
      <c r="AR296" s="125">
        <f>IF($F$5=0,Valores!$C$101,(Valores!$C$101+$F$5*(Valores!$C$101)))</f>
        <v>-852</v>
      </c>
      <c r="AS296" s="125">
        <f t="shared" si="47"/>
        <v>374307.0214</v>
      </c>
      <c r="AT296" s="125">
        <f t="shared" si="41"/>
        <v>-48866.853200000005</v>
      </c>
      <c r="AU296" s="125">
        <f>AH296*Valores!$C$74</f>
        <v>-11994.591240000002</v>
      </c>
      <c r="AV296" s="125">
        <f>AH296*Valores!$C$75</f>
        <v>-1332.7323600000002</v>
      </c>
      <c r="AW296" s="125">
        <f t="shared" si="45"/>
        <v>382377.5432</v>
      </c>
      <c r="AX296" s="126"/>
      <c r="AY296" s="126">
        <f t="shared" si="49"/>
        <v>35</v>
      </c>
      <c r="AZ296" s="123" t="s">
        <v>8</v>
      </c>
    </row>
    <row r="297" spans="1:52" s="110" customFormat="1" ht="11.25" customHeight="1">
      <c r="A297" s="123" t="s">
        <v>471</v>
      </c>
      <c r="B297" s="123">
        <v>36</v>
      </c>
      <c r="C297" s="126">
        <v>290</v>
      </c>
      <c r="D297" s="124" t="str">
        <f>CONCATENATE("Hora Cátedra Enseñanza Media ",B297," hs")</f>
        <v>Hora Cátedra Enseñanza Media 36 hs</v>
      </c>
      <c r="E297" s="192">
        <f t="shared" si="50"/>
        <v>2844</v>
      </c>
      <c r="F297" s="125">
        <f>ROUND(E297*Valores!$C$2,2)</f>
        <v>154855.8</v>
      </c>
      <c r="G297" s="192">
        <v>0</v>
      </c>
      <c r="H297" s="125">
        <f>ROUND(G297*Valores!$C$2,2)</f>
        <v>0</v>
      </c>
      <c r="I297" s="192">
        <v>0</v>
      </c>
      <c r="J297" s="125">
        <f>ROUND(I297*Valores!$C$2,2)</f>
        <v>0</v>
      </c>
      <c r="K297" s="192">
        <v>0</v>
      </c>
      <c r="L297" s="125">
        <f>ROUND(K297*Valores!$C$2,2)</f>
        <v>0</v>
      </c>
      <c r="M297" s="125">
        <f>ROUND(IF($H$2=0,IF(AND(A297&lt;&gt;"13-930",A297&lt;&gt;"13-940"),(SUM(F297,H297,J297,L297,X297,T297,R297)*Valores!$C$4),0),0),2)</f>
        <v>52390.76</v>
      </c>
      <c r="N297" s="125">
        <f t="shared" si="42"/>
        <v>0</v>
      </c>
      <c r="O297" s="125">
        <f>Valores!$C$7*B297</f>
        <v>66471.84</v>
      </c>
      <c r="P297" s="125">
        <f>ROUND(IF(B297&lt;15,(Valores!$E$5*B297),Valores!$D$5),2)</f>
        <v>27834.84</v>
      </c>
      <c r="Q297" s="125">
        <v>0</v>
      </c>
      <c r="R297" s="125">
        <f>IF($F$4="NO",IF(Valores!$C$49*B297&gt;Valores!$F$46,Valores!$F$46,Valores!$C$49*B297),IF(Valores!$C$49*B297&gt;Valores!$F$46,Valores!$F$46,Valores!$C$49*B297)/2)</f>
        <v>33800.96</v>
      </c>
      <c r="S297" s="125">
        <f>Valores!$C$18*B297</f>
        <v>20906.28</v>
      </c>
      <c r="T297" s="125">
        <f t="shared" si="48"/>
        <v>20906.28</v>
      </c>
      <c r="U297" s="125">
        <v>0</v>
      </c>
      <c r="V297" s="125">
        <v>0</v>
      </c>
      <c r="W297" s="192">
        <v>0</v>
      </c>
      <c r="X297" s="125">
        <f>ROUND(W297*Valores!$C$2,2)</f>
        <v>0</v>
      </c>
      <c r="Y297" s="125">
        <v>0</v>
      </c>
      <c r="Z297" s="125">
        <f>IF(Valores!$C$97*B297&gt;Valores!$C$96,Valores!$C$96,Valores!$C$97*B297)</f>
        <v>63822.96</v>
      </c>
      <c r="AA297" s="125">
        <f>IF((Valores!$C$28)*B297&gt;Valores!$F$28,Valores!$F$28,(Valores!$C$28)*B297)</f>
        <v>1642.32</v>
      </c>
      <c r="AB297" s="214">
        <v>0</v>
      </c>
      <c r="AC297" s="125">
        <f t="shared" si="43"/>
        <v>0</v>
      </c>
      <c r="AD297" s="125">
        <f>IF(Valores!$C$29*B297&gt;Valores!$F$29,Valores!$F$29,Valores!$C$29*B297)</f>
        <v>1138.39</v>
      </c>
      <c r="AE297" s="192">
        <v>0</v>
      </c>
      <c r="AF297" s="125">
        <f>ROUND(AE297*Valores!$C$2,2)</f>
        <v>0</v>
      </c>
      <c r="AG297" s="125">
        <f>IF($F$4="NO",IF(Valores!$D$63*'Escala Docente'!B297&gt;Valores!$F$63,Valores!$F$63,Valores!$D$63*'Escala Docente'!B297),IF(Valores!$D$63*'Escala Docente'!B297&gt;Valores!$F$63,Valores!$F$63,Valores!$D$63*'Escala Docente'!B297)/2)</f>
        <v>26029.44</v>
      </c>
      <c r="AH297" s="125">
        <f t="shared" si="46"/>
        <v>448893.59000000014</v>
      </c>
      <c r="AI297" s="125">
        <f>IF(Valores!$C$32*B297&gt;Valores!$F$32,Valores!$F$32,Valores!$C$32*B297)</f>
        <v>0</v>
      </c>
      <c r="AJ297" s="125">
        <f>IF(Valores!$C$90*B297&gt;Valores!$C$89,Valores!$C$89,Valores!$C$90*B297)</f>
        <v>0</v>
      </c>
      <c r="AK297" s="125">
        <f>IF(Valores!C$39*B297&gt;Valores!F$38,Valores!F$38,Valores!C$39*B297)</f>
        <v>0</v>
      </c>
      <c r="AL297" s="125">
        <f>IF($F$3="NO",0,IF(Valores!$C$62*B297&gt;Valores!$F$62,Valores!$F$62,Valores!$C$62*B297))</f>
        <v>327.6</v>
      </c>
      <c r="AM297" s="125">
        <f t="shared" si="44"/>
        <v>327.6</v>
      </c>
      <c r="AN297" s="125">
        <f>AH297*Valores!$C$71</f>
        <v>-49378.294900000015</v>
      </c>
      <c r="AO297" s="125">
        <f>AH297*-Valores!$C$72</f>
        <v>0</v>
      </c>
      <c r="AP297" s="125">
        <f>AH297*Valores!$C$73</f>
        <v>-20200.211550000007</v>
      </c>
      <c r="AQ297" s="125">
        <f>Valores!$C$100</f>
        <v>-554.86</v>
      </c>
      <c r="AR297" s="125">
        <f>IF($F$5=0,Valores!$C$101,(Valores!$C$101+$F$5*(Valores!$C$101)))</f>
        <v>-852</v>
      </c>
      <c r="AS297" s="125">
        <f t="shared" si="47"/>
        <v>378235.8235500001</v>
      </c>
      <c r="AT297" s="125">
        <f t="shared" si="41"/>
        <v>-49378.294900000015</v>
      </c>
      <c r="AU297" s="125">
        <f>AH297*Valores!$C$74</f>
        <v>-12120.126930000004</v>
      </c>
      <c r="AV297" s="125">
        <f>AH297*Valores!$C$75</f>
        <v>-1346.6807700000004</v>
      </c>
      <c r="AW297" s="125">
        <f t="shared" si="45"/>
        <v>386376.0874000001</v>
      </c>
      <c r="AX297" s="126"/>
      <c r="AY297" s="126">
        <f t="shared" si="49"/>
        <v>36</v>
      </c>
      <c r="AZ297" s="123" t="s">
        <v>8</v>
      </c>
    </row>
    <row r="298" spans="1:52" s="110" customFormat="1" ht="11.25" customHeight="1">
      <c r="A298" s="123" t="s">
        <v>471</v>
      </c>
      <c r="B298" s="123">
        <v>36</v>
      </c>
      <c r="C298" s="126">
        <v>291</v>
      </c>
      <c r="D298" s="124" t="str">
        <f>CONCATENATE("Hora Cátedra Enseñanza Media ",B298," hs Esc Esp")</f>
        <v>Hora Cátedra Enseñanza Media 36 hs Esc Esp</v>
      </c>
      <c r="E298" s="192">
        <f t="shared" si="50"/>
        <v>2844</v>
      </c>
      <c r="F298" s="125">
        <f>ROUND(E298*Valores!$C$2,2)</f>
        <v>154855.8</v>
      </c>
      <c r="G298" s="192">
        <v>0</v>
      </c>
      <c r="H298" s="125">
        <f>ROUND(G298*Valores!$C$2,2)</f>
        <v>0</v>
      </c>
      <c r="I298" s="192">
        <v>0</v>
      </c>
      <c r="J298" s="125">
        <f>ROUND(I298*Valores!$C$2,2)</f>
        <v>0</v>
      </c>
      <c r="K298" s="192">
        <v>0</v>
      </c>
      <c r="L298" s="125">
        <f>ROUND(K298*Valores!$C$2,2)</f>
        <v>0</v>
      </c>
      <c r="M298" s="125">
        <f>ROUND(IF($H$2=0,IF(AND(A298&lt;&gt;"13-930",A298&lt;&gt;"13-940"),(SUM(F298,H298,J298,L298,X298,T298,R298)*Valores!$C$4),0),0),2)</f>
        <v>52390.76</v>
      </c>
      <c r="N298" s="125">
        <f t="shared" si="42"/>
        <v>0</v>
      </c>
      <c r="O298" s="125">
        <f>Valores!$C$7*B298</f>
        <v>66471.84</v>
      </c>
      <c r="P298" s="125">
        <f>ROUND(IF(B298&lt;15,(Valores!$E$5*B298),Valores!$D$5),2)</f>
        <v>27834.84</v>
      </c>
      <c r="Q298" s="125">
        <v>0</v>
      </c>
      <c r="R298" s="125">
        <f>IF($F$4="NO",IF(Valores!$C$49*B298&gt;Valores!$F$46,Valores!$F$46,Valores!$C$49*B298),IF(Valores!$C$49*B298&gt;Valores!$F$46,Valores!$F$46,Valores!$C$49*B298)/2)</f>
        <v>33800.96</v>
      </c>
      <c r="S298" s="125">
        <f>Valores!$C$18*B298</f>
        <v>20906.28</v>
      </c>
      <c r="T298" s="125">
        <f t="shared" si="48"/>
        <v>20906.28</v>
      </c>
      <c r="U298" s="125">
        <v>0</v>
      </c>
      <c r="V298" s="125">
        <v>0</v>
      </c>
      <c r="W298" s="192">
        <v>0</v>
      </c>
      <c r="X298" s="125">
        <f>ROUND(W298*Valores!$C$2,2)</f>
        <v>0</v>
      </c>
      <c r="Y298" s="125">
        <v>0</v>
      </c>
      <c r="Z298" s="125">
        <f>IF(Valores!$C$97*B298&gt;Valores!$C$96,Valores!$C$96,Valores!$C$97*B298)</f>
        <v>63822.96</v>
      </c>
      <c r="AA298" s="125">
        <f>IF((Valores!$C$28)*B298&gt;Valores!$F$28,Valores!$F$28,(Valores!$C$28)*B298)</f>
        <v>1642.32</v>
      </c>
      <c r="AB298" s="214">
        <v>0</v>
      </c>
      <c r="AC298" s="125">
        <f t="shared" si="43"/>
        <v>0</v>
      </c>
      <c r="AD298" s="125">
        <f>IF(Valores!$C$29*B298&gt;Valores!$F$29,Valores!$F$29,Valores!$C$29*B298)</f>
        <v>1138.39</v>
      </c>
      <c r="AE298" s="192">
        <v>94</v>
      </c>
      <c r="AF298" s="125">
        <f>ROUND(AE298*Valores!$C$2,2)</f>
        <v>5118.3</v>
      </c>
      <c r="AG298" s="125">
        <f>IF($F$4="NO",IF(Valores!$D$63*'Escala Docente'!B298&gt;Valores!$F$63,Valores!$F$63,Valores!$D$63*'Escala Docente'!B298),IF(Valores!$D$63*'Escala Docente'!B298&gt;Valores!$F$63,Valores!$F$63,Valores!$D$63*'Escala Docente'!B298)/2)</f>
        <v>26029.44</v>
      </c>
      <c r="AH298" s="125">
        <f t="shared" si="46"/>
        <v>454011.89000000013</v>
      </c>
      <c r="AI298" s="125">
        <f>IF(Valores!$C$32*B298&gt;Valores!$F$32,Valores!$F$32,Valores!$C$32*B298)</f>
        <v>0</v>
      </c>
      <c r="AJ298" s="125">
        <f>IF(Valores!$C$90*B298&gt;Valores!$C$89,Valores!$C$89,Valores!$C$90*B298)</f>
        <v>0</v>
      </c>
      <c r="AK298" s="125">
        <f>IF(Valores!C$39*B298&gt;Valores!F$38,Valores!F$38,Valores!C$39*B298)</f>
        <v>0</v>
      </c>
      <c r="AL298" s="125">
        <f>IF($F$3="NO",0,IF(Valores!$C$62*B298&gt;Valores!$F$62,Valores!$F$62,Valores!$C$62*B298))</f>
        <v>327.6</v>
      </c>
      <c r="AM298" s="125">
        <f t="shared" si="44"/>
        <v>327.6</v>
      </c>
      <c r="AN298" s="125">
        <f>AH298*Valores!$C$71</f>
        <v>-49941.307900000014</v>
      </c>
      <c r="AO298" s="125">
        <f>AH298*-Valores!$C$72</f>
        <v>0</v>
      </c>
      <c r="AP298" s="125">
        <f>AH298*Valores!$C$73</f>
        <v>-20430.535050000006</v>
      </c>
      <c r="AQ298" s="125">
        <f>Valores!$C$100</f>
        <v>-554.86</v>
      </c>
      <c r="AR298" s="125">
        <f>IF($F$5=0,Valores!$C$101,(Valores!$C$101+$F$5*(Valores!$C$101)))</f>
        <v>-852</v>
      </c>
      <c r="AS298" s="125">
        <f t="shared" si="47"/>
        <v>382560.7870500001</v>
      </c>
      <c r="AT298" s="125">
        <f t="shared" si="41"/>
        <v>-49941.307900000014</v>
      </c>
      <c r="AU298" s="125">
        <f>AH298*Valores!$C$74</f>
        <v>-12258.321030000003</v>
      </c>
      <c r="AV298" s="125">
        <f>AH298*Valores!$C$75</f>
        <v>-1362.0356700000004</v>
      </c>
      <c r="AW298" s="125">
        <f t="shared" si="45"/>
        <v>390777.8254000001</v>
      </c>
      <c r="AX298" s="126"/>
      <c r="AY298" s="126">
        <f t="shared" si="49"/>
        <v>36</v>
      </c>
      <c r="AZ298" s="123" t="s">
        <v>8</v>
      </c>
    </row>
    <row r="299" spans="1:52" s="110" customFormat="1" ht="11.25" customHeight="1">
      <c r="A299" s="123" t="s">
        <v>472</v>
      </c>
      <c r="B299" s="123">
        <v>1</v>
      </c>
      <c r="C299" s="126">
        <v>292</v>
      </c>
      <c r="D299" s="124" t="s">
        <v>473</v>
      </c>
      <c r="E299" s="192">
        <v>79</v>
      </c>
      <c r="F299" s="125">
        <f>ROUND(E299*Valores!$C$2,2)</f>
        <v>4301.55</v>
      </c>
      <c r="G299" s="192">
        <v>0</v>
      </c>
      <c r="H299" s="125">
        <f>ROUND(G299*Valores!$C$2,2)</f>
        <v>0</v>
      </c>
      <c r="I299" s="192">
        <v>0</v>
      </c>
      <c r="J299" s="125">
        <f>ROUND(I299*Valores!$C$2,2)</f>
        <v>0</v>
      </c>
      <c r="K299" s="192">
        <v>0</v>
      </c>
      <c r="L299" s="125">
        <f>ROUND(K299*Valores!$C$2,2)</f>
        <v>0</v>
      </c>
      <c r="M299" s="125">
        <f>ROUND(IF($H$2=0,IF(AND(A299&lt;&gt;"13-930",A299&lt;&gt;"13-940"),(SUM(F299,H299,J299,L299,X299,T299,R299)*Valores!$C$4),0),0),2)</f>
        <v>1463.72</v>
      </c>
      <c r="N299" s="125">
        <f t="shared" si="42"/>
        <v>0</v>
      </c>
      <c r="O299" s="125">
        <f>Valores!$C$7*B299</f>
        <v>1846.44</v>
      </c>
      <c r="P299" s="125">
        <f>ROUND(IF(B299&lt;15,(Valores!$E$5*B299),Valores!$D$5),2)</f>
        <v>1855.66</v>
      </c>
      <c r="Q299" s="125">
        <v>0</v>
      </c>
      <c r="R299" s="125">
        <f>IF($F$4="NO",IF(Valores!$C$49*B299&gt;Valores!$F$46,Valores!$F$46,Valores!$C$49*B299),IF(Valores!$C$49*B299&gt;Valores!$F$46,Valores!$F$46,Valores!$C$49*B299)/2)</f>
        <v>972.6</v>
      </c>
      <c r="S299" s="125">
        <f>Valores!$C$18*B299</f>
        <v>580.73</v>
      </c>
      <c r="T299" s="125">
        <f t="shared" si="48"/>
        <v>580.73</v>
      </c>
      <c r="U299" s="125">
        <v>0</v>
      </c>
      <c r="V299" s="125">
        <v>0</v>
      </c>
      <c r="W299" s="192">
        <v>0</v>
      </c>
      <c r="X299" s="125">
        <f>ROUND(W299*Valores!$C$2,2)</f>
        <v>0</v>
      </c>
      <c r="Y299" s="125">
        <v>0</v>
      </c>
      <c r="Z299" s="125">
        <f>IF(Valores!$C$97*B299&gt;Valores!$C$96,Valores!$C$96,Valores!$C$97*B299)</f>
        <v>1772.86</v>
      </c>
      <c r="AA299" s="125">
        <f>IF((Valores!$C$28)*B299&gt;Valores!$F$28,Valores!$F$28,(Valores!$C$28)*B299)</f>
        <v>45.62</v>
      </c>
      <c r="AB299" s="214">
        <v>0</v>
      </c>
      <c r="AC299" s="125">
        <f t="shared" si="43"/>
        <v>0</v>
      </c>
      <c r="AD299" s="125">
        <f>IF(Valores!$C$29*B299&gt;Valores!$F$29,Valores!$F$29,Valores!$C$29*B299)</f>
        <v>37.99</v>
      </c>
      <c r="AE299" s="192">
        <v>0</v>
      </c>
      <c r="AF299" s="125">
        <f>ROUND(AE299*Valores!$C$2,2)</f>
        <v>0</v>
      </c>
      <c r="AG299" s="125">
        <f>IF($F$4="NO",IF(Valores!$D$63*'Escala Docente'!B299&gt;Valores!$F$63,Valores!$F$63,Valores!$D$63*'Escala Docente'!B299),IF(Valores!$D$63*'Escala Docente'!B299&gt;Valores!$F$63,Valores!$F$63,Valores!$D$63*'Escala Docente'!B299)/2)</f>
        <v>867.65</v>
      </c>
      <c r="AH299" s="125">
        <f t="shared" si="46"/>
        <v>13744.820000000002</v>
      </c>
      <c r="AI299" s="125">
        <f>IF(Valores!$C$32*B299&gt;Valores!$F$32,Valores!$F$32,Valores!$C$32*B299)</f>
        <v>0</v>
      </c>
      <c r="AJ299" s="125">
        <f>IF(Valores!$C$90*B299&gt;Valores!$C$89,Valores!$C$89,Valores!$C$90*B299)</f>
        <v>0</v>
      </c>
      <c r="AK299" s="125">
        <f>IF(Valores!C$39*B299&gt;Valores!F$38,Valores!F$38,Valores!C$39*B299)</f>
        <v>0</v>
      </c>
      <c r="AL299" s="125">
        <f>IF($F$3="NO",0,IF(Valores!$C$62*B299&gt;Valores!$F$62,Valores!$F$62,Valores!$C$62*B299))</f>
        <v>11.3559</v>
      </c>
      <c r="AM299" s="125">
        <f t="shared" si="44"/>
        <v>11.3559</v>
      </c>
      <c r="AN299" s="125">
        <f>AH299*Valores!$C$71</f>
        <v>-1511.9302000000002</v>
      </c>
      <c r="AO299" s="125">
        <f>AH299*-Valores!$C$72</f>
        <v>0</v>
      </c>
      <c r="AP299" s="125">
        <f>AH299*Valores!$C$73</f>
        <v>-618.5169000000001</v>
      </c>
      <c r="AQ299" s="125">
        <f>Valores!$C$100</f>
        <v>-554.86</v>
      </c>
      <c r="AR299" s="125">
        <f>IF($F$5=0,Valores!$C$101,(Valores!$C$101+$F$5*(Valores!$C$101)))</f>
        <v>-852</v>
      </c>
      <c r="AS299" s="125">
        <f t="shared" si="47"/>
        <v>10218.8688</v>
      </c>
      <c r="AT299" s="125">
        <f t="shared" si="41"/>
        <v>-1511.9302000000002</v>
      </c>
      <c r="AU299" s="125">
        <f>AH299*Valores!$C$74</f>
        <v>-371.11014000000006</v>
      </c>
      <c r="AV299" s="125">
        <f>AH299*Valores!$C$75</f>
        <v>-41.234460000000006</v>
      </c>
      <c r="AW299" s="125">
        <f t="shared" si="45"/>
        <v>11831.901100000003</v>
      </c>
      <c r="AX299" s="126"/>
      <c r="AY299" s="126">
        <f t="shared" si="49"/>
        <v>1</v>
      </c>
      <c r="AZ299" s="123" t="s">
        <v>4</v>
      </c>
    </row>
    <row r="300" spans="1:52" s="110" customFormat="1" ht="11.25" customHeight="1">
      <c r="A300" s="123" t="s">
        <v>474</v>
      </c>
      <c r="B300" s="123">
        <v>2</v>
      </c>
      <c r="C300" s="126">
        <v>293</v>
      </c>
      <c r="D300" s="124" t="s">
        <v>475</v>
      </c>
      <c r="E300" s="194">
        <v>243</v>
      </c>
      <c r="F300" s="125">
        <f>ROUND(E300*Valores!$C$2,2)</f>
        <v>13231.35</v>
      </c>
      <c r="G300" s="192">
        <v>0</v>
      </c>
      <c r="H300" s="125">
        <f>ROUND(G300*Valores!$C$2,2)</f>
        <v>0</v>
      </c>
      <c r="I300" s="192">
        <v>0</v>
      </c>
      <c r="J300" s="125">
        <f>ROUND(I300*Valores!$C$2,2)</f>
        <v>0</v>
      </c>
      <c r="K300" s="192">
        <v>0</v>
      </c>
      <c r="L300" s="125">
        <f>ROUND(K300*Valores!$C$2,2)</f>
        <v>0</v>
      </c>
      <c r="M300" s="125">
        <f>ROUND(IF($H$2=0,IF(AND(A300&lt;&gt;"13-930",A300&lt;&gt;"13-940"),(SUM(F300,H300,J300,L300,X300,T300,R300)*Valores!$C$4),0),0),2)</f>
        <v>0</v>
      </c>
      <c r="N300" s="125">
        <f t="shared" si="42"/>
        <v>0</v>
      </c>
      <c r="O300" s="125">
        <v>0</v>
      </c>
      <c r="P300" s="125">
        <f>ROUND(IF(B300&lt;15,(Valores!$E$5*B300),Valores!$D$5),2)</f>
        <v>3711.32</v>
      </c>
      <c r="Q300" s="125">
        <v>0</v>
      </c>
      <c r="R300" s="125">
        <f>IF($F$4="NO",Valores!C50,Valores!C50/2)</f>
        <v>1446.04</v>
      </c>
      <c r="S300" s="125">
        <v>0</v>
      </c>
      <c r="T300" s="125">
        <f aca="true" t="shared" si="51" ref="T300:T326">INT((S300*(1+$H$2)*C300/30*100)+0.5)/100</f>
        <v>0</v>
      </c>
      <c r="U300" s="125">
        <v>0</v>
      </c>
      <c r="V300" s="125">
        <v>0</v>
      </c>
      <c r="W300" s="192">
        <v>0</v>
      </c>
      <c r="X300" s="125">
        <f>ROUND(W300*Valores!$C$2,2)</f>
        <v>0</v>
      </c>
      <c r="Y300" s="125">
        <v>0</v>
      </c>
      <c r="Z300" s="125">
        <f>Valores!$C$98</f>
        <v>3811.38</v>
      </c>
      <c r="AA300" s="125">
        <v>0</v>
      </c>
      <c r="AB300" s="214">
        <v>0</v>
      </c>
      <c r="AC300" s="125">
        <f t="shared" si="43"/>
        <v>0</v>
      </c>
      <c r="AD300" s="125">
        <v>0</v>
      </c>
      <c r="AE300" s="192">
        <v>0</v>
      </c>
      <c r="AF300" s="125">
        <f>ROUND(AE300*Valores!$C$2,2)</f>
        <v>0</v>
      </c>
      <c r="AG300" s="125">
        <f>IF($F$4="NO",Valores!$C$64,Valores!$C$64/2)</f>
        <v>1310.4</v>
      </c>
      <c r="AH300" s="125">
        <f t="shared" si="46"/>
        <v>23510.490000000005</v>
      </c>
      <c r="AI300" s="125">
        <f>Valores!$C$33</f>
        <v>0</v>
      </c>
      <c r="AJ300" s="125">
        <f>Valores!$C$91</f>
        <v>0</v>
      </c>
      <c r="AK300" s="125">
        <f>AK299*2</f>
        <v>0</v>
      </c>
      <c r="AL300" s="125">
        <v>0</v>
      </c>
      <c r="AM300" s="125">
        <f t="shared" si="44"/>
        <v>0</v>
      </c>
      <c r="AN300" s="125">
        <f>AH300*Valores!$C$71</f>
        <v>-2586.1539000000007</v>
      </c>
      <c r="AO300" s="125">
        <f>AH300*-Valores!$C$72</f>
        <v>0</v>
      </c>
      <c r="AP300" s="125">
        <f>AH300*Valores!$C$73</f>
        <v>-1057.9720500000003</v>
      </c>
      <c r="AQ300" s="125">
        <f>Valores!$C$100</f>
        <v>-554.86</v>
      </c>
      <c r="AR300" s="125">
        <f>IF($F$5=0,Valores!$C$101,(Valores!$C$101+$F$5*(Valores!$C$101)))</f>
        <v>-852</v>
      </c>
      <c r="AS300" s="125">
        <f t="shared" si="47"/>
        <v>18459.504050000003</v>
      </c>
      <c r="AT300" s="125">
        <f t="shared" si="41"/>
        <v>-2586.1539000000007</v>
      </c>
      <c r="AU300" s="125">
        <f>AH300*Valores!$C$74</f>
        <v>-634.7832300000001</v>
      </c>
      <c r="AV300" s="125">
        <f>AH300*Valores!$C$75</f>
        <v>-70.53147000000001</v>
      </c>
      <c r="AW300" s="125">
        <f t="shared" si="45"/>
        <v>20219.021400000005</v>
      </c>
      <c r="AX300" s="126"/>
      <c r="AY300" s="126">
        <v>8</v>
      </c>
      <c r="AZ300" s="123" t="s">
        <v>4</v>
      </c>
    </row>
    <row r="301" spans="1:52" s="110" customFormat="1" ht="11.25" customHeight="1">
      <c r="A301" s="123" t="s">
        <v>650</v>
      </c>
      <c r="B301" s="123">
        <v>1</v>
      </c>
      <c r="C301" s="126">
        <v>294</v>
      </c>
      <c r="D301" s="124" t="s">
        <v>651</v>
      </c>
      <c r="E301" s="194">
        <f>E300/2</f>
        <v>121.5</v>
      </c>
      <c r="F301" s="125">
        <f>ROUND(E301*Valores!$C$2,2)</f>
        <v>6615.68</v>
      </c>
      <c r="G301" s="192">
        <v>0</v>
      </c>
      <c r="H301" s="125">
        <f>ROUND(G301*Valores!$C$2,2)</f>
        <v>0</v>
      </c>
      <c r="I301" s="192">
        <v>0</v>
      </c>
      <c r="J301" s="125">
        <f>ROUND(I301*Valores!$C$2,2)</f>
        <v>0</v>
      </c>
      <c r="K301" s="192">
        <v>0</v>
      </c>
      <c r="L301" s="125">
        <f>ROUND(K301*Valores!$C$2,2)</f>
        <v>0</v>
      </c>
      <c r="M301" s="125">
        <f>ROUND(IF($H$2=0,IF(AND(A301&lt;&gt;"13-930",A301&lt;&gt;"13-940"),(SUM(F301,H301,J301,L301,X301,T301,R301)*Valores!$C$4),0),0),2)</f>
        <v>0</v>
      </c>
      <c r="N301" s="125">
        <f t="shared" si="42"/>
        <v>0</v>
      </c>
      <c r="O301" s="125">
        <v>0</v>
      </c>
      <c r="P301" s="125">
        <f>ROUND(IF(B301&lt;15,(Valores!$E$5*B301),Valores!$D$5),2)</f>
        <v>1855.66</v>
      </c>
      <c r="Q301" s="125">
        <v>0</v>
      </c>
      <c r="R301" s="125">
        <f>IF($F$4="NO",Valores!C51,Valores!C51/2)</f>
        <v>723.02</v>
      </c>
      <c r="S301" s="125">
        <v>0</v>
      </c>
      <c r="T301" s="125">
        <f t="shared" si="51"/>
        <v>0</v>
      </c>
      <c r="U301" s="125">
        <v>0</v>
      </c>
      <c r="V301" s="125">
        <v>0</v>
      </c>
      <c r="W301" s="192">
        <v>0</v>
      </c>
      <c r="X301" s="125">
        <f>ROUND(W301*Valores!$C$2,2)</f>
        <v>0</v>
      </c>
      <c r="Y301" s="125">
        <v>0</v>
      </c>
      <c r="Z301" s="125">
        <f>Valores!$C$99</f>
        <v>1905.69</v>
      </c>
      <c r="AA301" s="125">
        <v>0</v>
      </c>
      <c r="AB301" s="214">
        <v>0</v>
      </c>
      <c r="AC301" s="125">
        <f t="shared" si="43"/>
        <v>0</v>
      </c>
      <c r="AD301" s="125">
        <v>0</v>
      </c>
      <c r="AE301" s="192">
        <v>0</v>
      </c>
      <c r="AF301" s="125">
        <f>ROUND(AE301*Valores!$C$2,2)</f>
        <v>0</v>
      </c>
      <c r="AG301" s="125">
        <f>IF($F$4="NO",Valores!$C$65,Valores!$C$65/2)</f>
        <v>655.2</v>
      </c>
      <c r="AH301" s="125">
        <f t="shared" si="46"/>
        <v>11755.250000000002</v>
      </c>
      <c r="AI301" s="125">
        <f>Valores!C34</f>
        <v>0</v>
      </c>
      <c r="AJ301" s="125">
        <f>Valores!$C$92</f>
        <v>0</v>
      </c>
      <c r="AK301" s="125">
        <f>AK300/2</f>
        <v>0</v>
      </c>
      <c r="AL301" s="125">
        <v>0</v>
      </c>
      <c r="AM301" s="125">
        <f t="shared" si="44"/>
        <v>0</v>
      </c>
      <c r="AN301" s="125">
        <f>AH301*Valores!$C$71</f>
        <v>-1293.0775</v>
      </c>
      <c r="AO301" s="125">
        <v>0</v>
      </c>
      <c r="AP301" s="125">
        <f>AH301*Valores!$C$73</f>
        <v>-528.98625</v>
      </c>
      <c r="AQ301" s="125">
        <f>Valores!$C$100</f>
        <v>-554.86</v>
      </c>
      <c r="AR301" s="125">
        <f>IF($F$5=0,Valores!$C$101,(Valores!$C$101+$F$5*(Valores!$C$101)))</f>
        <v>-852</v>
      </c>
      <c r="AS301" s="125">
        <f t="shared" si="47"/>
        <v>8526.326250000002</v>
      </c>
      <c r="AT301" s="125">
        <f>AN301</f>
        <v>-1293.0775</v>
      </c>
      <c r="AU301" s="125">
        <f>AH301*Valores!$C$74</f>
        <v>-317.39175000000006</v>
      </c>
      <c r="AV301" s="125">
        <f>AH301*Valores!$C$75</f>
        <v>-35.265750000000004</v>
      </c>
      <c r="AW301" s="125">
        <f t="shared" si="45"/>
        <v>10109.515000000001</v>
      </c>
      <c r="AX301" s="126"/>
      <c r="AY301" s="126">
        <v>4</v>
      </c>
      <c r="AZ301" s="123" t="s">
        <v>4</v>
      </c>
    </row>
    <row r="302" spans="1:1020" s="142" customFormat="1" ht="11.25" customHeight="1">
      <c r="A302" s="140"/>
      <c r="B302" s="141">
        <v>1</v>
      </c>
      <c r="C302" s="126">
        <v>295</v>
      </c>
      <c r="D302" s="127" t="s">
        <v>476</v>
      </c>
      <c r="E302" s="194">
        <v>700</v>
      </c>
      <c r="F302" s="125">
        <f>ROUND(E302*Valores!$C$2,2)</f>
        <v>38115</v>
      </c>
      <c r="G302" s="192">
        <v>0</v>
      </c>
      <c r="H302" s="125">
        <f>ROUND(G302*Valores!$C$2,2)</f>
        <v>0</v>
      </c>
      <c r="I302" s="192">
        <v>0</v>
      </c>
      <c r="J302" s="125">
        <f>ROUND(I302*Valores!$C$2,2)</f>
        <v>0</v>
      </c>
      <c r="K302" s="192">
        <v>0</v>
      </c>
      <c r="L302" s="125">
        <f>ROUND(K302*Valores!$C$2,2)</f>
        <v>0</v>
      </c>
      <c r="M302" s="125">
        <f>ROUND(IF($H$2=0,IF(AND(A302&lt;&gt;"13-930",A302&lt;&gt;"13-940"),(SUM(F302,H302,J302,L302,X302,T302,R302)*Valores!$C$4),0),0),2)</f>
        <v>13176</v>
      </c>
      <c r="N302" s="125">
        <f t="shared" si="42"/>
        <v>0</v>
      </c>
      <c r="O302" s="125">
        <v>0</v>
      </c>
      <c r="P302" s="125">
        <v>0</v>
      </c>
      <c r="Q302" s="125">
        <v>0</v>
      </c>
      <c r="R302" s="125">
        <f>IF($F$4="NO",Valores!$C$49*15,Valores!$C$49*15/2)</f>
        <v>14589</v>
      </c>
      <c r="S302" s="125">
        <v>0</v>
      </c>
      <c r="T302" s="125">
        <f t="shared" si="51"/>
        <v>0</v>
      </c>
      <c r="U302" s="125">
        <v>0</v>
      </c>
      <c r="V302" s="125">
        <v>0</v>
      </c>
      <c r="W302" s="192">
        <v>0</v>
      </c>
      <c r="X302" s="125">
        <f>ROUND(W302*Valores!$C$2,2)</f>
        <v>0</v>
      </c>
      <c r="Y302" s="125">
        <v>0</v>
      </c>
      <c r="Z302" s="125">
        <v>0</v>
      </c>
      <c r="AA302" s="125">
        <v>0</v>
      </c>
      <c r="AB302" s="214">
        <v>0</v>
      </c>
      <c r="AC302" s="125">
        <f t="shared" si="43"/>
        <v>0</v>
      </c>
      <c r="AD302" s="125">
        <v>0</v>
      </c>
      <c r="AE302" s="192">
        <v>0</v>
      </c>
      <c r="AF302" s="125">
        <f>ROUND(AE302*Valores!$C$2,2)</f>
        <v>0</v>
      </c>
      <c r="AG302" s="125">
        <v>0</v>
      </c>
      <c r="AH302" s="125">
        <f t="shared" si="46"/>
        <v>65880</v>
      </c>
      <c r="AI302" s="125">
        <v>0</v>
      </c>
      <c r="AJ302" s="125">
        <v>0</v>
      </c>
      <c r="AK302" s="125">
        <v>0</v>
      </c>
      <c r="AL302" s="125">
        <v>0</v>
      </c>
      <c r="AM302" s="125">
        <f t="shared" si="44"/>
        <v>0</v>
      </c>
      <c r="AN302" s="125">
        <f>AH302*Valores!$C$71</f>
        <v>-7246.8</v>
      </c>
      <c r="AO302" s="125">
        <f>AH302*-Valores!$C$72</f>
        <v>0</v>
      </c>
      <c r="AP302" s="125">
        <f>AH302*Valores!$C$73</f>
        <v>-2964.6</v>
      </c>
      <c r="AQ302" s="125">
        <v>0</v>
      </c>
      <c r="AR302" s="125">
        <v>0</v>
      </c>
      <c r="AS302" s="125">
        <f t="shared" si="47"/>
        <v>55668.6</v>
      </c>
      <c r="AT302" s="125">
        <f t="shared" si="41"/>
        <v>-7246.8</v>
      </c>
      <c r="AU302" s="125">
        <f>AH302*Valores!$C$74</f>
        <v>-1778.76</v>
      </c>
      <c r="AV302" s="125">
        <f>AH302*Valores!$C$75</f>
        <v>-197.64000000000001</v>
      </c>
      <c r="AW302" s="125">
        <f t="shared" si="45"/>
        <v>56656.8</v>
      </c>
      <c r="AX302" s="126"/>
      <c r="AY302" s="126"/>
      <c r="AZ302" s="123" t="s">
        <v>4</v>
      </c>
      <c r="BA302" s="110"/>
      <c r="BB302" s="110"/>
      <c r="BC302" s="110"/>
      <c r="BD302" s="110"/>
      <c r="BE302" s="110"/>
      <c r="BF302" s="110"/>
      <c r="BG302" s="110"/>
      <c r="BH302" s="110"/>
      <c r="BI302" s="110"/>
      <c r="BJ302" s="110"/>
      <c r="BK302" s="110"/>
      <c r="BL302" s="110"/>
      <c r="BM302" s="110"/>
      <c r="BN302" s="110"/>
      <c r="BO302" s="110"/>
      <c r="BP302" s="110"/>
      <c r="BQ302" s="110"/>
      <c r="BR302" s="110"/>
      <c r="BS302" s="110"/>
      <c r="BT302" s="110"/>
      <c r="BU302" s="110"/>
      <c r="BV302" s="110"/>
      <c r="BW302" s="110"/>
      <c r="BX302" s="110"/>
      <c r="BY302" s="110"/>
      <c r="BZ302" s="110"/>
      <c r="CA302" s="110"/>
      <c r="CB302" s="110"/>
      <c r="CC302" s="110"/>
      <c r="CD302" s="110"/>
      <c r="CE302" s="110"/>
      <c r="CF302" s="110"/>
      <c r="CG302" s="110"/>
      <c r="CH302" s="110"/>
      <c r="CI302" s="110"/>
      <c r="CJ302" s="110"/>
      <c r="CK302" s="110"/>
      <c r="CL302" s="110"/>
      <c r="CM302" s="110"/>
      <c r="CN302" s="110"/>
      <c r="CO302" s="110"/>
      <c r="CP302" s="110"/>
      <c r="CQ302" s="110"/>
      <c r="CR302" s="110"/>
      <c r="CS302" s="110"/>
      <c r="CT302" s="110"/>
      <c r="CU302" s="110"/>
      <c r="CV302" s="110"/>
      <c r="CW302" s="110"/>
      <c r="CX302" s="110"/>
      <c r="CY302" s="110"/>
      <c r="CZ302" s="110"/>
      <c r="DA302" s="110"/>
      <c r="DB302" s="110"/>
      <c r="DC302" s="110"/>
      <c r="DD302" s="110"/>
      <c r="DE302" s="110"/>
      <c r="DF302" s="110"/>
      <c r="DG302" s="110"/>
      <c r="DH302" s="110"/>
      <c r="DI302" s="110"/>
      <c r="DJ302" s="110"/>
      <c r="DK302" s="110"/>
      <c r="DL302" s="110"/>
      <c r="DM302" s="110"/>
      <c r="DN302" s="110"/>
      <c r="DO302" s="110"/>
      <c r="DP302" s="110"/>
      <c r="DQ302" s="110"/>
      <c r="DR302" s="110"/>
      <c r="DS302" s="110"/>
      <c r="DT302" s="110"/>
      <c r="DU302" s="110"/>
      <c r="DV302" s="110"/>
      <c r="DW302" s="110"/>
      <c r="DX302" s="110"/>
      <c r="DY302" s="110"/>
      <c r="DZ302" s="110"/>
      <c r="EA302" s="110"/>
      <c r="EB302" s="110"/>
      <c r="EC302" s="110"/>
      <c r="ED302" s="110"/>
      <c r="EE302" s="110"/>
      <c r="EF302" s="110"/>
      <c r="EG302" s="110"/>
      <c r="EH302" s="110"/>
      <c r="EI302" s="110"/>
      <c r="EJ302" s="110"/>
      <c r="EK302" s="110"/>
      <c r="EL302" s="110"/>
      <c r="EM302" s="110"/>
      <c r="EN302" s="110"/>
      <c r="EO302" s="110"/>
      <c r="EP302" s="110"/>
      <c r="EQ302" s="110"/>
      <c r="ER302" s="110"/>
      <c r="ES302" s="110"/>
      <c r="ET302" s="110"/>
      <c r="EU302" s="110"/>
      <c r="EV302" s="110"/>
      <c r="EW302" s="110"/>
      <c r="EX302" s="110"/>
      <c r="EY302" s="110"/>
      <c r="EZ302" s="110"/>
      <c r="FA302" s="110"/>
      <c r="FB302" s="110"/>
      <c r="FC302" s="110"/>
      <c r="FD302" s="110"/>
      <c r="FE302" s="110"/>
      <c r="FF302" s="110"/>
      <c r="FG302" s="110"/>
      <c r="FH302" s="110"/>
      <c r="FI302" s="110"/>
      <c r="FJ302" s="110"/>
      <c r="FK302" s="110"/>
      <c r="FL302" s="110"/>
      <c r="FM302" s="110"/>
      <c r="FN302" s="110"/>
      <c r="FO302" s="110"/>
      <c r="FP302" s="110"/>
      <c r="FQ302" s="110"/>
      <c r="FR302" s="110"/>
      <c r="FS302" s="110"/>
      <c r="FT302" s="110"/>
      <c r="FU302" s="110"/>
      <c r="FV302" s="110"/>
      <c r="FW302" s="110"/>
      <c r="FX302" s="110"/>
      <c r="FY302" s="110"/>
      <c r="FZ302" s="110"/>
      <c r="GA302" s="110"/>
      <c r="GB302" s="110"/>
      <c r="GC302" s="110"/>
      <c r="GD302" s="110"/>
      <c r="GE302" s="110"/>
      <c r="GF302" s="110"/>
      <c r="GG302" s="110"/>
      <c r="GH302" s="110"/>
      <c r="GI302" s="110"/>
      <c r="GJ302" s="110"/>
      <c r="GK302" s="110"/>
      <c r="GL302" s="110"/>
      <c r="GM302" s="110"/>
      <c r="GN302" s="110"/>
      <c r="GO302" s="110"/>
      <c r="GP302" s="110"/>
      <c r="GQ302" s="110"/>
      <c r="GR302" s="110"/>
      <c r="GS302" s="110"/>
      <c r="GT302" s="110"/>
      <c r="GU302" s="110"/>
      <c r="GV302" s="110"/>
      <c r="GW302" s="110"/>
      <c r="GX302" s="110"/>
      <c r="GY302" s="110"/>
      <c r="GZ302" s="110"/>
      <c r="HA302" s="110"/>
      <c r="HB302" s="110"/>
      <c r="HC302" s="110"/>
      <c r="HD302" s="110"/>
      <c r="HE302" s="110"/>
      <c r="HF302" s="110"/>
      <c r="HG302" s="110"/>
      <c r="HH302" s="110"/>
      <c r="HI302" s="110"/>
      <c r="HJ302" s="110"/>
      <c r="HK302" s="110"/>
      <c r="HL302" s="110"/>
      <c r="HM302" s="110"/>
      <c r="HN302" s="110"/>
      <c r="HO302" s="110"/>
      <c r="HP302" s="110"/>
      <c r="HQ302" s="110"/>
      <c r="HR302" s="110"/>
      <c r="HS302" s="110"/>
      <c r="HT302" s="110"/>
      <c r="HU302" s="110"/>
      <c r="HV302" s="110"/>
      <c r="HW302" s="110"/>
      <c r="HX302" s="110"/>
      <c r="HY302" s="110"/>
      <c r="HZ302" s="110"/>
      <c r="IA302" s="110"/>
      <c r="IB302" s="110"/>
      <c r="IC302" s="110"/>
      <c r="ID302" s="110"/>
      <c r="IE302" s="110"/>
      <c r="IF302" s="110"/>
      <c r="IG302" s="110"/>
      <c r="IH302" s="110"/>
      <c r="II302" s="110"/>
      <c r="IJ302" s="110"/>
      <c r="IK302" s="110"/>
      <c r="IL302" s="110"/>
      <c r="IM302" s="110"/>
      <c r="IN302" s="110"/>
      <c r="IO302" s="110"/>
      <c r="IP302" s="110"/>
      <c r="IQ302" s="110"/>
      <c r="IR302" s="110"/>
      <c r="IS302" s="110"/>
      <c r="IT302" s="110"/>
      <c r="IU302" s="110"/>
      <c r="IV302" s="110"/>
      <c r="IW302" s="110"/>
      <c r="IX302" s="110"/>
      <c r="IY302" s="110"/>
      <c r="IZ302" s="110"/>
      <c r="JA302" s="110"/>
      <c r="JB302" s="110"/>
      <c r="JC302" s="110"/>
      <c r="JD302" s="110"/>
      <c r="JE302" s="110"/>
      <c r="JF302" s="110"/>
      <c r="JG302" s="110"/>
      <c r="JH302" s="110"/>
      <c r="JI302" s="110"/>
      <c r="JJ302" s="110"/>
      <c r="JK302" s="110"/>
      <c r="JL302" s="110"/>
      <c r="JM302" s="110"/>
      <c r="JN302" s="110"/>
      <c r="JO302" s="110"/>
      <c r="JP302" s="110"/>
      <c r="JQ302" s="110"/>
      <c r="JR302" s="110"/>
      <c r="JS302" s="110"/>
      <c r="JT302" s="110"/>
      <c r="JU302" s="110"/>
      <c r="JV302" s="110"/>
      <c r="JW302" s="110"/>
      <c r="JX302" s="110"/>
      <c r="JY302" s="110"/>
      <c r="JZ302" s="110"/>
      <c r="KA302" s="110"/>
      <c r="KB302" s="110"/>
      <c r="KC302" s="110"/>
      <c r="KD302" s="110"/>
      <c r="KE302" s="110"/>
      <c r="KF302" s="110"/>
      <c r="KG302" s="110"/>
      <c r="KH302" s="110"/>
      <c r="KI302" s="110"/>
      <c r="KJ302" s="110"/>
      <c r="KK302" s="110"/>
      <c r="KL302" s="110"/>
      <c r="KM302" s="110"/>
      <c r="KN302" s="110"/>
      <c r="KO302" s="110"/>
      <c r="KP302" s="110"/>
      <c r="KQ302" s="110"/>
      <c r="KR302" s="110"/>
      <c r="KS302" s="110"/>
      <c r="KT302" s="110"/>
      <c r="KU302" s="110"/>
      <c r="KV302" s="110"/>
      <c r="KW302" s="110"/>
      <c r="KX302" s="110"/>
      <c r="KY302" s="110"/>
      <c r="KZ302" s="110"/>
      <c r="LA302" s="110"/>
      <c r="LB302" s="110"/>
      <c r="LC302" s="110"/>
      <c r="LD302" s="110"/>
      <c r="LE302" s="110"/>
      <c r="LF302" s="110"/>
      <c r="LG302" s="110"/>
      <c r="LH302" s="110"/>
      <c r="LI302" s="110"/>
      <c r="LJ302" s="110"/>
      <c r="LK302" s="110"/>
      <c r="LL302" s="110"/>
      <c r="LM302" s="110"/>
      <c r="LN302" s="110"/>
      <c r="LO302" s="110"/>
      <c r="LP302" s="110"/>
      <c r="LQ302" s="110"/>
      <c r="LR302" s="110"/>
      <c r="LS302" s="110"/>
      <c r="LT302" s="110"/>
      <c r="LU302" s="110"/>
      <c r="LV302" s="110"/>
      <c r="LW302" s="110"/>
      <c r="LX302" s="110"/>
      <c r="LY302" s="110"/>
      <c r="LZ302" s="110"/>
      <c r="MA302" s="110"/>
      <c r="MB302" s="110"/>
      <c r="MC302" s="110"/>
      <c r="MD302" s="110"/>
      <c r="ME302" s="110"/>
      <c r="MF302" s="110"/>
      <c r="MG302" s="110"/>
      <c r="MH302" s="110"/>
      <c r="MI302" s="110"/>
      <c r="MJ302" s="110"/>
      <c r="MK302" s="110"/>
      <c r="ML302" s="110"/>
      <c r="MM302" s="110"/>
      <c r="MN302" s="110"/>
      <c r="MO302" s="110"/>
      <c r="MP302" s="110"/>
      <c r="MQ302" s="110"/>
      <c r="MR302" s="110"/>
      <c r="MS302" s="110"/>
      <c r="MT302" s="110"/>
      <c r="MU302" s="110"/>
      <c r="MV302" s="110"/>
      <c r="MW302" s="110"/>
      <c r="MX302" s="110"/>
      <c r="MY302" s="110"/>
      <c r="MZ302" s="110"/>
      <c r="NA302" s="110"/>
      <c r="NB302" s="110"/>
      <c r="NC302" s="110"/>
      <c r="ND302" s="110"/>
      <c r="NE302" s="110"/>
      <c r="NF302" s="110"/>
      <c r="NG302" s="110"/>
      <c r="NH302" s="110"/>
      <c r="NI302" s="110"/>
      <c r="NJ302" s="110"/>
      <c r="NK302" s="110"/>
      <c r="NL302" s="110"/>
      <c r="NM302" s="110"/>
      <c r="NN302" s="110"/>
      <c r="NO302" s="110"/>
      <c r="NP302" s="110"/>
      <c r="NQ302" s="110"/>
      <c r="NR302" s="110"/>
      <c r="NS302" s="110"/>
      <c r="NT302" s="110"/>
      <c r="NU302" s="110"/>
      <c r="NV302" s="110"/>
      <c r="NW302" s="110"/>
      <c r="NX302" s="110"/>
      <c r="NY302" s="110"/>
      <c r="NZ302" s="110"/>
      <c r="OA302" s="110"/>
      <c r="OB302" s="110"/>
      <c r="OC302" s="110"/>
      <c r="OD302" s="110"/>
      <c r="OE302" s="110"/>
      <c r="OF302" s="110"/>
      <c r="OG302" s="110"/>
      <c r="OH302" s="110"/>
      <c r="OI302" s="110"/>
      <c r="OJ302" s="110"/>
      <c r="OK302" s="110"/>
      <c r="OL302" s="110"/>
      <c r="OM302" s="110"/>
      <c r="ON302" s="110"/>
      <c r="OO302" s="110"/>
      <c r="OP302" s="110"/>
      <c r="OQ302" s="110"/>
      <c r="OR302" s="110"/>
      <c r="OS302" s="110"/>
      <c r="OT302" s="110"/>
      <c r="OU302" s="110"/>
      <c r="OV302" s="110"/>
      <c r="OW302" s="110"/>
      <c r="OX302" s="110"/>
      <c r="OY302" s="110"/>
      <c r="OZ302" s="110"/>
      <c r="PA302" s="110"/>
      <c r="PB302" s="110"/>
      <c r="PC302" s="110"/>
      <c r="PD302" s="110"/>
      <c r="PE302" s="110"/>
      <c r="PF302" s="110"/>
      <c r="PG302" s="110"/>
      <c r="PH302" s="110"/>
      <c r="PI302" s="110"/>
      <c r="PJ302" s="110"/>
      <c r="PK302" s="110"/>
      <c r="PL302" s="110"/>
      <c r="PM302" s="110"/>
      <c r="PN302" s="110"/>
      <c r="PO302" s="110"/>
      <c r="PP302" s="110"/>
      <c r="PQ302" s="110"/>
      <c r="PR302" s="110"/>
      <c r="PS302" s="110"/>
      <c r="PT302" s="110"/>
      <c r="PU302" s="110"/>
      <c r="PV302" s="110"/>
      <c r="PW302" s="110"/>
      <c r="PX302" s="110"/>
      <c r="PY302" s="110"/>
      <c r="PZ302" s="110"/>
      <c r="QA302" s="110"/>
      <c r="QB302" s="110"/>
      <c r="QC302" s="110"/>
      <c r="QD302" s="110"/>
      <c r="QE302" s="110"/>
      <c r="QF302" s="110"/>
      <c r="QG302" s="110"/>
      <c r="QH302" s="110"/>
      <c r="QI302" s="110"/>
      <c r="QJ302" s="110"/>
      <c r="QK302" s="110"/>
      <c r="QL302" s="110"/>
      <c r="QM302" s="110"/>
      <c r="QN302" s="110"/>
      <c r="QO302" s="110"/>
      <c r="QP302" s="110"/>
      <c r="QQ302" s="110"/>
      <c r="QR302" s="110"/>
      <c r="QS302" s="110"/>
      <c r="QT302" s="110"/>
      <c r="QU302" s="110"/>
      <c r="QV302" s="110"/>
      <c r="QW302" s="110"/>
      <c r="QX302" s="110"/>
      <c r="QY302" s="110"/>
      <c r="QZ302" s="110"/>
      <c r="RA302" s="110"/>
      <c r="RB302" s="110"/>
      <c r="RC302" s="110"/>
      <c r="RD302" s="110"/>
      <c r="RE302" s="110"/>
      <c r="RF302" s="110"/>
      <c r="RG302" s="110"/>
      <c r="RH302" s="110"/>
      <c r="RI302" s="110"/>
      <c r="RJ302" s="110"/>
      <c r="RK302" s="110"/>
      <c r="RL302" s="110"/>
      <c r="RM302" s="110"/>
      <c r="RN302" s="110"/>
      <c r="RO302" s="110"/>
      <c r="RP302" s="110"/>
      <c r="RQ302" s="110"/>
      <c r="RR302" s="110"/>
      <c r="RS302" s="110"/>
      <c r="RT302" s="110"/>
      <c r="RU302" s="110"/>
      <c r="RV302" s="110"/>
      <c r="RW302" s="110"/>
      <c r="RX302" s="110"/>
      <c r="RY302" s="110"/>
      <c r="RZ302" s="110"/>
      <c r="SA302" s="110"/>
      <c r="SB302" s="110"/>
      <c r="SC302" s="110"/>
      <c r="SD302" s="110"/>
      <c r="SE302" s="110"/>
      <c r="SF302" s="110"/>
      <c r="SG302" s="110"/>
      <c r="SH302" s="110"/>
      <c r="SI302" s="110"/>
      <c r="SJ302" s="110"/>
      <c r="SK302" s="110"/>
      <c r="SL302" s="110"/>
      <c r="SM302" s="110"/>
      <c r="SN302" s="110"/>
      <c r="SO302" s="110"/>
      <c r="SP302" s="110"/>
      <c r="SQ302" s="110"/>
      <c r="SR302" s="110"/>
      <c r="SS302" s="110"/>
      <c r="ST302" s="110"/>
      <c r="SU302" s="110"/>
      <c r="SV302" s="110"/>
      <c r="SW302" s="110"/>
      <c r="SX302" s="110"/>
      <c r="SY302" s="110"/>
      <c r="SZ302" s="110"/>
      <c r="TA302" s="110"/>
      <c r="TB302" s="110"/>
      <c r="TC302" s="110"/>
      <c r="TD302" s="110"/>
      <c r="TE302" s="110"/>
      <c r="TF302" s="110"/>
      <c r="TG302" s="110"/>
      <c r="TH302" s="110"/>
      <c r="TI302" s="110"/>
      <c r="TJ302" s="110"/>
      <c r="TK302" s="110"/>
      <c r="TL302" s="110"/>
      <c r="TM302" s="110"/>
      <c r="TN302" s="110"/>
      <c r="TO302" s="110"/>
      <c r="TP302" s="110"/>
      <c r="TQ302" s="110"/>
      <c r="TR302" s="110"/>
      <c r="TS302" s="110"/>
      <c r="TT302" s="110"/>
      <c r="TU302" s="110"/>
      <c r="TV302" s="110"/>
      <c r="TW302" s="110"/>
      <c r="TX302" s="110"/>
      <c r="TY302" s="110"/>
      <c r="TZ302" s="110"/>
      <c r="UA302" s="110"/>
      <c r="UB302" s="110"/>
      <c r="UC302" s="110"/>
      <c r="UD302" s="110"/>
      <c r="UE302" s="110"/>
      <c r="UF302" s="110"/>
      <c r="UG302" s="110"/>
      <c r="UH302" s="110"/>
      <c r="UI302" s="110"/>
      <c r="UJ302" s="110"/>
      <c r="UK302" s="110"/>
      <c r="UL302" s="110"/>
      <c r="UM302" s="110"/>
      <c r="UN302" s="110"/>
      <c r="UO302" s="110"/>
      <c r="UP302" s="110"/>
      <c r="UQ302" s="110"/>
      <c r="UR302" s="110"/>
      <c r="US302" s="110"/>
      <c r="UT302" s="110"/>
      <c r="UU302" s="110"/>
      <c r="UV302" s="110"/>
      <c r="UW302" s="110"/>
      <c r="UX302" s="110"/>
      <c r="UY302" s="110"/>
      <c r="UZ302" s="110"/>
      <c r="VA302" s="110"/>
      <c r="VB302" s="110"/>
      <c r="VC302" s="110"/>
      <c r="VD302" s="110"/>
      <c r="VE302" s="110"/>
      <c r="VF302" s="110"/>
      <c r="VG302" s="110"/>
      <c r="VH302" s="110"/>
      <c r="VI302" s="110"/>
      <c r="VJ302" s="110"/>
      <c r="VK302" s="110"/>
      <c r="VL302" s="110"/>
      <c r="VM302" s="110"/>
      <c r="VN302" s="110"/>
      <c r="VO302" s="110"/>
      <c r="VP302" s="110"/>
      <c r="VQ302" s="110"/>
      <c r="VR302" s="110"/>
      <c r="VS302" s="110"/>
      <c r="VT302" s="110"/>
      <c r="VU302" s="110"/>
      <c r="VV302" s="110"/>
      <c r="VW302" s="110"/>
      <c r="VX302" s="110"/>
      <c r="VY302" s="110"/>
      <c r="VZ302" s="110"/>
      <c r="WA302" s="110"/>
      <c r="WB302" s="110"/>
      <c r="WC302" s="110"/>
      <c r="WD302" s="110"/>
      <c r="WE302" s="110"/>
      <c r="WF302" s="110"/>
      <c r="WG302" s="110"/>
      <c r="WH302" s="110"/>
      <c r="WI302" s="110"/>
      <c r="WJ302" s="110"/>
      <c r="WK302" s="110"/>
      <c r="WL302" s="110"/>
      <c r="WM302" s="110"/>
      <c r="WN302" s="110"/>
      <c r="WO302" s="110"/>
      <c r="WP302" s="110"/>
      <c r="WQ302" s="110"/>
      <c r="WR302" s="110"/>
      <c r="WS302" s="110"/>
      <c r="WT302" s="110"/>
      <c r="WU302" s="110"/>
      <c r="WV302" s="110"/>
      <c r="WW302" s="110"/>
      <c r="WX302" s="110"/>
      <c r="WY302" s="110"/>
      <c r="WZ302" s="110"/>
      <c r="XA302" s="110"/>
      <c r="XB302" s="110"/>
      <c r="XC302" s="110"/>
      <c r="XD302" s="110"/>
      <c r="XE302" s="110"/>
      <c r="XF302" s="110"/>
      <c r="XG302" s="110"/>
      <c r="XH302" s="110"/>
      <c r="XI302" s="110"/>
      <c r="XJ302" s="110"/>
      <c r="XK302" s="110"/>
      <c r="XL302" s="110"/>
      <c r="XM302" s="110"/>
      <c r="XN302" s="110"/>
      <c r="XO302" s="110"/>
      <c r="XP302" s="110"/>
      <c r="XQ302" s="110"/>
      <c r="XR302" s="110"/>
      <c r="XS302" s="110"/>
      <c r="XT302" s="110"/>
      <c r="XU302" s="110"/>
      <c r="XV302" s="110"/>
      <c r="XW302" s="110"/>
      <c r="XX302" s="110"/>
      <c r="XY302" s="110"/>
      <c r="XZ302" s="110"/>
      <c r="YA302" s="110"/>
      <c r="YB302" s="110"/>
      <c r="YC302" s="110"/>
      <c r="YD302" s="110"/>
      <c r="YE302" s="110"/>
      <c r="YF302" s="110"/>
      <c r="YG302" s="110"/>
      <c r="YH302" s="110"/>
      <c r="YI302" s="110"/>
      <c r="YJ302" s="110"/>
      <c r="YK302" s="110"/>
      <c r="YL302" s="110"/>
      <c r="YM302" s="110"/>
      <c r="YN302" s="110"/>
      <c r="YO302" s="110"/>
      <c r="YP302" s="110"/>
      <c r="YQ302" s="110"/>
      <c r="YR302" s="110"/>
      <c r="YS302" s="110"/>
      <c r="YT302" s="110"/>
      <c r="YU302" s="110"/>
      <c r="YV302" s="110"/>
      <c r="YW302" s="110"/>
      <c r="YX302" s="110"/>
      <c r="YY302" s="110"/>
      <c r="YZ302" s="110"/>
      <c r="ZA302" s="110"/>
      <c r="ZB302" s="110"/>
      <c r="ZC302" s="110"/>
      <c r="ZD302" s="110"/>
      <c r="ZE302" s="110"/>
      <c r="ZF302" s="110"/>
      <c r="ZG302" s="110"/>
      <c r="ZH302" s="110"/>
      <c r="ZI302" s="110"/>
      <c r="ZJ302" s="110"/>
      <c r="ZK302" s="110"/>
      <c r="ZL302" s="110"/>
      <c r="ZM302" s="110"/>
      <c r="ZN302" s="110"/>
      <c r="ZO302" s="110"/>
      <c r="ZP302" s="110"/>
      <c r="ZQ302" s="110"/>
      <c r="ZR302" s="110"/>
      <c r="ZS302" s="110"/>
      <c r="ZT302" s="110"/>
      <c r="ZU302" s="110"/>
      <c r="ZV302" s="110"/>
      <c r="ZW302" s="110"/>
      <c r="ZX302" s="110"/>
      <c r="ZY302" s="110"/>
      <c r="ZZ302" s="110"/>
      <c r="AAA302" s="110"/>
      <c r="AAB302" s="110"/>
      <c r="AAC302" s="110"/>
      <c r="AAD302" s="110"/>
      <c r="AAE302" s="110"/>
      <c r="AAF302" s="110"/>
      <c r="AAG302" s="110"/>
      <c r="AAH302" s="110"/>
      <c r="AAI302" s="110"/>
      <c r="AAJ302" s="110"/>
      <c r="AAK302" s="110"/>
      <c r="AAL302" s="110"/>
      <c r="AAM302" s="110"/>
      <c r="AAN302" s="110"/>
      <c r="AAO302" s="110"/>
      <c r="AAP302" s="110"/>
      <c r="AAQ302" s="110"/>
      <c r="AAR302" s="110"/>
      <c r="AAS302" s="110"/>
      <c r="AAT302" s="110"/>
      <c r="AAU302" s="110"/>
      <c r="AAV302" s="110"/>
      <c r="AAW302" s="110"/>
      <c r="AAX302" s="110"/>
      <c r="AAY302" s="110"/>
      <c r="AAZ302" s="110"/>
      <c r="ABA302" s="110"/>
      <c r="ABB302" s="110"/>
      <c r="ABC302" s="110"/>
      <c r="ABD302" s="110"/>
      <c r="ABE302" s="110"/>
      <c r="ABF302" s="110"/>
      <c r="ABG302" s="110"/>
      <c r="ABH302" s="110"/>
      <c r="ABI302" s="110"/>
      <c r="ABJ302" s="110"/>
      <c r="ABK302" s="110"/>
      <c r="ABL302" s="110"/>
      <c r="ABM302" s="110"/>
      <c r="ABN302" s="110"/>
      <c r="ABO302" s="110"/>
      <c r="ABP302" s="110"/>
      <c r="ABQ302" s="110"/>
      <c r="ABR302" s="110"/>
      <c r="ABS302" s="110"/>
      <c r="ABT302" s="110"/>
      <c r="ABU302" s="110"/>
      <c r="ABV302" s="110"/>
      <c r="ABW302" s="110"/>
      <c r="ABX302" s="110"/>
      <c r="ABY302" s="110"/>
      <c r="ABZ302" s="110"/>
      <c r="ACA302" s="110"/>
      <c r="ACB302" s="110"/>
      <c r="ACC302" s="110"/>
      <c r="ACD302" s="110"/>
      <c r="ACE302" s="110"/>
      <c r="ACF302" s="110"/>
      <c r="ACG302" s="110"/>
      <c r="ACH302" s="110"/>
      <c r="ACI302" s="110"/>
      <c r="ACJ302" s="110"/>
      <c r="ACK302" s="110"/>
      <c r="ACL302" s="110"/>
      <c r="ACM302" s="110"/>
      <c r="ACN302" s="110"/>
      <c r="ACO302" s="110"/>
      <c r="ACP302" s="110"/>
      <c r="ACQ302" s="110"/>
      <c r="ACR302" s="110"/>
      <c r="ACS302" s="110"/>
      <c r="ACT302" s="110"/>
      <c r="ACU302" s="110"/>
      <c r="ACV302" s="110"/>
      <c r="ACW302" s="110"/>
      <c r="ACX302" s="110"/>
      <c r="ACY302" s="110"/>
      <c r="ACZ302" s="110"/>
      <c r="ADA302" s="110"/>
      <c r="ADB302" s="110"/>
      <c r="ADC302" s="110"/>
      <c r="ADD302" s="110"/>
      <c r="ADE302" s="110"/>
      <c r="ADF302" s="110"/>
      <c r="ADG302" s="110"/>
      <c r="ADH302" s="110"/>
      <c r="ADI302" s="110"/>
      <c r="ADJ302" s="110"/>
      <c r="ADK302" s="110"/>
      <c r="ADL302" s="110"/>
      <c r="ADM302" s="110"/>
      <c r="ADN302" s="110"/>
      <c r="ADO302" s="110"/>
      <c r="ADP302" s="110"/>
      <c r="ADQ302" s="110"/>
      <c r="ADR302" s="110"/>
      <c r="ADS302" s="110"/>
      <c r="ADT302" s="110"/>
      <c r="ADU302" s="110"/>
      <c r="ADV302" s="110"/>
      <c r="ADW302" s="110"/>
      <c r="ADX302" s="110"/>
      <c r="ADY302" s="110"/>
      <c r="ADZ302" s="110"/>
      <c r="AEA302" s="110"/>
      <c r="AEB302" s="110"/>
      <c r="AEC302" s="110"/>
      <c r="AED302" s="110"/>
      <c r="AEE302" s="110"/>
      <c r="AEF302" s="110"/>
      <c r="AEG302" s="110"/>
      <c r="AEH302" s="110"/>
      <c r="AEI302" s="110"/>
      <c r="AEJ302" s="110"/>
      <c r="AEK302" s="110"/>
      <c r="AEL302" s="110"/>
      <c r="AEM302" s="110"/>
      <c r="AEN302" s="110"/>
      <c r="AEO302" s="110"/>
      <c r="AEP302" s="110"/>
      <c r="AEQ302" s="110"/>
      <c r="AER302" s="110"/>
      <c r="AES302" s="110"/>
      <c r="AET302" s="110"/>
      <c r="AEU302" s="110"/>
      <c r="AEV302" s="110"/>
      <c r="AEW302" s="110"/>
      <c r="AEX302" s="110"/>
      <c r="AEY302" s="110"/>
      <c r="AEZ302" s="110"/>
      <c r="AFA302" s="110"/>
      <c r="AFB302" s="110"/>
      <c r="AFC302" s="110"/>
      <c r="AFD302" s="110"/>
      <c r="AFE302" s="110"/>
      <c r="AFF302" s="110"/>
      <c r="AFG302" s="110"/>
      <c r="AFH302" s="110"/>
      <c r="AFI302" s="110"/>
      <c r="AFJ302" s="110"/>
      <c r="AFK302" s="110"/>
      <c r="AFL302" s="110"/>
      <c r="AFM302" s="110"/>
      <c r="AFN302" s="110"/>
      <c r="AFO302" s="110"/>
      <c r="AFP302" s="110"/>
      <c r="AFQ302" s="110"/>
      <c r="AFR302" s="110"/>
      <c r="AFS302" s="110"/>
      <c r="AFT302" s="110"/>
      <c r="AFU302" s="110"/>
      <c r="AFV302" s="110"/>
      <c r="AFW302" s="110"/>
      <c r="AFX302" s="110"/>
      <c r="AFY302" s="110"/>
      <c r="AFZ302" s="110"/>
      <c r="AGA302" s="110"/>
      <c r="AGB302" s="110"/>
      <c r="AGC302" s="110"/>
      <c r="AGD302" s="110"/>
      <c r="AGE302" s="110"/>
      <c r="AGF302" s="110"/>
      <c r="AGG302" s="110"/>
      <c r="AGH302" s="110"/>
      <c r="AGI302" s="110"/>
      <c r="AGJ302" s="110"/>
      <c r="AGK302" s="110"/>
      <c r="AGL302" s="110"/>
      <c r="AGM302" s="110"/>
      <c r="AGN302" s="110"/>
      <c r="AGO302" s="110"/>
      <c r="AGP302" s="110"/>
      <c r="AGQ302" s="110"/>
      <c r="AGR302" s="110"/>
      <c r="AGS302" s="110"/>
      <c r="AGT302" s="110"/>
      <c r="AGU302" s="110"/>
      <c r="AGV302" s="110"/>
      <c r="AGW302" s="110"/>
      <c r="AGX302" s="110"/>
      <c r="AGY302" s="110"/>
      <c r="AGZ302" s="110"/>
      <c r="AHA302" s="110"/>
      <c r="AHB302" s="110"/>
      <c r="AHC302" s="110"/>
      <c r="AHD302" s="110"/>
      <c r="AHE302" s="110"/>
      <c r="AHF302" s="110"/>
      <c r="AHG302" s="110"/>
      <c r="AHH302" s="110"/>
      <c r="AHI302" s="110"/>
      <c r="AHJ302" s="110"/>
      <c r="AHK302" s="110"/>
      <c r="AHL302" s="110"/>
      <c r="AHM302" s="110"/>
      <c r="AHN302" s="110"/>
      <c r="AHO302" s="110"/>
      <c r="AHP302" s="110"/>
      <c r="AHQ302" s="110"/>
      <c r="AHR302" s="110"/>
      <c r="AHS302" s="110"/>
      <c r="AHT302" s="110"/>
      <c r="AHU302" s="110"/>
      <c r="AHV302" s="110"/>
      <c r="AHW302" s="110"/>
      <c r="AHX302" s="110"/>
      <c r="AHY302" s="110"/>
      <c r="AHZ302" s="110"/>
      <c r="AIA302" s="110"/>
      <c r="AIB302" s="110"/>
      <c r="AIC302" s="110"/>
      <c r="AID302" s="110"/>
      <c r="AIE302" s="110"/>
      <c r="AIF302" s="110"/>
      <c r="AIG302" s="110"/>
      <c r="AIH302" s="110"/>
      <c r="AII302" s="110"/>
      <c r="AIJ302" s="110"/>
      <c r="AIK302" s="110"/>
      <c r="AIL302" s="110"/>
      <c r="AIM302" s="110"/>
      <c r="AIN302" s="110"/>
      <c r="AIO302" s="110"/>
      <c r="AIP302" s="110"/>
      <c r="AIQ302" s="110"/>
      <c r="AIR302" s="110"/>
      <c r="AIS302" s="110"/>
      <c r="AIT302" s="110"/>
      <c r="AIU302" s="110"/>
      <c r="AIV302" s="110"/>
      <c r="AIW302" s="110"/>
      <c r="AIX302" s="110"/>
      <c r="AIY302" s="110"/>
      <c r="AIZ302" s="110"/>
      <c r="AJA302" s="110"/>
      <c r="AJB302" s="110"/>
      <c r="AJC302" s="110"/>
      <c r="AJD302" s="110"/>
      <c r="AJE302" s="110"/>
      <c r="AJF302" s="110"/>
      <c r="AJG302" s="110"/>
      <c r="AJH302" s="110"/>
      <c r="AJI302" s="110"/>
      <c r="AJJ302" s="110"/>
      <c r="AJK302" s="110"/>
      <c r="AJL302" s="110"/>
      <c r="AJM302" s="110"/>
      <c r="AJN302" s="110"/>
      <c r="AJO302" s="110"/>
      <c r="AJP302" s="110"/>
      <c r="AJQ302" s="110"/>
      <c r="AJR302" s="110"/>
      <c r="AJS302" s="110"/>
      <c r="AJT302" s="110"/>
      <c r="AJU302" s="110"/>
      <c r="AJV302" s="110"/>
      <c r="AJW302" s="110"/>
      <c r="AJX302" s="110"/>
      <c r="AJY302" s="110"/>
      <c r="AJZ302" s="110"/>
      <c r="AKA302" s="110"/>
      <c r="AKB302" s="110"/>
      <c r="AKC302" s="110"/>
      <c r="AKD302" s="110"/>
      <c r="AKE302" s="110"/>
      <c r="AKF302" s="110"/>
      <c r="AKG302" s="110"/>
      <c r="AKH302" s="110"/>
      <c r="AKI302" s="110"/>
      <c r="AKJ302" s="110"/>
      <c r="AKK302" s="110"/>
      <c r="AKL302" s="110"/>
      <c r="AKM302" s="110"/>
      <c r="AKN302" s="110"/>
      <c r="AKO302" s="110"/>
      <c r="AKP302" s="110"/>
      <c r="AKQ302" s="110"/>
      <c r="AKR302" s="110"/>
      <c r="AKS302" s="110"/>
      <c r="AKT302" s="110"/>
      <c r="AKU302" s="110"/>
      <c r="AKV302" s="110"/>
      <c r="AKW302" s="110"/>
      <c r="AKX302" s="110"/>
      <c r="AKY302" s="110"/>
      <c r="AKZ302" s="110"/>
      <c r="ALA302" s="110"/>
      <c r="ALB302" s="110"/>
      <c r="ALC302" s="110"/>
      <c r="ALD302" s="110"/>
      <c r="ALE302" s="110"/>
      <c r="ALF302" s="110"/>
      <c r="ALG302" s="110"/>
      <c r="ALH302" s="110"/>
      <c r="ALI302" s="110"/>
      <c r="ALJ302" s="110"/>
      <c r="ALK302" s="110"/>
      <c r="ALL302" s="110"/>
      <c r="ALM302" s="110"/>
      <c r="ALN302" s="110"/>
      <c r="ALO302" s="110"/>
      <c r="ALP302" s="110"/>
      <c r="ALQ302" s="110"/>
      <c r="ALR302" s="110"/>
      <c r="ALS302" s="110"/>
      <c r="ALT302" s="110"/>
      <c r="ALU302" s="110"/>
      <c r="ALV302" s="110"/>
      <c r="ALW302" s="110"/>
      <c r="ALX302" s="110"/>
      <c r="ALY302" s="110"/>
      <c r="ALZ302" s="110"/>
      <c r="AMA302" s="110"/>
      <c r="AMB302" s="110"/>
      <c r="AMC302" s="110"/>
      <c r="AMD302" s="110"/>
      <c r="AME302" s="110"/>
      <c r="AMF302" s="110"/>
    </row>
    <row r="303" spans="1:1020" s="142" customFormat="1" ht="11.25" customHeight="1">
      <c r="A303" s="126"/>
      <c r="B303" s="141">
        <v>1</v>
      </c>
      <c r="C303" s="126">
        <v>296</v>
      </c>
      <c r="D303" s="127" t="s">
        <v>477</v>
      </c>
      <c r="E303" s="194">
        <v>500</v>
      </c>
      <c r="F303" s="125">
        <f>ROUND(E303*Valores!$C$2,2)</f>
        <v>27225</v>
      </c>
      <c r="G303" s="192">
        <v>0</v>
      </c>
      <c r="H303" s="125">
        <f>ROUND(G303*Valores!$C$2,2)</f>
        <v>0</v>
      </c>
      <c r="I303" s="192">
        <v>0</v>
      </c>
      <c r="J303" s="125">
        <f>ROUND(I303*Valores!$C$2,2)</f>
        <v>0</v>
      </c>
      <c r="K303" s="192">
        <v>0</v>
      </c>
      <c r="L303" s="125">
        <f>ROUND(K303*Valores!$C$2,2)</f>
        <v>0</v>
      </c>
      <c r="M303" s="125">
        <f>ROUND(IF($H$2=0,IF(AND(A303&lt;&gt;"13-930",A303&lt;&gt;"13-940"),(SUM(F303,H303,J303,L303,X303,T303,R303)*Valores!$C$4),0),0),2)</f>
        <v>9237.75</v>
      </c>
      <c r="N303" s="125">
        <f t="shared" si="42"/>
        <v>0</v>
      </c>
      <c r="O303" s="125">
        <v>0</v>
      </c>
      <c r="P303" s="125">
        <v>0</v>
      </c>
      <c r="Q303" s="125">
        <v>0</v>
      </c>
      <c r="R303" s="125">
        <f>IF($F$4="NO",Valores!$C$49*10,Valores!$C$49*10/2)</f>
        <v>9726</v>
      </c>
      <c r="S303" s="125">
        <v>0</v>
      </c>
      <c r="T303" s="125">
        <f t="shared" si="51"/>
        <v>0</v>
      </c>
      <c r="U303" s="125">
        <v>0</v>
      </c>
      <c r="V303" s="125">
        <v>0</v>
      </c>
      <c r="W303" s="192">
        <v>0</v>
      </c>
      <c r="X303" s="125">
        <f>ROUND(W303*Valores!$C$2,2)</f>
        <v>0</v>
      </c>
      <c r="Y303" s="125">
        <v>0</v>
      </c>
      <c r="Z303" s="125">
        <v>0</v>
      </c>
      <c r="AA303" s="125">
        <v>0</v>
      </c>
      <c r="AB303" s="214">
        <v>0</v>
      </c>
      <c r="AC303" s="125">
        <f t="shared" si="43"/>
        <v>0</v>
      </c>
      <c r="AD303" s="125">
        <v>0</v>
      </c>
      <c r="AE303" s="192">
        <v>0</v>
      </c>
      <c r="AF303" s="125">
        <f>ROUND(AE303*Valores!$C$2,2)</f>
        <v>0</v>
      </c>
      <c r="AG303" s="125">
        <v>0</v>
      </c>
      <c r="AH303" s="125">
        <f t="shared" si="46"/>
        <v>46188.75</v>
      </c>
      <c r="AI303" s="125">
        <v>0</v>
      </c>
      <c r="AJ303" s="125">
        <v>0</v>
      </c>
      <c r="AK303" s="125">
        <v>0</v>
      </c>
      <c r="AL303" s="125">
        <v>0</v>
      </c>
      <c r="AM303" s="125">
        <f t="shared" si="44"/>
        <v>0</v>
      </c>
      <c r="AN303" s="125">
        <f>AH303*Valores!$C$71</f>
        <v>-5080.7625</v>
      </c>
      <c r="AO303" s="125">
        <f>AH303*-Valores!$C$72</f>
        <v>0</v>
      </c>
      <c r="AP303" s="125">
        <f>AH303*Valores!$C$73</f>
        <v>-2078.49375</v>
      </c>
      <c r="AQ303" s="125">
        <v>0</v>
      </c>
      <c r="AR303" s="125">
        <v>0</v>
      </c>
      <c r="AS303" s="125">
        <f t="shared" si="47"/>
        <v>39029.49375</v>
      </c>
      <c r="AT303" s="125">
        <f t="shared" si="41"/>
        <v>-5080.7625</v>
      </c>
      <c r="AU303" s="125">
        <f>AH303*Valores!$C$74</f>
        <v>-1247.09625</v>
      </c>
      <c r="AV303" s="125">
        <f>AH303*Valores!$C$75</f>
        <v>-138.56625</v>
      </c>
      <c r="AW303" s="125">
        <f t="shared" si="45"/>
        <v>39722.325</v>
      </c>
      <c r="AX303" s="126"/>
      <c r="AY303" s="126"/>
      <c r="AZ303" s="123" t="s">
        <v>4</v>
      </c>
      <c r="BA303" s="110"/>
      <c r="BB303" s="110"/>
      <c r="BC303" s="110"/>
      <c r="BD303" s="110"/>
      <c r="BE303" s="110"/>
      <c r="BF303" s="110"/>
      <c r="BG303" s="110"/>
      <c r="BH303" s="110"/>
      <c r="BI303" s="110"/>
      <c r="BJ303" s="110"/>
      <c r="BK303" s="110"/>
      <c r="BL303" s="110"/>
      <c r="BM303" s="110"/>
      <c r="BN303" s="110"/>
      <c r="BO303" s="110"/>
      <c r="BP303" s="110"/>
      <c r="BQ303" s="110"/>
      <c r="BR303" s="110"/>
      <c r="BS303" s="110"/>
      <c r="BT303" s="110"/>
      <c r="BU303" s="110"/>
      <c r="BV303" s="110"/>
      <c r="BW303" s="110"/>
      <c r="BX303" s="110"/>
      <c r="BY303" s="110"/>
      <c r="BZ303" s="110"/>
      <c r="CA303" s="110"/>
      <c r="CB303" s="110"/>
      <c r="CC303" s="110"/>
      <c r="CD303" s="110"/>
      <c r="CE303" s="110"/>
      <c r="CF303" s="110"/>
      <c r="CG303" s="110"/>
      <c r="CH303" s="110"/>
      <c r="CI303" s="110"/>
      <c r="CJ303" s="110"/>
      <c r="CK303" s="110"/>
      <c r="CL303" s="110"/>
      <c r="CM303" s="110"/>
      <c r="CN303" s="110"/>
      <c r="CO303" s="110"/>
      <c r="CP303" s="110"/>
      <c r="CQ303" s="110"/>
      <c r="CR303" s="110"/>
      <c r="CS303" s="110"/>
      <c r="CT303" s="110"/>
      <c r="CU303" s="110"/>
      <c r="CV303" s="110"/>
      <c r="CW303" s="110"/>
      <c r="CX303" s="110"/>
      <c r="CY303" s="110"/>
      <c r="CZ303" s="110"/>
      <c r="DA303" s="110"/>
      <c r="DB303" s="110"/>
      <c r="DC303" s="110"/>
      <c r="DD303" s="110"/>
      <c r="DE303" s="110"/>
      <c r="DF303" s="110"/>
      <c r="DG303" s="110"/>
      <c r="DH303" s="110"/>
      <c r="DI303" s="110"/>
      <c r="DJ303" s="110"/>
      <c r="DK303" s="110"/>
      <c r="DL303" s="110"/>
      <c r="DM303" s="110"/>
      <c r="DN303" s="110"/>
      <c r="DO303" s="110"/>
      <c r="DP303" s="110"/>
      <c r="DQ303" s="110"/>
      <c r="DR303" s="110"/>
      <c r="DS303" s="110"/>
      <c r="DT303" s="110"/>
      <c r="DU303" s="110"/>
      <c r="DV303" s="110"/>
      <c r="DW303" s="110"/>
      <c r="DX303" s="110"/>
      <c r="DY303" s="110"/>
      <c r="DZ303" s="110"/>
      <c r="EA303" s="110"/>
      <c r="EB303" s="110"/>
      <c r="EC303" s="110"/>
      <c r="ED303" s="110"/>
      <c r="EE303" s="110"/>
      <c r="EF303" s="110"/>
      <c r="EG303" s="110"/>
      <c r="EH303" s="110"/>
      <c r="EI303" s="110"/>
      <c r="EJ303" s="110"/>
      <c r="EK303" s="110"/>
      <c r="EL303" s="110"/>
      <c r="EM303" s="110"/>
      <c r="EN303" s="110"/>
      <c r="EO303" s="110"/>
      <c r="EP303" s="110"/>
      <c r="EQ303" s="110"/>
      <c r="ER303" s="110"/>
      <c r="ES303" s="110"/>
      <c r="ET303" s="110"/>
      <c r="EU303" s="110"/>
      <c r="EV303" s="110"/>
      <c r="EW303" s="110"/>
      <c r="EX303" s="110"/>
      <c r="EY303" s="110"/>
      <c r="EZ303" s="110"/>
      <c r="FA303" s="110"/>
      <c r="FB303" s="110"/>
      <c r="FC303" s="110"/>
      <c r="FD303" s="110"/>
      <c r="FE303" s="110"/>
      <c r="FF303" s="110"/>
      <c r="FG303" s="110"/>
      <c r="FH303" s="110"/>
      <c r="FI303" s="110"/>
      <c r="FJ303" s="110"/>
      <c r="FK303" s="110"/>
      <c r="FL303" s="110"/>
      <c r="FM303" s="110"/>
      <c r="FN303" s="110"/>
      <c r="FO303" s="110"/>
      <c r="FP303" s="110"/>
      <c r="FQ303" s="110"/>
      <c r="FR303" s="110"/>
      <c r="FS303" s="110"/>
      <c r="FT303" s="110"/>
      <c r="FU303" s="110"/>
      <c r="FV303" s="110"/>
      <c r="FW303" s="110"/>
      <c r="FX303" s="110"/>
      <c r="FY303" s="110"/>
      <c r="FZ303" s="110"/>
      <c r="GA303" s="110"/>
      <c r="GB303" s="110"/>
      <c r="GC303" s="110"/>
      <c r="GD303" s="110"/>
      <c r="GE303" s="110"/>
      <c r="GF303" s="110"/>
      <c r="GG303" s="110"/>
      <c r="GH303" s="110"/>
      <c r="GI303" s="110"/>
      <c r="GJ303" s="110"/>
      <c r="GK303" s="110"/>
      <c r="GL303" s="110"/>
      <c r="GM303" s="110"/>
      <c r="GN303" s="110"/>
      <c r="GO303" s="110"/>
      <c r="GP303" s="110"/>
      <c r="GQ303" s="110"/>
      <c r="GR303" s="110"/>
      <c r="GS303" s="110"/>
      <c r="GT303" s="110"/>
      <c r="GU303" s="110"/>
      <c r="GV303" s="110"/>
      <c r="GW303" s="110"/>
      <c r="GX303" s="110"/>
      <c r="GY303" s="110"/>
      <c r="GZ303" s="110"/>
      <c r="HA303" s="110"/>
      <c r="HB303" s="110"/>
      <c r="HC303" s="110"/>
      <c r="HD303" s="110"/>
      <c r="HE303" s="110"/>
      <c r="HF303" s="110"/>
      <c r="HG303" s="110"/>
      <c r="HH303" s="110"/>
      <c r="HI303" s="110"/>
      <c r="HJ303" s="110"/>
      <c r="HK303" s="110"/>
      <c r="HL303" s="110"/>
      <c r="HM303" s="110"/>
      <c r="HN303" s="110"/>
      <c r="HO303" s="110"/>
      <c r="HP303" s="110"/>
      <c r="HQ303" s="110"/>
      <c r="HR303" s="110"/>
      <c r="HS303" s="110"/>
      <c r="HT303" s="110"/>
      <c r="HU303" s="110"/>
      <c r="HV303" s="110"/>
      <c r="HW303" s="110"/>
      <c r="HX303" s="110"/>
      <c r="HY303" s="110"/>
      <c r="HZ303" s="110"/>
      <c r="IA303" s="110"/>
      <c r="IB303" s="110"/>
      <c r="IC303" s="110"/>
      <c r="ID303" s="110"/>
      <c r="IE303" s="110"/>
      <c r="IF303" s="110"/>
      <c r="IG303" s="110"/>
      <c r="IH303" s="110"/>
      <c r="II303" s="110"/>
      <c r="IJ303" s="110"/>
      <c r="IK303" s="110"/>
      <c r="IL303" s="110"/>
      <c r="IM303" s="110"/>
      <c r="IN303" s="110"/>
      <c r="IO303" s="110"/>
      <c r="IP303" s="110"/>
      <c r="IQ303" s="110"/>
      <c r="IR303" s="110"/>
      <c r="IS303" s="110"/>
      <c r="IT303" s="110"/>
      <c r="IU303" s="110"/>
      <c r="IV303" s="110"/>
      <c r="IW303" s="110"/>
      <c r="IX303" s="110"/>
      <c r="IY303" s="110"/>
      <c r="IZ303" s="110"/>
      <c r="JA303" s="110"/>
      <c r="JB303" s="110"/>
      <c r="JC303" s="110"/>
      <c r="JD303" s="110"/>
      <c r="JE303" s="110"/>
      <c r="JF303" s="110"/>
      <c r="JG303" s="110"/>
      <c r="JH303" s="110"/>
      <c r="JI303" s="110"/>
      <c r="JJ303" s="110"/>
      <c r="JK303" s="110"/>
      <c r="JL303" s="110"/>
      <c r="JM303" s="110"/>
      <c r="JN303" s="110"/>
      <c r="JO303" s="110"/>
      <c r="JP303" s="110"/>
      <c r="JQ303" s="110"/>
      <c r="JR303" s="110"/>
      <c r="JS303" s="110"/>
      <c r="JT303" s="110"/>
      <c r="JU303" s="110"/>
      <c r="JV303" s="110"/>
      <c r="JW303" s="110"/>
      <c r="JX303" s="110"/>
      <c r="JY303" s="110"/>
      <c r="JZ303" s="110"/>
      <c r="KA303" s="110"/>
      <c r="KB303" s="110"/>
      <c r="KC303" s="110"/>
      <c r="KD303" s="110"/>
      <c r="KE303" s="110"/>
      <c r="KF303" s="110"/>
      <c r="KG303" s="110"/>
      <c r="KH303" s="110"/>
      <c r="KI303" s="110"/>
      <c r="KJ303" s="110"/>
      <c r="KK303" s="110"/>
      <c r="KL303" s="110"/>
      <c r="KM303" s="110"/>
      <c r="KN303" s="110"/>
      <c r="KO303" s="110"/>
      <c r="KP303" s="110"/>
      <c r="KQ303" s="110"/>
      <c r="KR303" s="110"/>
      <c r="KS303" s="110"/>
      <c r="KT303" s="110"/>
      <c r="KU303" s="110"/>
      <c r="KV303" s="110"/>
      <c r="KW303" s="110"/>
      <c r="KX303" s="110"/>
      <c r="KY303" s="110"/>
      <c r="KZ303" s="110"/>
      <c r="LA303" s="110"/>
      <c r="LB303" s="110"/>
      <c r="LC303" s="110"/>
      <c r="LD303" s="110"/>
      <c r="LE303" s="110"/>
      <c r="LF303" s="110"/>
      <c r="LG303" s="110"/>
      <c r="LH303" s="110"/>
      <c r="LI303" s="110"/>
      <c r="LJ303" s="110"/>
      <c r="LK303" s="110"/>
      <c r="LL303" s="110"/>
      <c r="LM303" s="110"/>
      <c r="LN303" s="110"/>
      <c r="LO303" s="110"/>
      <c r="LP303" s="110"/>
      <c r="LQ303" s="110"/>
      <c r="LR303" s="110"/>
      <c r="LS303" s="110"/>
      <c r="LT303" s="110"/>
      <c r="LU303" s="110"/>
      <c r="LV303" s="110"/>
      <c r="LW303" s="110"/>
      <c r="LX303" s="110"/>
      <c r="LY303" s="110"/>
      <c r="LZ303" s="110"/>
      <c r="MA303" s="110"/>
      <c r="MB303" s="110"/>
      <c r="MC303" s="110"/>
      <c r="MD303" s="110"/>
      <c r="ME303" s="110"/>
      <c r="MF303" s="110"/>
      <c r="MG303" s="110"/>
      <c r="MH303" s="110"/>
      <c r="MI303" s="110"/>
      <c r="MJ303" s="110"/>
      <c r="MK303" s="110"/>
      <c r="ML303" s="110"/>
      <c r="MM303" s="110"/>
      <c r="MN303" s="110"/>
      <c r="MO303" s="110"/>
      <c r="MP303" s="110"/>
      <c r="MQ303" s="110"/>
      <c r="MR303" s="110"/>
      <c r="MS303" s="110"/>
      <c r="MT303" s="110"/>
      <c r="MU303" s="110"/>
      <c r="MV303" s="110"/>
      <c r="MW303" s="110"/>
      <c r="MX303" s="110"/>
      <c r="MY303" s="110"/>
      <c r="MZ303" s="110"/>
      <c r="NA303" s="110"/>
      <c r="NB303" s="110"/>
      <c r="NC303" s="110"/>
      <c r="ND303" s="110"/>
      <c r="NE303" s="110"/>
      <c r="NF303" s="110"/>
      <c r="NG303" s="110"/>
      <c r="NH303" s="110"/>
      <c r="NI303" s="110"/>
      <c r="NJ303" s="110"/>
      <c r="NK303" s="110"/>
      <c r="NL303" s="110"/>
      <c r="NM303" s="110"/>
      <c r="NN303" s="110"/>
      <c r="NO303" s="110"/>
      <c r="NP303" s="110"/>
      <c r="NQ303" s="110"/>
      <c r="NR303" s="110"/>
      <c r="NS303" s="110"/>
      <c r="NT303" s="110"/>
      <c r="NU303" s="110"/>
      <c r="NV303" s="110"/>
      <c r="NW303" s="110"/>
      <c r="NX303" s="110"/>
      <c r="NY303" s="110"/>
      <c r="NZ303" s="110"/>
      <c r="OA303" s="110"/>
      <c r="OB303" s="110"/>
      <c r="OC303" s="110"/>
      <c r="OD303" s="110"/>
      <c r="OE303" s="110"/>
      <c r="OF303" s="110"/>
      <c r="OG303" s="110"/>
      <c r="OH303" s="110"/>
      <c r="OI303" s="110"/>
      <c r="OJ303" s="110"/>
      <c r="OK303" s="110"/>
      <c r="OL303" s="110"/>
      <c r="OM303" s="110"/>
      <c r="ON303" s="110"/>
      <c r="OO303" s="110"/>
      <c r="OP303" s="110"/>
      <c r="OQ303" s="110"/>
      <c r="OR303" s="110"/>
      <c r="OS303" s="110"/>
      <c r="OT303" s="110"/>
      <c r="OU303" s="110"/>
      <c r="OV303" s="110"/>
      <c r="OW303" s="110"/>
      <c r="OX303" s="110"/>
      <c r="OY303" s="110"/>
      <c r="OZ303" s="110"/>
      <c r="PA303" s="110"/>
      <c r="PB303" s="110"/>
      <c r="PC303" s="110"/>
      <c r="PD303" s="110"/>
      <c r="PE303" s="110"/>
      <c r="PF303" s="110"/>
      <c r="PG303" s="110"/>
      <c r="PH303" s="110"/>
      <c r="PI303" s="110"/>
      <c r="PJ303" s="110"/>
      <c r="PK303" s="110"/>
      <c r="PL303" s="110"/>
      <c r="PM303" s="110"/>
      <c r="PN303" s="110"/>
      <c r="PO303" s="110"/>
      <c r="PP303" s="110"/>
      <c r="PQ303" s="110"/>
      <c r="PR303" s="110"/>
      <c r="PS303" s="110"/>
      <c r="PT303" s="110"/>
      <c r="PU303" s="110"/>
      <c r="PV303" s="110"/>
      <c r="PW303" s="110"/>
      <c r="PX303" s="110"/>
      <c r="PY303" s="110"/>
      <c r="PZ303" s="110"/>
      <c r="QA303" s="110"/>
      <c r="QB303" s="110"/>
      <c r="QC303" s="110"/>
      <c r="QD303" s="110"/>
      <c r="QE303" s="110"/>
      <c r="QF303" s="110"/>
      <c r="QG303" s="110"/>
      <c r="QH303" s="110"/>
      <c r="QI303" s="110"/>
      <c r="QJ303" s="110"/>
      <c r="QK303" s="110"/>
      <c r="QL303" s="110"/>
      <c r="QM303" s="110"/>
      <c r="QN303" s="110"/>
      <c r="QO303" s="110"/>
      <c r="QP303" s="110"/>
      <c r="QQ303" s="110"/>
      <c r="QR303" s="110"/>
      <c r="QS303" s="110"/>
      <c r="QT303" s="110"/>
      <c r="QU303" s="110"/>
      <c r="QV303" s="110"/>
      <c r="QW303" s="110"/>
      <c r="QX303" s="110"/>
      <c r="QY303" s="110"/>
      <c r="QZ303" s="110"/>
      <c r="RA303" s="110"/>
      <c r="RB303" s="110"/>
      <c r="RC303" s="110"/>
      <c r="RD303" s="110"/>
      <c r="RE303" s="110"/>
      <c r="RF303" s="110"/>
      <c r="RG303" s="110"/>
      <c r="RH303" s="110"/>
      <c r="RI303" s="110"/>
      <c r="RJ303" s="110"/>
      <c r="RK303" s="110"/>
      <c r="RL303" s="110"/>
      <c r="RM303" s="110"/>
      <c r="RN303" s="110"/>
      <c r="RO303" s="110"/>
      <c r="RP303" s="110"/>
      <c r="RQ303" s="110"/>
      <c r="RR303" s="110"/>
      <c r="RS303" s="110"/>
      <c r="RT303" s="110"/>
      <c r="RU303" s="110"/>
      <c r="RV303" s="110"/>
      <c r="RW303" s="110"/>
      <c r="RX303" s="110"/>
      <c r="RY303" s="110"/>
      <c r="RZ303" s="110"/>
      <c r="SA303" s="110"/>
      <c r="SB303" s="110"/>
      <c r="SC303" s="110"/>
      <c r="SD303" s="110"/>
      <c r="SE303" s="110"/>
      <c r="SF303" s="110"/>
      <c r="SG303" s="110"/>
      <c r="SH303" s="110"/>
      <c r="SI303" s="110"/>
      <c r="SJ303" s="110"/>
      <c r="SK303" s="110"/>
      <c r="SL303" s="110"/>
      <c r="SM303" s="110"/>
      <c r="SN303" s="110"/>
      <c r="SO303" s="110"/>
      <c r="SP303" s="110"/>
      <c r="SQ303" s="110"/>
      <c r="SR303" s="110"/>
      <c r="SS303" s="110"/>
      <c r="ST303" s="110"/>
      <c r="SU303" s="110"/>
      <c r="SV303" s="110"/>
      <c r="SW303" s="110"/>
      <c r="SX303" s="110"/>
      <c r="SY303" s="110"/>
      <c r="SZ303" s="110"/>
      <c r="TA303" s="110"/>
      <c r="TB303" s="110"/>
      <c r="TC303" s="110"/>
      <c r="TD303" s="110"/>
      <c r="TE303" s="110"/>
      <c r="TF303" s="110"/>
      <c r="TG303" s="110"/>
      <c r="TH303" s="110"/>
      <c r="TI303" s="110"/>
      <c r="TJ303" s="110"/>
      <c r="TK303" s="110"/>
      <c r="TL303" s="110"/>
      <c r="TM303" s="110"/>
      <c r="TN303" s="110"/>
      <c r="TO303" s="110"/>
      <c r="TP303" s="110"/>
      <c r="TQ303" s="110"/>
      <c r="TR303" s="110"/>
      <c r="TS303" s="110"/>
      <c r="TT303" s="110"/>
      <c r="TU303" s="110"/>
      <c r="TV303" s="110"/>
      <c r="TW303" s="110"/>
      <c r="TX303" s="110"/>
      <c r="TY303" s="110"/>
      <c r="TZ303" s="110"/>
      <c r="UA303" s="110"/>
      <c r="UB303" s="110"/>
      <c r="UC303" s="110"/>
      <c r="UD303" s="110"/>
      <c r="UE303" s="110"/>
      <c r="UF303" s="110"/>
      <c r="UG303" s="110"/>
      <c r="UH303" s="110"/>
      <c r="UI303" s="110"/>
      <c r="UJ303" s="110"/>
      <c r="UK303" s="110"/>
      <c r="UL303" s="110"/>
      <c r="UM303" s="110"/>
      <c r="UN303" s="110"/>
      <c r="UO303" s="110"/>
      <c r="UP303" s="110"/>
      <c r="UQ303" s="110"/>
      <c r="UR303" s="110"/>
      <c r="US303" s="110"/>
      <c r="UT303" s="110"/>
      <c r="UU303" s="110"/>
      <c r="UV303" s="110"/>
      <c r="UW303" s="110"/>
      <c r="UX303" s="110"/>
      <c r="UY303" s="110"/>
      <c r="UZ303" s="110"/>
      <c r="VA303" s="110"/>
      <c r="VB303" s="110"/>
      <c r="VC303" s="110"/>
      <c r="VD303" s="110"/>
      <c r="VE303" s="110"/>
      <c r="VF303" s="110"/>
      <c r="VG303" s="110"/>
      <c r="VH303" s="110"/>
      <c r="VI303" s="110"/>
      <c r="VJ303" s="110"/>
      <c r="VK303" s="110"/>
      <c r="VL303" s="110"/>
      <c r="VM303" s="110"/>
      <c r="VN303" s="110"/>
      <c r="VO303" s="110"/>
      <c r="VP303" s="110"/>
      <c r="VQ303" s="110"/>
      <c r="VR303" s="110"/>
      <c r="VS303" s="110"/>
      <c r="VT303" s="110"/>
      <c r="VU303" s="110"/>
      <c r="VV303" s="110"/>
      <c r="VW303" s="110"/>
      <c r="VX303" s="110"/>
      <c r="VY303" s="110"/>
      <c r="VZ303" s="110"/>
      <c r="WA303" s="110"/>
      <c r="WB303" s="110"/>
      <c r="WC303" s="110"/>
      <c r="WD303" s="110"/>
      <c r="WE303" s="110"/>
      <c r="WF303" s="110"/>
      <c r="WG303" s="110"/>
      <c r="WH303" s="110"/>
      <c r="WI303" s="110"/>
      <c r="WJ303" s="110"/>
      <c r="WK303" s="110"/>
      <c r="WL303" s="110"/>
      <c r="WM303" s="110"/>
      <c r="WN303" s="110"/>
      <c r="WO303" s="110"/>
      <c r="WP303" s="110"/>
      <c r="WQ303" s="110"/>
      <c r="WR303" s="110"/>
      <c r="WS303" s="110"/>
      <c r="WT303" s="110"/>
      <c r="WU303" s="110"/>
      <c r="WV303" s="110"/>
      <c r="WW303" s="110"/>
      <c r="WX303" s="110"/>
      <c r="WY303" s="110"/>
      <c r="WZ303" s="110"/>
      <c r="XA303" s="110"/>
      <c r="XB303" s="110"/>
      <c r="XC303" s="110"/>
      <c r="XD303" s="110"/>
      <c r="XE303" s="110"/>
      <c r="XF303" s="110"/>
      <c r="XG303" s="110"/>
      <c r="XH303" s="110"/>
      <c r="XI303" s="110"/>
      <c r="XJ303" s="110"/>
      <c r="XK303" s="110"/>
      <c r="XL303" s="110"/>
      <c r="XM303" s="110"/>
      <c r="XN303" s="110"/>
      <c r="XO303" s="110"/>
      <c r="XP303" s="110"/>
      <c r="XQ303" s="110"/>
      <c r="XR303" s="110"/>
      <c r="XS303" s="110"/>
      <c r="XT303" s="110"/>
      <c r="XU303" s="110"/>
      <c r="XV303" s="110"/>
      <c r="XW303" s="110"/>
      <c r="XX303" s="110"/>
      <c r="XY303" s="110"/>
      <c r="XZ303" s="110"/>
      <c r="YA303" s="110"/>
      <c r="YB303" s="110"/>
      <c r="YC303" s="110"/>
      <c r="YD303" s="110"/>
      <c r="YE303" s="110"/>
      <c r="YF303" s="110"/>
      <c r="YG303" s="110"/>
      <c r="YH303" s="110"/>
      <c r="YI303" s="110"/>
      <c r="YJ303" s="110"/>
      <c r="YK303" s="110"/>
      <c r="YL303" s="110"/>
      <c r="YM303" s="110"/>
      <c r="YN303" s="110"/>
      <c r="YO303" s="110"/>
      <c r="YP303" s="110"/>
      <c r="YQ303" s="110"/>
      <c r="YR303" s="110"/>
      <c r="YS303" s="110"/>
      <c r="YT303" s="110"/>
      <c r="YU303" s="110"/>
      <c r="YV303" s="110"/>
      <c r="YW303" s="110"/>
      <c r="YX303" s="110"/>
      <c r="YY303" s="110"/>
      <c r="YZ303" s="110"/>
      <c r="ZA303" s="110"/>
      <c r="ZB303" s="110"/>
      <c r="ZC303" s="110"/>
      <c r="ZD303" s="110"/>
      <c r="ZE303" s="110"/>
      <c r="ZF303" s="110"/>
      <c r="ZG303" s="110"/>
      <c r="ZH303" s="110"/>
      <c r="ZI303" s="110"/>
      <c r="ZJ303" s="110"/>
      <c r="ZK303" s="110"/>
      <c r="ZL303" s="110"/>
      <c r="ZM303" s="110"/>
      <c r="ZN303" s="110"/>
      <c r="ZO303" s="110"/>
      <c r="ZP303" s="110"/>
      <c r="ZQ303" s="110"/>
      <c r="ZR303" s="110"/>
      <c r="ZS303" s="110"/>
      <c r="ZT303" s="110"/>
      <c r="ZU303" s="110"/>
      <c r="ZV303" s="110"/>
      <c r="ZW303" s="110"/>
      <c r="ZX303" s="110"/>
      <c r="ZY303" s="110"/>
      <c r="ZZ303" s="110"/>
      <c r="AAA303" s="110"/>
      <c r="AAB303" s="110"/>
      <c r="AAC303" s="110"/>
      <c r="AAD303" s="110"/>
      <c r="AAE303" s="110"/>
      <c r="AAF303" s="110"/>
      <c r="AAG303" s="110"/>
      <c r="AAH303" s="110"/>
      <c r="AAI303" s="110"/>
      <c r="AAJ303" s="110"/>
      <c r="AAK303" s="110"/>
      <c r="AAL303" s="110"/>
      <c r="AAM303" s="110"/>
      <c r="AAN303" s="110"/>
      <c r="AAO303" s="110"/>
      <c r="AAP303" s="110"/>
      <c r="AAQ303" s="110"/>
      <c r="AAR303" s="110"/>
      <c r="AAS303" s="110"/>
      <c r="AAT303" s="110"/>
      <c r="AAU303" s="110"/>
      <c r="AAV303" s="110"/>
      <c r="AAW303" s="110"/>
      <c r="AAX303" s="110"/>
      <c r="AAY303" s="110"/>
      <c r="AAZ303" s="110"/>
      <c r="ABA303" s="110"/>
      <c r="ABB303" s="110"/>
      <c r="ABC303" s="110"/>
      <c r="ABD303" s="110"/>
      <c r="ABE303" s="110"/>
      <c r="ABF303" s="110"/>
      <c r="ABG303" s="110"/>
      <c r="ABH303" s="110"/>
      <c r="ABI303" s="110"/>
      <c r="ABJ303" s="110"/>
      <c r="ABK303" s="110"/>
      <c r="ABL303" s="110"/>
      <c r="ABM303" s="110"/>
      <c r="ABN303" s="110"/>
      <c r="ABO303" s="110"/>
      <c r="ABP303" s="110"/>
      <c r="ABQ303" s="110"/>
      <c r="ABR303" s="110"/>
      <c r="ABS303" s="110"/>
      <c r="ABT303" s="110"/>
      <c r="ABU303" s="110"/>
      <c r="ABV303" s="110"/>
      <c r="ABW303" s="110"/>
      <c r="ABX303" s="110"/>
      <c r="ABY303" s="110"/>
      <c r="ABZ303" s="110"/>
      <c r="ACA303" s="110"/>
      <c r="ACB303" s="110"/>
      <c r="ACC303" s="110"/>
      <c r="ACD303" s="110"/>
      <c r="ACE303" s="110"/>
      <c r="ACF303" s="110"/>
      <c r="ACG303" s="110"/>
      <c r="ACH303" s="110"/>
      <c r="ACI303" s="110"/>
      <c r="ACJ303" s="110"/>
      <c r="ACK303" s="110"/>
      <c r="ACL303" s="110"/>
      <c r="ACM303" s="110"/>
      <c r="ACN303" s="110"/>
      <c r="ACO303" s="110"/>
      <c r="ACP303" s="110"/>
      <c r="ACQ303" s="110"/>
      <c r="ACR303" s="110"/>
      <c r="ACS303" s="110"/>
      <c r="ACT303" s="110"/>
      <c r="ACU303" s="110"/>
      <c r="ACV303" s="110"/>
      <c r="ACW303" s="110"/>
      <c r="ACX303" s="110"/>
      <c r="ACY303" s="110"/>
      <c r="ACZ303" s="110"/>
      <c r="ADA303" s="110"/>
      <c r="ADB303" s="110"/>
      <c r="ADC303" s="110"/>
      <c r="ADD303" s="110"/>
      <c r="ADE303" s="110"/>
      <c r="ADF303" s="110"/>
      <c r="ADG303" s="110"/>
      <c r="ADH303" s="110"/>
      <c r="ADI303" s="110"/>
      <c r="ADJ303" s="110"/>
      <c r="ADK303" s="110"/>
      <c r="ADL303" s="110"/>
      <c r="ADM303" s="110"/>
      <c r="ADN303" s="110"/>
      <c r="ADO303" s="110"/>
      <c r="ADP303" s="110"/>
      <c r="ADQ303" s="110"/>
      <c r="ADR303" s="110"/>
      <c r="ADS303" s="110"/>
      <c r="ADT303" s="110"/>
      <c r="ADU303" s="110"/>
      <c r="ADV303" s="110"/>
      <c r="ADW303" s="110"/>
      <c r="ADX303" s="110"/>
      <c r="ADY303" s="110"/>
      <c r="ADZ303" s="110"/>
      <c r="AEA303" s="110"/>
      <c r="AEB303" s="110"/>
      <c r="AEC303" s="110"/>
      <c r="AED303" s="110"/>
      <c r="AEE303" s="110"/>
      <c r="AEF303" s="110"/>
      <c r="AEG303" s="110"/>
      <c r="AEH303" s="110"/>
      <c r="AEI303" s="110"/>
      <c r="AEJ303" s="110"/>
      <c r="AEK303" s="110"/>
      <c r="AEL303" s="110"/>
      <c r="AEM303" s="110"/>
      <c r="AEN303" s="110"/>
      <c r="AEO303" s="110"/>
      <c r="AEP303" s="110"/>
      <c r="AEQ303" s="110"/>
      <c r="AER303" s="110"/>
      <c r="AES303" s="110"/>
      <c r="AET303" s="110"/>
      <c r="AEU303" s="110"/>
      <c r="AEV303" s="110"/>
      <c r="AEW303" s="110"/>
      <c r="AEX303" s="110"/>
      <c r="AEY303" s="110"/>
      <c r="AEZ303" s="110"/>
      <c r="AFA303" s="110"/>
      <c r="AFB303" s="110"/>
      <c r="AFC303" s="110"/>
      <c r="AFD303" s="110"/>
      <c r="AFE303" s="110"/>
      <c r="AFF303" s="110"/>
      <c r="AFG303" s="110"/>
      <c r="AFH303" s="110"/>
      <c r="AFI303" s="110"/>
      <c r="AFJ303" s="110"/>
      <c r="AFK303" s="110"/>
      <c r="AFL303" s="110"/>
      <c r="AFM303" s="110"/>
      <c r="AFN303" s="110"/>
      <c r="AFO303" s="110"/>
      <c r="AFP303" s="110"/>
      <c r="AFQ303" s="110"/>
      <c r="AFR303" s="110"/>
      <c r="AFS303" s="110"/>
      <c r="AFT303" s="110"/>
      <c r="AFU303" s="110"/>
      <c r="AFV303" s="110"/>
      <c r="AFW303" s="110"/>
      <c r="AFX303" s="110"/>
      <c r="AFY303" s="110"/>
      <c r="AFZ303" s="110"/>
      <c r="AGA303" s="110"/>
      <c r="AGB303" s="110"/>
      <c r="AGC303" s="110"/>
      <c r="AGD303" s="110"/>
      <c r="AGE303" s="110"/>
      <c r="AGF303" s="110"/>
      <c r="AGG303" s="110"/>
      <c r="AGH303" s="110"/>
      <c r="AGI303" s="110"/>
      <c r="AGJ303" s="110"/>
      <c r="AGK303" s="110"/>
      <c r="AGL303" s="110"/>
      <c r="AGM303" s="110"/>
      <c r="AGN303" s="110"/>
      <c r="AGO303" s="110"/>
      <c r="AGP303" s="110"/>
      <c r="AGQ303" s="110"/>
      <c r="AGR303" s="110"/>
      <c r="AGS303" s="110"/>
      <c r="AGT303" s="110"/>
      <c r="AGU303" s="110"/>
      <c r="AGV303" s="110"/>
      <c r="AGW303" s="110"/>
      <c r="AGX303" s="110"/>
      <c r="AGY303" s="110"/>
      <c r="AGZ303" s="110"/>
      <c r="AHA303" s="110"/>
      <c r="AHB303" s="110"/>
      <c r="AHC303" s="110"/>
      <c r="AHD303" s="110"/>
      <c r="AHE303" s="110"/>
      <c r="AHF303" s="110"/>
      <c r="AHG303" s="110"/>
      <c r="AHH303" s="110"/>
      <c r="AHI303" s="110"/>
      <c r="AHJ303" s="110"/>
      <c r="AHK303" s="110"/>
      <c r="AHL303" s="110"/>
      <c r="AHM303" s="110"/>
      <c r="AHN303" s="110"/>
      <c r="AHO303" s="110"/>
      <c r="AHP303" s="110"/>
      <c r="AHQ303" s="110"/>
      <c r="AHR303" s="110"/>
      <c r="AHS303" s="110"/>
      <c r="AHT303" s="110"/>
      <c r="AHU303" s="110"/>
      <c r="AHV303" s="110"/>
      <c r="AHW303" s="110"/>
      <c r="AHX303" s="110"/>
      <c r="AHY303" s="110"/>
      <c r="AHZ303" s="110"/>
      <c r="AIA303" s="110"/>
      <c r="AIB303" s="110"/>
      <c r="AIC303" s="110"/>
      <c r="AID303" s="110"/>
      <c r="AIE303" s="110"/>
      <c r="AIF303" s="110"/>
      <c r="AIG303" s="110"/>
      <c r="AIH303" s="110"/>
      <c r="AII303" s="110"/>
      <c r="AIJ303" s="110"/>
      <c r="AIK303" s="110"/>
      <c r="AIL303" s="110"/>
      <c r="AIM303" s="110"/>
      <c r="AIN303" s="110"/>
      <c r="AIO303" s="110"/>
      <c r="AIP303" s="110"/>
      <c r="AIQ303" s="110"/>
      <c r="AIR303" s="110"/>
      <c r="AIS303" s="110"/>
      <c r="AIT303" s="110"/>
      <c r="AIU303" s="110"/>
      <c r="AIV303" s="110"/>
      <c r="AIW303" s="110"/>
      <c r="AIX303" s="110"/>
      <c r="AIY303" s="110"/>
      <c r="AIZ303" s="110"/>
      <c r="AJA303" s="110"/>
      <c r="AJB303" s="110"/>
      <c r="AJC303" s="110"/>
      <c r="AJD303" s="110"/>
      <c r="AJE303" s="110"/>
      <c r="AJF303" s="110"/>
      <c r="AJG303" s="110"/>
      <c r="AJH303" s="110"/>
      <c r="AJI303" s="110"/>
      <c r="AJJ303" s="110"/>
      <c r="AJK303" s="110"/>
      <c r="AJL303" s="110"/>
      <c r="AJM303" s="110"/>
      <c r="AJN303" s="110"/>
      <c r="AJO303" s="110"/>
      <c r="AJP303" s="110"/>
      <c r="AJQ303" s="110"/>
      <c r="AJR303" s="110"/>
      <c r="AJS303" s="110"/>
      <c r="AJT303" s="110"/>
      <c r="AJU303" s="110"/>
      <c r="AJV303" s="110"/>
      <c r="AJW303" s="110"/>
      <c r="AJX303" s="110"/>
      <c r="AJY303" s="110"/>
      <c r="AJZ303" s="110"/>
      <c r="AKA303" s="110"/>
      <c r="AKB303" s="110"/>
      <c r="AKC303" s="110"/>
      <c r="AKD303" s="110"/>
      <c r="AKE303" s="110"/>
      <c r="AKF303" s="110"/>
      <c r="AKG303" s="110"/>
      <c r="AKH303" s="110"/>
      <c r="AKI303" s="110"/>
      <c r="AKJ303" s="110"/>
      <c r="AKK303" s="110"/>
      <c r="AKL303" s="110"/>
      <c r="AKM303" s="110"/>
      <c r="AKN303" s="110"/>
      <c r="AKO303" s="110"/>
      <c r="AKP303" s="110"/>
      <c r="AKQ303" s="110"/>
      <c r="AKR303" s="110"/>
      <c r="AKS303" s="110"/>
      <c r="AKT303" s="110"/>
      <c r="AKU303" s="110"/>
      <c r="AKV303" s="110"/>
      <c r="AKW303" s="110"/>
      <c r="AKX303" s="110"/>
      <c r="AKY303" s="110"/>
      <c r="AKZ303" s="110"/>
      <c r="ALA303" s="110"/>
      <c r="ALB303" s="110"/>
      <c r="ALC303" s="110"/>
      <c r="ALD303" s="110"/>
      <c r="ALE303" s="110"/>
      <c r="ALF303" s="110"/>
      <c r="ALG303" s="110"/>
      <c r="ALH303" s="110"/>
      <c r="ALI303" s="110"/>
      <c r="ALJ303" s="110"/>
      <c r="ALK303" s="110"/>
      <c r="ALL303" s="110"/>
      <c r="ALM303" s="110"/>
      <c r="ALN303" s="110"/>
      <c r="ALO303" s="110"/>
      <c r="ALP303" s="110"/>
      <c r="ALQ303" s="110"/>
      <c r="ALR303" s="110"/>
      <c r="ALS303" s="110"/>
      <c r="ALT303" s="110"/>
      <c r="ALU303" s="110"/>
      <c r="ALV303" s="110"/>
      <c r="ALW303" s="110"/>
      <c r="ALX303" s="110"/>
      <c r="ALY303" s="110"/>
      <c r="ALZ303" s="110"/>
      <c r="AMA303" s="110"/>
      <c r="AMB303" s="110"/>
      <c r="AMC303" s="110"/>
      <c r="AMD303" s="110"/>
      <c r="AME303" s="110"/>
      <c r="AMF303" s="110"/>
    </row>
    <row r="304" spans="1:1020" s="142" customFormat="1" ht="11.25" customHeight="1">
      <c r="A304" s="123"/>
      <c r="B304" s="141">
        <v>1</v>
      </c>
      <c r="C304" s="126">
        <v>297</v>
      </c>
      <c r="D304" s="127" t="s">
        <v>478</v>
      </c>
      <c r="E304" s="194">
        <v>300</v>
      </c>
      <c r="F304" s="125">
        <f>ROUND(E304*Valores!$C$2,2)</f>
        <v>16335</v>
      </c>
      <c r="G304" s="192">
        <v>0</v>
      </c>
      <c r="H304" s="125">
        <f>ROUND(G304*Valores!$C$2,2)</f>
        <v>0</v>
      </c>
      <c r="I304" s="192">
        <v>0</v>
      </c>
      <c r="J304" s="125">
        <f>ROUND(I304*Valores!$C$2,2)</f>
        <v>0</v>
      </c>
      <c r="K304" s="192">
        <v>0</v>
      </c>
      <c r="L304" s="125">
        <f>ROUND(K304*Valores!$C$2,2)</f>
        <v>0</v>
      </c>
      <c r="M304" s="125">
        <f>ROUND(IF($H$2=0,IF(AND(A304&lt;&gt;"13-930",A304&lt;&gt;"13-940"),(SUM(F304,H304,J304,L304,X304,T304,R304)*Valores!$C$4),0),0),2)</f>
        <v>5299.5</v>
      </c>
      <c r="N304" s="125">
        <f t="shared" si="42"/>
        <v>0</v>
      </c>
      <c r="O304" s="125">
        <v>0</v>
      </c>
      <c r="P304" s="125">
        <v>0</v>
      </c>
      <c r="Q304" s="125">
        <v>0</v>
      </c>
      <c r="R304" s="125">
        <f>IF($F$4="NO",Valores!$C$49*5,Valores!$C$49*5/2)</f>
        <v>4863</v>
      </c>
      <c r="S304" s="125">
        <v>0</v>
      </c>
      <c r="T304" s="125">
        <f t="shared" si="51"/>
        <v>0</v>
      </c>
      <c r="U304" s="125">
        <v>0</v>
      </c>
      <c r="V304" s="125">
        <v>0</v>
      </c>
      <c r="W304" s="192">
        <v>0</v>
      </c>
      <c r="X304" s="125">
        <f>ROUND(W304*Valores!$C$2,2)</f>
        <v>0</v>
      </c>
      <c r="Y304" s="125">
        <v>0</v>
      </c>
      <c r="Z304" s="125">
        <v>0</v>
      </c>
      <c r="AA304" s="125">
        <v>0</v>
      </c>
      <c r="AB304" s="214">
        <v>0</v>
      </c>
      <c r="AC304" s="125">
        <f t="shared" si="43"/>
        <v>0</v>
      </c>
      <c r="AD304" s="125">
        <v>0</v>
      </c>
      <c r="AE304" s="192">
        <v>0</v>
      </c>
      <c r="AF304" s="125">
        <f>ROUND(AE304*Valores!$C$2,2)</f>
        <v>0</v>
      </c>
      <c r="AG304" s="125">
        <v>0</v>
      </c>
      <c r="AH304" s="125">
        <f t="shared" si="46"/>
        <v>26497.5</v>
      </c>
      <c r="AI304" s="125">
        <v>0</v>
      </c>
      <c r="AJ304" s="125">
        <v>0</v>
      </c>
      <c r="AK304" s="125">
        <v>0</v>
      </c>
      <c r="AL304" s="125">
        <v>0</v>
      </c>
      <c r="AM304" s="125">
        <f t="shared" si="44"/>
        <v>0</v>
      </c>
      <c r="AN304" s="125">
        <f>AH304*Valores!$C$71</f>
        <v>-2914.725</v>
      </c>
      <c r="AO304" s="125">
        <f>AH304*-Valores!$C$72</f>
        <v>0</v>
      </c>
      <c r="AP304" s="125">
        <f>AH304*Valores!$C$73</f>
        <v>-1192.3875</v>
      </c>
      <c r="AQ304" s="125">
        <v>0</v>
      </c>
      <c r="AR304" s="125">
        <v>0</v>
      </c>
      <c r="AS304" s="125">
        <f t="shared" si="47"/>
        <v>22390.3875</v>
      </c>
      <c r="AT304" s="125">
        <f t="shared" si="41"/>
        <v>-2914.725</v>
      </c>
      <c r="AU304" s="125">
        <f>AH304*Valores!$C$74</f>
        <v>-715.4325</v>
      </c>
      <c r="AV304" s="125">
        <f>AH304*Valores!$C$75</f>
        <v>-79.4925</v>
      </c>
      <c r="AW304" s="125">
        <f t="shared" si="45"/>
        <v>22787.85</v>
      </c>
      <c r="AX304" s="126"/>
      <c r="AY304" s="126"/>
      <c r="AZ304" s="123" t="s">
        <v>4</v>
      </c>
      <c r="BA304" s="110"/>
      <c r="BB304" s="110"/>
      <c r="BC304" s="110"/>
      <c r="BD304" s="110"/>
      <c r="BE304" s="110"/>
      <c r="BF304" s="110"/>
      <c r="BG304" s="110"/>
      <c r="BH304" s="110"/>
      <c r="BI304" s="110"/>
      <c r="BJ304" s="110"/>
      <c r="BK304" s="110"/>
      <c r="BL304" s="110"/>
      <c r="BM304" s="110"/>
      <c r="BN304" s="110"/>
      <c r="BO304" s="110"/>
      <c r="BP304" s="110"/>
      <c r="BQ304" s="110"/>
      <c r="BR304" s="110"/>
      <c r="BS304" s="110"/>
      <c r="BT304" s="110"/>
      <c r="BU304" s="110"/>
      <c r="BV304" s="110"/>
      <c r="BW304" s="110"/>
      <c r="BX304" s="110"/>
      <c r="BY304" s="110"/>
      <c r="BZ304" s="110"/>
      <c r="CA304" s="110"/>
      <c r="CB304" s="110"/>
      <c r="CC304" s="110"/>
      <c r="CD304" s="110"/>
      <c r="CE304" s="110"/>
      <c r="CF304" s="110"/>
      <c r="CG304" s="110"/>
      <c r="CH304" s="110"/>
      <c r="CI304" s="110"/>
      <c r="CJ304" s="110"/>
      <c r="CK304" s="110"/>
      <c r="CL304" s="110"/>
      <c r="CM304" s="110"/>
      <c r="CN304" s="110"/>
      <c r="CO304" s="110"/>
      <c r="CP304" s="110"/>
      <c r="CQ304" s="110"/>
      <c r="CR304" s="110"/>
      <c r="CS304" s="110"/>
      <c r="CT304" s="110"/>
      <c r="CU304" s="110"/>
      <c r="CV304" s="110"/>
      <c r="CW304" s="110"/>
      <c r="CX304" s="110"/>
      <c r="CY304" s="110"/>
      <c r="CZ304" s="110"/>
      <c r="DA304" s="110"/>
      <c r="DB304" s="110"/>
      <c r="DC304" s="110"/>
      <c r="DD304" s="110"/>
      <c r="DE304" s="110"/>
      <c r="DF304" s="110"/>
      <c r="DG304" s="110"/>
      <c r="DH304" s="110"/>
      <c r="DI304" s="110"/>
      <c r="DJ304" s="110"/>
      <c r="DK304" s="110"/>
      <c r="DL304" s="110"/>
      <c r="DM304" s="110"/>
      <c r="DN304" s="110"/>
      <c r="DO304" s="110"/>
      <c r="DP304" s="110"/>
      <c r="DQ304" s="110"/>
      <c r="DR304" s="110"/>
      <c r="DS304" s="110"/>
      <c r="DT304" s="110"/>
      <c r="DU304" s="110"/>
      <c r="DV304" s="110"/>
      <c r="DW304" s="110"/>
      <c r="DX304" s="110"/>
      <c r="DY304" s="110"/>
      <c r="DZ304" s="110"/>
      <c r="EA304" s="110"/>
      <c r="EB304" s="110"/>
      <c r="EC304" s="110"/>
      <c r="ED304" s="110"/>
      <c r="EE304" s="110"/>
      <c r="EF304" s="110"/>
      <c r="EG304" s="110"/>
      <c r="EH304" s="110"/>
      <c r="EI304" s="110"/>
      <c r="EJ304" s="110"/>
      <c r="EK304" s="110"/>
      <c r="EL304" s="110"/>
      <c r="EM304" s="110"/>
      <c r="EN304" s="110"/>
      <c r="EO304" s="110"/>
      <c r="EP304" s="110"/>
      <c r="EQ304" s="110"/>
      <c r="ER304" s="110"/>
      <c r="ES304" s="110"/>
      <c r="ET304" s="110"/>
      <c r="EU304" s="110"/>
      <c r="EV304" s="110"/>
      <c r="EW304" s="110"/>
      <c r="EX304" s="110"/>
      <c r="EY304" s="110"/>
      <c r="EZ304" s="110"/>
      <c r="FA304" s="110"/>
      <c r="FB304" s="110"/>
      <c r="FC304" s="110"/>
      <c r="FD304" s="110"/>
      <c r="FE304" s="110"/>
      <c r="FF304" s="110"/>
      <c r="FG304" s="110"/>
      <c r="FH304" s="110"/>
      <c r="FI304" s="110"/>
      <c r="FJ304" s="110"/>
      <c r="FK304" s="110"/>
      <c r="FL304" s="110"/>
      <c r="FM304" s="110"/>
      <c r="FN304" s="110"/>
      <c r="FO304" s="110"/>
      <c r="FP304" s="110"/>
      <c r="FQ304" s="110"/>
      <c r="FR304" s="110"/>
      <c r="FS304" s="110"/>
      <c r="FT304" s="110"/>
      <c r="FU304" s="110"/>
      <c r="FV304" s="110"/>
      <c r="FW304" s="110"/>
      <c r="FX304" s="110"/>
      <c r="FY304" s="110"/>
      <c r="FZ304" s="110"/>
      <c r="GA304" s="110"/>
      <c r="GB304" s="110"/>
      <c r="GC304" s="110"/>
      <c r="GD304" s="110"/>
      <c r="GE304" s="110"/>
      <c r="GF304" s="110"/>
      <c r="GG304" s="110"/>
      <c r="GH304" s="110"/>
      <c r="GI304" s="110"/>
      <c r="GJ304" s="110"/>
      <c r="GK304" s="110"/>
      <c r="GL304" s="110"/>
      <c r="GM304" s="110"/>
      <c r="GN304" s="110"/>
      <c r="GO304" s="110"/>
      <c r="GP304" s="110"/>
      <c r="GQ304" s="110"/>
      <c r="GR304" s="110"/>
      <c r="GS304" s="110"/>
      <c r="GT304" s="110"/>
      <c r="GU304" s="110"/>
      <c r="GV304" s="110"/>
      <c r="GW304" s="110"/>
      <c r="GX304" s="110"/>
      <c r="GY304" s="110"/>
      <c r="GZ304" s="110"/>
      <c r="HA304" s="110"/>
      <c r="HB304" s="110"/>
      <c r="HC304" s="110"/>
      <c r="HD304" s="110"/>
      <c r="HE304" s="110"/>
      <c r="HF304" s="110"/>
      <c r="HG304" s="110"/>
      <c r="HH304" s="110"/>
      <c r="HI304" s="110"/>
      <c r="HJ304" s="110"/>
      <c r="HK304" s="110"/>
      <c r="HL304" s="110"/>
      <c r="HM304" s="110"/>
      <c r="HN304" s="110"/>
      <c r="HO304" s="110"/>
      <c r="HP304" s="110"/>
      <c r="HQ304" s="110"/>
      <c r="HR304" s="110"/>
      <c r="HS304" s="110"/>
      <c r="HT304" s="110"/>
      <c r="HU304" s="110"/>
      <c r="HV304" s="110"/>
      <c r="HW304" s="110"/>
      <c r="HX304" s="110"/>
      <c r="HY304" s="110"/>
      <c r="HZ304" s="110"/>
      <c r="IA304" s="110"/>
      <c r="IB304" s="110"/>
      <c r="IC304" s="110"/>
      <c r="ID304" s="110"/>
      <c r="IE304" s="110"/>
      <c r="IF304" s="110"/>
      <c r="IG304" s="110"/>
      <c r="IH304" s="110"/>
      <c r="II304" s="110"/>
      <c r="IJ304" s="110"/>
      <c r="IK304" s="110"/>
      <c r="IL304" s="110"/>
      <c r="IM304" s="110"/>
      <c r="IN304" s="110"/>
      <c r="IO304" s="110"/>
      <c r="IP304" s="110"/>
      <c r="IQ304" s="110"/>
      <c r="IR304" s="110"/>
      <c r="IS304" s="110"/>
      <c r="IT304" s="110"/>
      <c r="IU304" s="110"/>
      <c r="IV304" s="110"/>
      <c r="IW304" s="110"/>
      <c r="IX304" s="110"/>
      <c r="IY304" s="110"/>
      <c r="IZ304" s="110"/>
      <c r="JA304" s="110"/>
      <c r="JB304" s="110"/>
      <c r="JC304" s="110"/>
      <c r="JD304" s="110"/>
      <c r="JE304" s="110"/>
      <c r="JF304" s="110"/>
      <c r="JG304" s="110"/>
      <c r="JH304" s="110"/>
      <c r="JI304" s="110"/>
      <c r="JJ304" s="110"/>
      <c r="JK304" s="110"/>
      <c r="JL304" s="110"/>
      <c r="JM304" s="110"/>
      <c r="JN304" s="110"/>
      <c r="JO304" s="110"/>
      <c r="JP304" s="110"/>
      <c r="JQ304" s="110"/>
      <c r="JR304" s="110"/>
      <c r="JS304" s="110"/>
      <c r="JT304" s="110"/>
      <c r="JU304" s="110"/>
      <c r="JV304" s="110"/>
      <c r="JW304" s="110"/>
      <c r="JX304" s="110"/>
      <c r="JY304" s="110"/>
      <c r="JZ304" s="110"/>
      <c r="KA304" s="110"/>
      <c r="KB304" s="110"/>
      <c r="KC304" s="110"/>
      <c r="KD304" s="110"/>
      <c r="KE304" s="110"/>
      <c r="KF304" s="110"/>
      <c r="KG304" s="110"/>
      <c r="KH304" s="110"/>
      <c r="KI304" s="110"/>
      <c r="KJ304" s="110"/>
      <c r="KK304" s="110"/>
      <c r="KL304" s="110"/>
      <c r="KM304" s="110"/>
      <c r="KN304" s="110"/>
      <c r="KO304" s="110"/>
      <c r="KP304" s="110"/>
      <c r="KQ304" s="110"/>
      <c r="KR304" s="110"/>
      <c r="KS304" s="110"/>
      <c r="KT304" s="110"/>
      <c r="KU304" s="110"/>
      <c r="KV304" s="110"/>
      <c r="KW304" s="110"/>
      <c r="KX304" s="110"/>
      <c r="KY304" s="110"/>
      <c r="KZ304" s="110"/>
      <c r="LA304" s="110"/>
      <c r="LB304" s="110"/>
      <c r="LC304" s="110"/>
      <c r="LD304" s="110"/>
      <c r="LE304" s="110"/>
      <c r="LF304" s="110"/>
      <c r="LG304" s="110"/>
      <c r="LH304" s="110"/>
      <c r="LI304" s="110"/>
      <c r="LJ304" s="110"/>
      <c r="LK304" s="110"/>
      <c r="LL304" s="110"/>
      <c r="LM304" s="110"/>
      <c r="LN304" s="110"/>
      <c r="LO304" s="110"/>
      <c r="LP304" s="110"/>
      <c r="LQ304" s="110"/>
      <c r="LR304" s="110"/>
      <c r="LS304" s="110"/>
      <c r="LT304" s="110"/>
      <c r="LU304" s="110"/>
      <c r="LV304" s="110"/>
      <c r="LW304" s="110"/>
      <c r="LX304" s="110"/>
      <c r="LY304" s="110"/>
      <c r="LZ304" s="110"/>
      <c r="MA304" s="110"/>
      <c r="MB304" s="110"/>
      <c r="MC304" s="110"/>
      <c r="MD304" s="110"/>
      <c r="ME304" s="110"/>
      <c r="MF304" s="110"/>
      <c r="MG304" s="110"/>
      <c r="MH304" s="110"/>
      <c r="MI304" s="110"/>
      <c r="MJ304" s="110"/>
      <c r="MK304" s="110"/>
      <c r="ML304" s="110"/>
      <c r="MM304" s="110"/>
      <c r="MN304" s="110"/>
      <c r="MO304" s="110"/>
      <c r="MP304" s="110"/>
      <c r="MQ304" s="110"/>
      <c r="MR304" s="110"/>
      <c r="MS304" s="110"/>
      <c r="MT304" s="110"/>
      <c r="MU304" s="110"/>
      <c r="MV304" s="110"/>
      <c r="MW304" s="110"/>
      <c r="MX304" s="110"/>
      <c r="MY304" s="110"/>
      <c r="MZ304" s="110"/>
      <c r="NA304" s="110"/>
      <c r="NB304" s="110"/>
      <c r="NC304" s="110"/>
      <c r="ND304" s="110"/>
      <c r="NE304" s="110"/>
      <c r="NF304" s="110"/>
      <c r="NG304" s="110"/>
      <c r="NH304" s="110"/>
      <c r="NI304" s="110"/>
      <c r="NJ304" s="110"/>
      <c r="NK304" s="110"/>
      <c r="NL304" s="110"/>
      <c r="NM304" s="110"/>
      <c r="NN304" s="110"/>
      <c r="NO304" s="110"/>
      <c r="NP304" s="110"/>
      <c r="NQ304" s="110"/>
      <c r="NR304" s="110"/>
      <c r="NS304" s="110"/>
      <c r="NT304" s="110"/>
      <c r="NU304" s="110"/>
      <c r="NV304" s="110"/>
      <c r="NW304" s="110"/>
      <c r="NX304" s="110"/>
      <c r="NY304" s="110"/>
      <c r="NZ304" s="110"/>
      <c r="OA304" s="110"/>
      <c r="OB304" s="110"/>
      <c r="OC304" s="110"/>
      <c r="OD304" s="110"/>
      <c r="OE304" s="110"/>
      <c r="OF304" s="110"/>
      <c r="OG304" s="110"/>
      <c r="OH304" s="110"/>
      <c r="OI304" s="110"/>
      <c r="OJ304" s="110"/>
      <c r="OK304" s="110"/>
      <c r="OL304" s="110"/>
      <c r="OM304" s="110"/>
      <c r="ON304" s="110"/>
      <c r="OO304" s="110"/>
      <c r="OP304" s="110"/>
      <c r="OQ304" s="110"/>
      <c r="OR304" s="110"/>
      <c r="OS304" s="110"/>
      <c r="OT304" s="110"/>
      <c r="OU304" s="110"/>
      <c r="OV304" s="110"/>
      <c r="OW304" s="110"/>
      <c r="OX304" s="110"/>
      <c r="OY304" s="110"/>
      <c r="OZ304" s="110"/>
      <c r="PA304" s="110"/>
      <c r="PB304" s="110"/>
      <c r="PC304" s="110"/>
      <c r="PD304" s="110"/>
      <c r="PE304" s="110"/>
      <c r="PF304" s="110"/>
      <c r="PG304" s="110"/>
      <c r="PH304" s="110"/>
      <c r="PI304" s="110"/>
      <c r="PJ304" s="110"/>
      <c r="PK304" s="110"/>
      <c r="PL304" s="110"/>
      <c r="PM304" s="110"/>
      <c r="PN304" s="110"/>
      <c r="PO304" s="110"/>
      <c r="PP304" s="110"/>
      <c r="PQ304" s="110"/>
      <c r="PR304" s="110"/>
      <c r="PS304" s="110"/>
      <c r="PT304" s="110"/>
      <c r="PU304" s="110"/>
      <c r="PV304" s="110"/>
      <c r="PW304" s="110"/>
      <c r="PX304" s="110"/>
      <c r="PY304" s="110"/>
      <c r="PZ304" s="110"/>
      <c r="QA304" s="110"/>
      <c r="QB304" s="110"/>
      <c r="QC304" s="110"/>
      <c r="QD304" s="110"/>
      <c r="QE304" s="110"/>
      <c r="QF304" s="110"/>
      <c r="QG304" s="110"/>
      <c r="QH304" s="110"/>
      <c r="QI304" s="110"/>
      <c r="QJ304" s="110"/>
      <c r="QK304" s="110"/>
      <c r="QL304" s="110"/>
      <c r="QM304" s="110"/>
      <c r="QN304" s="110"/>
      <c r="QO304" s="110"/>
      <c r="QP304" s="110"/>
      <c r="QQ304" s="110"/>
      <c r="QR304" s="110"/>
      <c r="QS304" s="110"/>
      <c r="QT304" s="110"/>
      <c r="QU304" s="110"/>
      <c r="QV304" s="110"/>
      <c r="QW304" s="110"/>
      <c r="QX304" s="110"/>
      <c r="QY304" s="110"/>
      <c r="QZ304" s="110"/>
      <c r="RA304" s="110"/>
      <c r="RB304" s="110"/>
      <c r="RC304" s="110"/>
      <c r="RD304" s="110"/>
      <c r="RE304" s="110"/>
      <c r="RF304" s="110"/>
      <c r="RG304" s="110"/>
      <c r="RH304" s="110"/>
      <c r="RI304" s="110"/>
      <c r="RJ304" s="110"/>
      <c r="RK304" s="110"/>
      <c r="RL304" s="110"/>
      <c r="RM304" s="110"/>
      <c r="RN304" s="110"/>
      <c r="RO304" s="110"/>
      <c r="RP304" s="110"/>
      <c r="RQ304" s="110"/>
      <c r="RR304" s="110"/>
      <c r="RS304" s="110"/>
      <c r="RT304" s="110"/>
      <c r="RU304" s="110"/>
      <c r="RV304" s="110"/>
      <c r="RW304" s="110"/>
      <c r="RX304" s="110"/>
      <c r="RY304" s="110"/>
      <c r="RZ304" s="110"/>
      <c r="SA304" s="110"/>
      <c r="SB304" s="110"/>
      <c r="SC304" s="110"/>
      <c r="SD304" s="110"/>
      <c r="SE304" s="110"/>
      <c r="SF304" s="110"/>
      <c r="SG304" s="110"/>
      <c r="SH304" s="110"/>
      <c r="SI304" s="110"/>
      <c r="SJ304" s="110"/>
      <c r="SK304" s="110"/>
      <c r="SL304" s="110"/>
      <c r="SM304" s="110"/>
      <c r="SN304" s="110"/>
      <c r="SO304" s="110"/>
      <c r="SP304" s="110"/>
      <c r="SQ304" s="110"/>
      <c r="SR304" s="110"/>
      <c r="SS304" s="110"/>
      <c r="ST304" s="110"/>
      <c r="SU304" s="110"/>
      <c r="SV304" s="110"/>
      <c r="SW304" s="110"/>
      <c r="SX304" s="110"/>
      <c r="SY304" s="110"/>
      <c r="SZ304" s="110"/>
      <c r="TA304" s="110"/>
      <c r="TB304" s="110"/>
      <c r="TC304" s="110"/>
      <c r="TD304" s="110"/>
      <c r="TE304" s="110"/>
      <c r="TF304" s="110"/>
      <c r="TG304" s="110"/>
      <c r="TH304" s="110"/>
      <c r="TI304" s="110"/>
      <c r="TJ304" s="110"/>
      <c r="TK304" s="110"/>
      <c r="TL304" s="110"/>
      <c r="TM304" s="110"/>
      <c r="TN304" s="110"/>
      <c r="TO304" s="110"/>
      <c r="TP304" s="110"/>
      <c r="TQ304" s="110"/>
      <c r="TR304" s="110"/>
      <c r="TS304" s="110"/>
      <c r="TT304" s="110"/>
      <c r="TU304" s="110"/>
      <c r="TV304" s="110"/>
      <c r="TW304" s="110"/>
      <c r="TX304" s="110"/>
      <c r="TY304" s="110"/>
      <c r="TZ304" s="110"/>
      <c r="UA304" s="110"/>
      <c r="UB304" s="110"/>
      <c r="UC304" s="110"/>
      <c r="UD304" s="110"/>
      <c r="UE304" s="110"/>
      <c r="UF304" s="110"/>
      <c r="UG304" s="110"/>
      <c r="UH304" s="110"/>
      <c r="UI304" s="110"/>
      <c r="UJ304" s="110"/>
      <c r="UK304" s="110"/>
      <c r="UL304" s="110"/>
      <c r="UM304" s="110"/>
      <c r="UN304" s="110"/>
      <c r="UO304" s="110"/>
      <c r="UP304" s="110"/>
      <c r="UQ304" s="110"/>
      <c r="UR304" s="110"/>
      <c r="US304" s="110"/>
      <c r="UT304" s="110"/>
      <c r="UU304" s="110"/>
      <c r="UV304" s="110"/>
      <c r="UW304" s="110"/>
      <c r="UX304" s="110"/>
      <c r="UY304" s="110"/>
      <c r="UZ304" s="110"/>
      <c r="VA304" s="110"/>
      <c r="VB304" s="110"/>
      <c r="VC304" s="110"/>
      <c r="VD304" s="110"/>
      <c r="VE304" s="110"/>
      <c r="VF304" s="110"/>
      <c r="VG304" s="110"/>
      <c r="VH304" s="110"/>
      <c r="VI304" s="110"/>
      <c r="VJ304" s="110"/>
      <c r="VK304" s="110"/>
      <c r="VL304" s="110"/>
      <c r="VM304" s="110"/>
      <c r="VN304" s="110"/>
      <c r="VO304" s="110"/>
      <c r="VP304" s="110"/>
      <c r="VQ304" s="110"/>
      <c r="VR304" s="110"/>
      <c r="VS304" s="110"/>
      <c r="VT304" s="110"/>
      <c r="VU304" s="110"/>
      <c r="VV304" s="110"/>
      <c r="VW304" s="110"/>
      <c r="VX304" s="110"/>
      <c r="VY304" s="110"/>
      <c r="VZ304" s="110"/>
      <c r="WA304" s="110"/>
      <c r="WB304" s="110"/>
      <c r="WC304" s="110"/>
      <c r="WD304" s="110"/>
      <c r="WE304" s="110"/>
      <c r="WF304" s="110"/>
      <c r="WG304" s="110"/>
      <c r="WH304" s="110"/>
      <c r="WI304" s="110"/>
      <c r="WJ304" s="110"/>
      <c r="WK304" s="110"/>
      <c r="WL304" s="110"/>
      <c r="WM304" s="110"/>
      <c r="WN304" s="110"/>
      <c r="WO304" s="110"/>
      <c r="WP304" s="110"/>
      <c r="WQ304" s="110"/>
      <c r="WR304" s="110"/>
      <c r="WS304" s="110"/>
      <c r="WT304" s="110"/>
      <c r="WU304" s="110"/>
      <c r="WV304" s="110"/>
      <c r="WW304" s="110"/>
      <c r="WX304" s="110"/>
      <c r="WY304" s="110"/>
      <c r="WZ304" s="110"/>
      <c r="XA304" s="110"/>
      <c r="XB304" s="110"/>
      <c r="XC304" s="110"/>
      <c r="XD304" s="110"/>
      <c r="XE304" s="110"/>
      <c r="XF304" s="110"/>
      <c r="XG304" s="110"/>
      <c r="XH304" s="110"/>
      <c r="XI304" s="110"/>
      <c r="XJ304" s="110"/>
      <c r="XK304" s="110"/>
      <c r="XL304" s="110"/>
      <c r="XM304" s="110"/>
      <c r="XN304" s="110"/>
      <c r="XO304" s="110"/>
      <c r="XP304" s="110"/>
      <c r="XQ304" s="110"/>
      <c r="XR304" s="110"/>
      <c r="XS304" s="110"/>
      <c r="XT304" s="110"/>
      <c r="XU304" s="110"/>
      <c r="XV304" s="110"/>
      <c r="XW304" s="110"/>
      <c r="XX304" s="110"/>
      <c r="XY304" s="110"/>
      <c r="XZ304" s="110"/>
      <c r="YA304" s="110"/>
      <c r="YB304" s="110"/>
      <c r="YC304" s="110"/>
      <c r="YD304" s="110"/>
      <c r="YE304" s="110"/>
      <c r="YF304" s="110"/>
      <c r="YG304" s="110"/>
      <c r="YH304" s="110"/>
      <c r="YI304" s="110"/>
      <c r="YJ304" s="110"/>
      <c r="YK304" s="110"/>
      <c r="YL304" s="110"/>
      <c r="YM304" s="110"/>
      <c r="YN304" s="110"/>
      <c r="YO304" s="110"/>
      <c r="YP304" s="110"/>
      <c r="YQ304" s="110"/>
      <c r="YR304" s="110"/>
      <c r="YS304" s="110"/>
      <c r="YT304" s="110"/>
      <c r="YU304" s="110"/>
      <c r="YV304" s="110"/>
      <c r="YW304" s="110"/>
      <c r="YX304" s="110"/>
      <c r="YY304" s="110"/>
      <c r="YZ304" s="110"/>
      <c r="ZA304" s="110"/>
      <c r="ZB304" s="110"/>
      <c r="ZC304" s="110"/>
      <c r="ZD304" s="110"/>
      <c r="ZE304" s="110"/>
      <c r="ZF304" s="110"/>
      <c r="ZG304" s="110"/>
      <c r="ZH304" s="110"/>
      <c r="ZI304" s="110"/>
      <c r="ZJ304" s="110"/>
      <c r="ZK304" s="110"/>
      <c r="ZL304" s="110"/>
      <c r="ZM304" s="110"/>
      <c r="ZN304" s="110"/>
      <c r="ZO304" s="110"/>
      <c r="ZP304" s="110"/>
      <c r="ZQ304" s="110"/>
      <c r="ZR304" s="110"/>
      <c r="ZS304" s="110"/>
      <c r="ZT304" s="110"/>
      <c r="ZU304" s="110"/>
      <c r="ZV304" s="110"/>
      <c r="ZW304" s="110"/>
      <c r="ZX304" s="110"/>
      <c r="ZY304" s="110"/>
      <c r="ZZ304" s="110"/>
      <c r="AAA304" s="110"/>
      <c r="AAB304" s="110"/>
      <c r="AAC304" s="110"/>
      <c r="AAD304" s="110"/>
      <c r="AAE304" s="110"/>
      <c r="AAF304" s="110"/>
      <c r="AAG304" s="110"/>
      <c r="AAH304" s="110"/>
      <c r="AAI304" s="110"/>
      <c r="AAJ304" s="110"/>
      <c r="AAK304" s="110"/>
      <c r="AAL304" s="110"/>
      <c r="AAM304" s="110"/>
      <c r="AAN304" s="110"/>
      <c r="AAO304" s="110"/>
      <c r="AAP304" s="110"/>
      <c r="AAQ304" s="110"/>
      <c r="AAR304" s="110"/>
      <c r="AAS304" s="110"/>
      <c r="AAT304" s="110"/>
      <c r="AAU304" s="110"/>
      <c r="AAV304" s="110"/>
      <c r="AAW304" s="110"/>
      <c r="AAX304" s="110"/>
      <c r="AAY304" s="110"/>
      <c r="AAZ304" s="110"/>
      <c r="ABA304" s="110"/>
      <c r="ABB304" s="110"/>
      <c r="ABC304" s="110"/>
      <c r="ABD304" s="110"/>
      <c r="ABE304" s="110"/>
      <c r="ABF304" s="110"/>
      <c r="ABG304" s="110"/>
      <c r="ABH304" s="110"/>
      <c r="ABI304" s="110"/>
      <c r="ABJ304" s="110"/>
      <c r="ABK304" s="110"/>
      <c r="ABL304" s="110"/>
      <c r="ABM304" s="110"/>
      <c r="ABN304" s="110"/>
      <c r="ABO304" s="110"/>
      <c r="ABP304" s="110"/>
      <c r="ABQ304" s="110"/>
      <c r="ABR304" s="110"/>
      <c r="ABS304" s="110"/>
      <c r="ABT304" s="110"/>
      <c r="ABU304" s="110"/>
      <c r="ABV304" s="110"/>
      <c r="ABW304" s="110"/>
      <c r="ABX304" s="110"/>
      <c r="ABY304" s="110"/>
      <c r="ABZ304" s="110"/>
      <c r="ACA304" s="110"/>
      <c r="ACB304" s="110"/>
      <c r="ACC304" s="110"/>
      <c r="ACD304" s="110"/>
      <c r="ACE304" s="110"/>
      <c r="ACF304" s="110"/>
      <c r="ACG304" s="110"/>
      <c r="ACH304" s="110"/>
      <c r="ACI304" s="110"/>
      <c r="ACJ304" s="110"/>
      <c r="ACK304" s="110"/>
      <c r="ACL304" s="110"/>
      <c r="ACM304" s="110"/>
      <c r="ACN304" s="110"/>
      <c r="ACO304" s="110"/>
      <c r="ACP304" s="110"/>
      <c r="ACQ304" s="110"/>
      <c r="ACR304" s="110"/>
      <c r="ACS304" s="110"/>
      <c r="ACT304" s="110"/>
      <c r="ACU304" s="110"/>
      <c r="ACV304" s="110"/>
      <c r="ACW304" s="110"/>
      <c r="ACX304" s="110"/>
      <c r="ACY304" s="110"/>
      <c r="ACZ304" s="110"/>
      <c r="ADA304" s="110"/>
      <c r="ADB304" s="110"/>
      <c r="ADC304" s="110"/>
      <c r="ADD304" s="110"/>
      <c r="ADE304" s="110"/>
      <c r="ADF304" s="110"/>
      <c r="ADG304" s="110"/>
      <c r="ADH304" s="110"/>
      <c r="ADI304" s="110"/>
      <c r="ADJ304" s="110"/>
      <c r="ADK304" s="110"/>
      <c r="ADL304" s="110"/>
      <c r="ADM304" s="110"/>
      <c r="ADN304" s="110"/>
      <c r="ADO304" s="110"/>
      <c r="ADP304" s="110"/>
      <c r="ADQ304" s="110"/>
      <c r="ADR304" s="110"/>
      <c r="ADS304" s="110"/>
      <c r="ADT304" s="110"/>
      <c r="ADU304" s="110"/>
      <c r="ADV304" s="110"/>
      <c r="ADW304" s="110"/>
      <c r="ADX304" s="110"/>
      <c r="ADY304" s="110"/>
      <c r="ADZ304" s="110"/>
      <c r="AEA304" s="110"/>
      <c r="AEB304" s="110"/>
      <c r="AEC304" s="110"/>
      <c r="AED304" s="110"/>
      <c r="AEE304" s="110"/>
      <c r="AEF304" s="110"/>
      <c r="AEG304" s="110"/>
      <c r="AEH304" s="110"/>
      <c r="AEI304" s="110"/>
      <c r="AEJ304" s="110"/>
      <c r="AEK304" s="110"/>
      <c r="AEL304" s="110"/>
      <c r="AEM304" s="110"/>
      <c r="AEN304" s="110"/>
      <c r="AEO304" s="110"/>
      <c r="AEP304" s="110"/>
      <c r="AEQ304" s="110"/>
      <c r="AER304" s="110"/>
      <c r="AES304" s="110"/>
      <c r="AET304" s="110"/>
      <c r="AEU304" s="110"/>
      <c r="AEV304" s="110"/>
      <c r="AEW304" s="110"/>
      <c r="AEX304" s="110"/>
      <c r="AEY304" s="110"/>
      <c r="AEZ304" s="110"/>
      <c r="AFA304" s="110"/>
      <c r="AFB304" s="110"/>
      <c r="AFC304" s="110"/>
      <c r="AFD304" s="110"/>
      <c r="AFE304" s="110"/>
      <c r="AFF304" s="110"/>
      <c r="AFG304" s="110"/>
      <c r="AFH304" s="110"/>
      <c r="AFI304" s="110"/>
      <c r="AFJ304" s="110"/>
      <c r="AFK304" s="110"/>
      <c r="AFL304" s="110"/>
      <c r="AFM304" s="110"/>
      <c r="AFN304" s="110"/>
      <c r="AFO304" s="110"/>
      <c r="AFP304" s="110"/>
      <c r="AFQ304" s="110"/>
      <c r="AFR304" s="110"/>
      <c r="AFS304" s="110"/>
      <c r="AFT304" s="110"/>
      <c r="AFU304" s="110"/>
      <c r="AFV304" s="110"/>
      <c r="AFW304" s="110"/>
      <c r="AFX304" s="110"/>
      <c r="AFY304" s="110"/>
      <c r="AFZ304" s="110"/>
      <c r="AGA304" s="110"/>
      <c r="AGB304" s="110"/>
      <c r="AGC304" s="110"/>
      <c r="AGD304" s="110"/>
      <c r="AGE304" s="110"/>
      <c r="AGF304" s="110"/>
      <c r="AGG304" s="110"/>
      <c r="AGH304" s="110"/>
      <c r="AGI304" s="110"/>
      <c r="AGJ304" s="110"/>
      <c r="AGK304" s="110"/>
      <c r="AGL304" s="110"/>
      <c r="AGM304" s="110"/>
      <c r="AGN304" s="110"/>
      <c r="AGO304" s="110"/>
      <c r="AGP304" s="110"/>
      <c r="AGQ304" s="110"/>
      <c r="AGR304" s="110"/>
      <c r="AGS304" s="110"/>
      <c r="AGT304" s="110"/>
      <c r="AGU304" s="110"/>
      <c r="AGV304" s="110"/>
      <c r="AGW304" s="110"/>
      <c r="AGX304" s="110"/>
      <c r="AGY304" s="110"/>
      <c r="AGZ304" s="110"/>
      <c r="AHA304" s="110"/>
      <c r="AHB304" s="110"/>
      <c r="AHC304" s="110"/>
      <c r="AHD304" s="110"/>
      <c r="AHE304" s="110"/>
      <c r="AHF304" s="110"/>
      <c r="AHG304" s="110"/>
      <c r="AHH304" s="110"/>
      <c r="AHI304" s="110"/>
      <c r="AHJ304" s="110"/>
      <c r="AHK304" s="110"/>
      <c r="AHL304" s="110"/>
      <c r="AHM304" s="110"/>
      <c r="AHN304" s="110"/>
      <c r="AHO304" s="110"/>
      <c r="AHP304" s="110"/>
      <c r="AHQ304" s="110"/>
      <c r="AHR304" s="110"/>
      <c r="AHS304" s="110"/>
      <c r="AHT304" s="110"/>
      <c r="AHU304" s="110"/>
      <c r="AHV304" s="110"/>
      <c r="AHW304" s="110"/>
      <c r="AHX304" s="110"/>
      <c r="AHY304" s="110"/>
      <c r="AHZ304" s="110"/>
      <c r="AIA304" s="110"/>
      <c r="AIB304" s="110"/>
      <c r="AIC304" s="110"/>
      <c r="AID304" s="110"/>
      <c r="AIE304" s="110"/>
      <c r="AIF304" s="110"/>
      <c r="AIG304" s="110"/>
      <c r="AIH304" s="110"/>
      <c r="AII304" s="110"/>
      <c r="AIJ304" s="110"/>
      <c r="AIK304" s="110"/>
      <c r="AIL304" s="110"/>
      <c r="AIM304" s="110"/>
      <c r="AIN304" s="110"/>
      <c r="AIO304" s="110"/>
      <c r="AIP304" s="110"/>
      <c r="AIQ304" s="110"/>
      <c r="AIR304" s="110"/>
      <c r="AIS304" s="110"/>
      <c r="AIT304" s="110"/>
      <c r="AIU304" s="110"/>
      <c r="AIV304" s="110"/>
      <c r="AIW304" s="110"/>
      <c r="AIX304" s="110"/>
      <c r="AIY304" s="110"/>
      <c r="AIZ304" s="110"/>
      <c r="AJA304" s="110"/>
      <c r="AJB304" s="110"/>
      <c r="AJC304" s="110"/>
      <c r="AJD304" s="110"/>
      <c r="AJE304" s="110"/>
      <c r="AJF304" s="110"/>
      <c r="AJG304" s="110"/>
      <c r="AJH304" s="110"/>
      <c r="AJI304" s="110"/>
      <c r="AJJ304" s="110"/>
      <c r="AJK304" s="110"/>
      <c r="AJL304" s="110"/>
      <c r="AJM304" s="110"/>
      <c r="AJN304" s="110"/>
      <c r="AJO304" s="110"/>
      <c r="AJP304" s="110"/>
      <c r="AJQ304" s="110"/>
      <c r="AJR304" s="110"/>
      <c r="AJS304" s="110"/>
      <c r="AJT304" s="110"/>
      <c r="AJU304" s="110"/>
      <c r="AJV304" s="110"/>
      <c r="AJW304" s="110"/>
      <c r="AJX304" s="110"/>
      <c r="AJY304" s="110"/>
      <c r="AJZ304" s="110"/>
      <c r="AKA304" s="110"/>
      <c r="AKB304" s="110"/>
      <c r="AKC304" s="110"/>
      <c r="AKD304" s="110"/>
      <c r="AKE304" s="110"/>
      <c r="AKF304" s="110"/>
      <c r="AKG304" s="110"/>
      <c r="AKH304" s="110"/>
      <c r="AKI304" s="110"/>
      <c r="AKJ304" s="110"/>
      <c r="AKK304" s="110"/>
      <c r="AKL304" s="110"/>
      <c r="AKM304" s="110"/>
      <c r="AKN304" s="110"/>
      <c r="AKO304" s="110"/>
      <c r="AKP304" s="110"/>
      <c r="AKQ304" s="110"/>
      <c r="AKR304" s="110"/>
      <c r="AKS304" s="110"/>
      <c r="AKT304" s="110"/>
      <c r="AKU304" s="110"/>
      <c r="AKV304" s="110"/>
      <c r="AKW304" s="110"/>
      <c r="AKX304" s="110"/>
      <c r="AKY304" s="110"/>
      <c r="AKZ304" s="110"/>
      <c r="ALA304" s="110"/>
      <c r="ALB304" s="110"/>
      <c r="ALC304" s="110"/>
      <c r="ALD304" s="110"/>
      <c r="ALE304" s="110"/>
      <c r="ALF304" s="110"/>
      <c r="ALG304" s="110"/>
      <c r="ALH304" s="110"/>
      <c r="ALI304" s="110"/>
      <c r="ALJ304" s="110"/>
      <c r="ALK304" s="110"/>
      <c r="ALL304" s="110"/>
      <c r="ALM304" s="110"/>
      <c r="ALN304" s="110"/>
      <c r="ALO304" s="110"/>
      <c r="ALP304" s="110"/>
      <c r="ALQ304" s="110"/>
      <c r="ALR304" s="110"/>
      <c r="ALS304" s="110"/>
      <c r="ALT304" s="110"/>
      <c r="ALU304" s="110"/>
      <c r="ALV304" s="110"/>
      <c r="ALW304" s="110"/>
      <c r="ALX304" s="110"/>
      <c r="ALY304" s="110"/>
      <c r="ALZ304" s="110"/>
      <c r="AMA304" s="110"/>
      <c r="AMB304" s="110"/>
      <c r="AMC304" s="110"/>
      <c r="AMD304" s="110"/>
      <c r="AME304" s="110"/>
      <c r="AMF304" s="110"/>
    </row>
    <row r="305" spans="1:1020" s="142" customFormat="1" ht="11.25" customHeight="1">
      <c r="A305" s="126"/>
      <c r="B305" s="141">
        <v>1</v>
      </c>
      <c r="C305" s="126">
        <v>298</v>
      </c>
      <c r="D305" s="127" t="s">
        <v>479</v>
      </c>
      <c r="E305" s="194">
        <v>155</v>
      </c>
      <c r="F305" s="125">
        <f>ROUND(E305*Valores!$C$2,2)</f>
        <v>8439.75</v>
      </c>
      <c r="G305" s="192">
        <v>0</v>
      </c>
      <c r="H305" s="125">
        <f>ROUND(G305*Valores!$C$2,2)</f>
        <v>0</v>
      </c>
      <c r="I305" s="192">
        <v>0</v>
      </c>
      <c r="J305" s="125">
        <f>ROUND(I305*Valores!$C$2,2)</f>
        <v>0</v>
      </c>
      <c r="K305" s="192">
        <v>0</v>
      </c>
      <c r="L305" s="125">
        <f>ROUND(K305*Valores!$C$2,2)</f>
        <v>0</v>
      </c>
      <c r="M305" s="125">
        <f>ROUND(IF($H$2=0,IF(AND(A305&lt;&gt;"13-930",A305&lt;&gt;"13-940"),(SUM(F305,H305,J305,L305,X305,T305,R305)*Valores!$C$4),0),0),2)</f>
        <v>2353.09</v>
      </c>
      <c r="N305" s="125">
        <f t="shared" si="42"/>
        <v>0</v>
      </c>
      <c r="O305" s="125">
        <v>0</v>
      </c>
      <c r="P305" s="125">
        <v>0</v>
      </c>
      <c r="Q305" s="125">
        <v>0</v>
      </c>
      <c r="R305" s="125">
        <f>IF($F$4="NO",IF(Valores!$C$49*B305&gt;Valores!$C$46,Valores!$C$46,Valores!$C$49*B305),IF(Valores!$C$49*B305&gt;Valores!$C$46,Valores!$C$46,Valores!$C$49*B305)/2)</f>
        <v>972.6</v>
      </c>
      <c r="S305" s="125">
        <v>0</v>
      </c>
      <c r="T305" s="125">
        <f t="shared" si="51"/>
        <v>0</v>
      </c>
      <c r="U305" s="125">
        <v>0</v>
      </c>
      <c r="V305" s="125">
        <v>0</v>
      </c>
      <c r="W305" s="192">
        <v>0</v>
      </c>
      <c r="X305" s="125">
        <f>ROUND(W305*Valores!$C$2,2)</f>
        <v>0</v>
      </c>
      <c r="Y305" s="125">
        <v>0</v>
      </c>
      <c r="Z305" s="125">
        <v>0</v>
      </c>
      <c r="AA305" s="125">
        <v>0</v>
      </c>
      <c r="AB305" s="214">
        <v>0</v>
      </c>
      <c r="AC305" s="125">
        <f t="shared" si="43"/>
        <v>0</v>
      </c>
      <c r="AD305" s="125">
        <v>0</v>
      </c>
      <c r="AE305" s="192">
        <v>0</v>
      </c>
      <c r="AF305" s="125">
        <f>ROUND(AE305*Valores!$C$2,2)</f>
        <v>0</v>
      </c>
      <c r="AG305" s="125">
        <v>0</v>
      </c>
      <c r="AH305" s="125">
        <f t="shared" si="46"/>
        <v>11765.44</v>
      </c>
      <c r="AI305" s="125">
        <v>0</v>
      </c>
      <c r="AJ305" s="125">
        <v>0</v>
      </c>
      <c r="AK305" s="125">
        <v>0</v>
      </c>
      <c r="AL305" s="125">
        <v>0</v>
      </c>
      <c r="AM305" s="125">
        <f t="shared" si="44"/>
        <v>0</v>
      </c>
      <c r="AN305" s="125">
        <f>AH305*Valores!$C$71</f>
        <v>-1294.1984</v>
      </c>
      <c r="AO305" s="125">
        <f>AH305*-Valores!$C$72</f>
        <v>0</v>
      </c>
      <c r="AP305" s="125">
        <f>AH305*Valores!$C$73</f>
        <v>-529.4448</v>
      </c>
      <c r="AQ305" s="125">
        <v>0</v>
      </c>
      <c r="AR305" s="125">
        <v>0</v>
      </c>
      <c r="AS305" s="125">
        <f t="shared" si="47"/>
        <v>9941.7968</v>
      </c>
      <c r="AT305" s="125">
        <f t="shared" si="41"/>
        <v>-1294.1984</v>
      </c>
      <c r="AU305" s="125">
        <f>AH305*Valores!$C$74</f>
        <v>-317.66688</v>
      </c>
      <c r="AV305" s="125">
        <f>AH305*Valores!$C$75</f>
        <v>-35.29632</v>
      </c>
      <c r="AW305" s="125">
        <f t="shared" si="45"/>
        <v>10118.278400000001</v>
      </c>
      <c r="AX305" s="126"/>
      <c r="AY305" s="126"/>
      <c r="AZ305" s="123" t="s">
        <v>4</v>
      </c>
      <c r="BA305" s="110"/>
      <c r="BB305" s="110"/>
      <c r="BC305" s="110"/>
      <c r="BD305" s="110"/>
      <c r="BE305" s="110"/>
      <c r="BF305" s="110"/>
      <c r="BG305" s="110"/>
      <c r="BH305" s="110"/>
      <c r="BI305" s="110"/>
      <c r="BJ305" s="110"/>
      <c r="BK305" s="110"/>
      <c r="BL305" s="110"/>
      <c r="BM305" s="110"/>
      <c r="BN305" s="110"/>
      <c r="BO305" s="110"/>
      <c r="BP305" s="110"/>
      <c r="BQ305" s="110"/>
      <c r="BR305" s="110"/>
      <c r="BS305" s="110"/>
      <c r="BT305" s="110"/>
      <c r="BU305" s="110"/>
      <c r="BV305" s="110"/>
      <c r="BW305" s="110"/>
      <c r="BX305" s="110"/>
      <c r="BY305" s="110"/>
      <c r="BZ305" s="110"/>
      <c r="CA305" s="110"/>
      <c r="CB305" s="110"/>
      <c r="CC305" s="110"/>
      <c r="CD305" s="110"/>
      <c r="CE305" s="110"/>
      <c r="CF305" s="110"/>
      <c r="CG305" s="110"/>
      <c r="CH305" s="110"/>
      <c r="CI305" s="110"/>
      <c r="CJ305" s="110"/>
      <c r="CK305" s="110"/>
      <c r="CL305" s="110"/>
      <c r="CM305" s="110"/>
      <c r="CN305" s="110"/>
      <c r="CO305" s="110"/>
      <c r="CP305" s="110"/>
      <c r="CQ305" s="110"/>
      <c r="CR305" s="110"/>
      <c r="CS305" s="110"/>
      <c r="CT305" s="110"/>
      <c r="CU305" s="110"/>
      <c r="CV305" s="110"/>
      <c r="CW305" s="110"/>
      <c r="CX305" s="110"/>
      <c r="CY305" s="110"/>
      <c r="CZ305" s="110"/>
      <c r="DA305" s="110"/>
      <c r="DB305" s="110"/>
      <c r="DC305" s="110"/>
      <c r="DD305" s="110"/>
      <c r="DE305" s="110"/>
      <c r="DF305" s="110"/>
      <c r="DG305" s="110"/>
      <c r="DH305" s="110"/>
      <c r="DI305" s="110"/>
      <c r="DJ305" s="110"/>
      <c r="DK305" s="110"/>
      <c r="DL305" s="110"/>
      <c r="DM305" s="110"/>
      <c r="DN305" s="110"/>
      <c r="DO305" s="110"/>
      <c r="DP305" s="110"/>
      <c r="DQ305" s="110"/>
      <c r="DR305" s="110"/>
      <c r="DS305" s="110"/>
      <c r="DT305" s="110"/>
      <c r="DU305" s="110"/>
      <c r="DV305" s="110"/>
      <c r="DW305" s="110"/>
      <c r="DX305" s="110"/>
      <c r="DY305" s="110"/>
      <c r="DZ305" s="110"/>
      <c r="EA305" s="110"/>
      <c r="EB305" s="110"/>
      <c r="EC305" s="110"/>
      <c r="ED305" s="110"/>
      <c r="EE305" s="110"/>
      <c r="EF305" s="110"/>
      <c r="EG305" s="110"/>
      <c r="EH305" s="110"/>
      <c r="EI305" s="110"/>
      <c r="EJ305" s="110"/>
      <c r="EK305" s="110"/>
      <c r="EL305" s="110"/>
      <c r="EM305" s="110"/>
      <c r="EN305" s="110"/>
      <c r="EO305" s="110"/>
      <c r="EP305" s="110"/>
      <c r="EQ305" s="110"/>
      <c r="ER305" s="110"/>
      <c r="ES305" s="110"/>
      <c r="ET305" s="110"/>
      <c r="EU305" s="110"/>
      <c r="EV305" s="110"/>
      <c r="EW305" s="110"/>
      <c r="EX305" s="110"/>
      <c r="EY305" s="110"/>
      <c r="EZ305" s="110"/>
      <c r="FA305" s="110"/>
      <c r="FB305" s="110"/>
      <c r="FC305" s="110"/>
      <c r="FD305" s="110"/>
      <c r="FE305" s="110"/>
      <c r="FF305" s="110"/>
      <c r="FG305" s="110"/>
      <c r="FH305" s="110"/>
      <c r="FI305" s="110"/>
      <c r="FJ305" s="110"/>
      <c r="FK305" s="110"/>
      <c r="FL305" s="110"/>
      <c r="FM305" s="110"/>
      <c r="FN305" s="110"/>
      <c r="FO305" s="110"/>
      <c r="FP305" s="110"/>
      <c r="FQ305" s="110"/>
      <c r="FR305" s="110"/>
      <c r="FS305" s="110"/>
      <c r="FT305" s="110"/>
      <c r="FU305" s="110"/>
      <c r="FV305" s="110"/>
      <c r="FW305" s="110"/>
      <c r="FX305" s="110"/>
      <c r="FY305" s="110"/>
      <c r="FZ305" s="110"/>
      <c r="GA305" s="110"/>
      <c r="GB305" s="110"/>
      <c r="GC305" s="110"/>
      <c r="GD305" s="110"/>
      <c r="GE305" s="110"/>
      <c r="GF305" s="110"/>
      <c r="GG305" s="110"/>
      <c r="GH305" s="110"/>
      <c r="GI305" s="110"/>
      <c r="GJ305" s="110"/>
      <c r="GK305" s="110"/>
      <c r="GL305" s="110"/>
      <c r="GM305" s="110"/>
      <c r="GN305" s="110"/>
      <c r="GO305" s="110"/>
      <c r="GP305" s="110"/>
      <c r="GQ305" s="110"/>
      <c r="GR305" s="110"/>
      <c r="GS305" s="110"/>
      <c r="GT305" s="110"/>
      <c r="GU305" s="110"/>
      <c r="GV305" s="110"/>
      <c r="GW305" s="110"/>
      <c r="GX305" s="110"/>
      <c r="GY305" s="110"/>
      <c r="GZ305" s="110"/>
      <c r="HA305" s="110"/>
      <c r="HB305" s="110"/>
      <c r="HC305" s="110"/>
      <c r="HD305" s="110"/>
      <c r="HE305" s="110"/>
      <c r="HF305" s="110"/>
      <c r="HG305" s="110"/>
      <c r="HH305" s="110"/>
      <c r="HI305" s="110"/>
      <c r="HJ305" s="110"/>
      <c r="HK305" s="110"/>
      <c r="HL305" s="110"/>
      <c r="HM305" s="110"/>
      <c r="HN305" s="110"/>
      <c r="HO305" s="110"/>
      <c r="HP305" s="110"/>
      <c r="HQ305" s="110"/>
      <c r="HR305" s="110"/>
      <c r="HS305" s="110"/>
      <c r="HT305" s="110"/>
      <c r="HU305" s="110"/>
      <c r="HV305" s="110"/>
      <c r="HW305" s="110"/>
      <c r="HX305" s="110"/>
      <c r="HY305" s="110"/>
      <c r="HZ305" s="110"/>
      <c r="IA305" s="110"/>
      <c r="IB305" s="110"/>
      <c r="IC305" s="110"/>
      <c r="ID305" s="110"/>
      <c r="IE305" s="110"/>
      <c r="IF305" s="110"/>
      <c r="IG305" s="110"/>
      <c r="IH305" s="110"/>
      <c r="II305" s="110"/>
      <c r="IJ305" s="110"/>
      <c r="IK305" s="110"/>
      <c r="IL305" s="110"/>
      <c r="IM305" s="110"/>
      <c r="IN305" s="110"/>
      <c r="IO305" s="110"/>
      <c r="IP305" s="110"/>
      <c r="IQ305" s="110"/>
      <c r="IR305" s="110"/>
      <c r="IS305" s="110"/>
      <c r="IT305" s="110"/>
      <c r="IU305" s="110"/>
      <c r="IV305" s="110"/>
      <c r="IW305" s="110"/>
      <c r="IX305" s="110"/>
      <c r="IY305" s="110"/>
      <c r="IZ305" s="110"/>
      <c r="JA305" s="110"/>
      <c r="JB305" s="110"/>
      <c r="JC305" s="110"/>
      <c r="JD305" s="110"/>
      <c r="JE305" s="110"/>
      <c r="JF305" s="110"/>
      <c r="JG305" s="110"/>
      <c r="JH305" s="110"/>
      <c r="JI305" s="110"/>
      <c r="JJ305" s="110"/>
      <c r="JK305" s="110"/>
      <c r="JL305" s="110"/>
      <c r="JM305" s="110"/>
      <c r="JN305" s="110"/>
      <c r="JO305" s="110"/>
      <c r="JP305" s="110"/>
      <c r="JQ305" s="110"/>
      <c r="JR305" s="110"/>
      <c r="JS305" s="110"/>
      <c r="JT305" s="110"/>
      <c r="JU305" s="110"/>
      <c r="JV305" s="110"/>
      <c r="JW305" s="110"/>
      <c r="JX305" s="110"/>
      <c r="JY305" s="110"/>
      <c r="JZ305" s="110"/>
      <c r="KA305" s="110"/>
      <c r="KB305" s="110"/>
      <c r="KC305" s="110"/>
      <c r="KD305" s="110"/>
      <c r="KE305" s="110"/>
      <c r="KF305" s="110"/>
      <c r="KG305" s="110"/>
      <c r="KH305" s="110"/>
      <c r="KI305" s="110"/>
      <c r="KJ305" s="110"/>
      <c r="KK305" s="110"/>
      <c r="KL305" s="110"/>
      <c r="KM305" s="110"/>
      <c r="KN305" s="110"/>
      <c r="KO305" s="110"/>
      <c r="KP305" s="110"/>
      <c r="KQ305" s="110"/>
      <c r="KR305" s="110"/>
      <c r="KS305" s="110"/>
      <c r="KT305" s="110"/>
      <c r="KU305" s="110"/>
      <c r="KV305" s="110"/>
      <c r="KW305" s="110"/>
      <c r="KX305" s="110"/>
      <c r="KY305" s="110"/>
      <c r="KZ305" s="110"/>
      <c r="LA305" s="110"/>
      <c r="LB305" s="110"/>
      <c r="LC305" s="110"/>
      <c r="LD305" s="110"/>
      <c r="LE305" s="110"/>
      <c r="LF305" s="110"/>
      <c r="LG305" s="110"/>
      <c r="LH305" s="110"/>
      <c r="LI305" s="110"/>
      <c r="LJ305" s="110"/>
      <c r="LK305" s="110"/>
      <c r="LL305" s="110"/>
      <c r="LM305" s="110"/>
      <c r="LN305" s="110"/>
      <c r="LO305" s="110"/>
      <c r="LP305" s="110"/>
      <c r="LQ305" s="110"/>
      <c r="LR305" s="110"/>
      <c r="LS305" s="110"/>
      <c r="LT305" s="110"/>
      <c r="LU305" s="110"/>
      <c r="LV305" s="110"/>
      <c r="LW305" s="110"/>
      <c r="LX305" s="110"/>
      <c r="LY305" s="110"/>
      <c r="LZ305" s="110"/>
      <c r="MA305" s="110"/>
      <c r="MB305" s="110"/>
      <c r="MC305" s="110"/>
      <c r="MD305" s="110"/>
      <c r="ME305" s="110"/>
      <c r="MF305" s="110"/>
      <c r="MG305" s="110"/>
      <c r="MH305" s="110"/>
      <c r="MI305" s="110"/>
      <c r="MJ305" s="110"/>
      <c r="MK305" s="110"/>
      <c r="ML305" s="110"/>
      <c r="MM305" s="110"/>
      <c r="MN305" s="110"/>
      <c r="MO305" s="110"/>
      <c r="MP305" s="110"/>
      <c r="MQ305" s="110"/>
      <c r="MR305" s="110"/>
      <c r="MS305" s="110"/>
      <c r="MT305" s="110"/>
      <c r="MU305" s="110"/>
      <c r="MV305" s="110"/>
      <c r="MW305" s="110"/>
      <c r="MX305" s="110"/>
      <c r="MY305" s="110"/>
      <c r="MZ305" s="110"/>
      <c r="NA305" s="110"/>
      <c r="NB305" s="110"/>
      <c r="NC305" s="110"/>
      <c r="ND305" s="110"/>
      <c r="NE305" s="110"/>
      <c r="NF305" s="110"/>
      <c r="NG305" s="110"/>
      <c r="NH305" s="110"/>
      <c r="NI305" s="110"/>
      <c r="NJ305" s="110"/>
      <c r="NK305" s="110"/>
      <c r="NL305" s="110"/>
      <c r="NM305" s="110"/>
      <c r="NN305" s="110"/>
      <c r="NO305" s="110"/>
      <c r="NP305" s="110"/>
      <c r="NQ305" s="110"/>
      <c r="NR305" s="110"/>
      <c r="NS305" s="110"/>
      <c r="NT305" s="110"/>
      <c r="NU305" s="110"/>
      <c r="NV305" s="110"/>
      <c r="NW305" s="110"/>
      <c r="NX305" s="110"/>
      <c r="NY305" s="110"/>
      <c r="NZ305" s="110"/>
      <c r="OA305" s="110"/>
      <c r="OB305" s="110"/>
      <c r="OC305" s="110"/>
      <c r="OD305" s="110"/>
      <c r="OE305" s="110"/>
      <c r="OF305" s="110"/>
      <c r="OG305" s="110"/>
      <c r="OH305" s="110"/>
      <c r="OI305" s="110"/>
      <c r="OJ305" s="110"/>
      <c r="OK305" s="110"/>
      <c r="OL305" s="110"/>
      <c r="OM305" s="110"/>
      <c r="ON305" s="110"/>
      <c r="OO305" s="110"/>
      <c r="OP305" s="110"/>
      <c r="OQ305" s="110"/>
      <c r="OR305" s="110"/>
      <c r="OS305" s="110"/>
      <c r="OT305" s="110"/>
      <c r="OU305" s="110"/>
      <c r="OV305" s="110"/>
      <c r="OW305" s="110"/>
      <c r="OX305" s="110"/>
      <c r="OY305" s="110"/>
      <c r="OZ305" s="110"/>
      <c r="PA305" s="110"/>
      <c r="PB305" s="110"/>
      <c r="PC305" s="110"/>
      <c r="PD305" s="110"/>
      <c r="PE305" s="110"/>
      <c r="PF305" s="110"/>
      <c r="PG305" s="110"/>
      <c r="PH305" s="110"/>
      <c r="PI305" s="110"/>
      <c r="PJ305" s="110"/>
      <c r="PK305" s="110"/>
      <c r="PL305" s="110"/>
      <c r="PM305" s="110"/>
      <c r="PN305" s="110"/>
      <c r="PO305" s="110"/>
      <c r="PP305" s="110"/>
      <c r="PQ305" s="110"/>
      <c r="PR305" s="110"/>
      <c r="PS305" s="110"/>
      <c r="PT305" s="110"/>
      <c r="PU305" s="110"/>
      <c r="PV305" s="110"/>
      <c r="PW305" s="110"/>
      <c r="PX305" s="110"/>
      <c r="PY305" s="110"/>
      <c r="PZ305" s="110"/>
      <c r="QA305" s="110"/>
      <c r="QB305" s="110"/>
      <c r="QC305" s="110"/>
      <c r="QD305" s="110"/>
      <c r="QE305" s="110"/>
      <c r="QF305" s="110"/>
      <c r="QG305" s="110"/>
      <c r="QH305" s="110"/>
      <c r="QI305" s="110"/>
      <c r="QJ305" s="110"/>
      <c r="QK305" s="110"/>
      <c r="QL305" s="110"/>
      <c r="QM305" s="110"/>
      <c r="QN305" s="110"/>
      <c r="QO305" s="110"/>
      <c r="QP305" s="110"/>
      <c r="QQ305" s="110"/>
      <c r="QR305" s="110"/>
      <c r="QS305" s="110"/>
      <c r="QT305" s="110"/>
      <c r="QU305" s="110"/>
      <c r="QV305" s="110"/>
      <c r="QW305" s="110"/>
      <c r="QX305" s="110"/>
      <c r="QY305" s="110"/>
      <c r="QZ305" s="110"/>
      <c r="RA305" s="110"/>
      <c r="RB305" s="110"/>
      <c r="RC305" s="110"/>
      <c r="RD305" s="110"/>
      <c r="RE305" s="110"/>
      <c r="RF305" s="110"/>
      <c r="RG305" s="110"/>
      <c r="RH305" s="110"/>
      <c r="RI305" s="110"/>
      <c r="RJ305" s="110"/>
      <c r="RK305" s="110"/>
      <c r="RL305" s="110"/>
      <c r="RM305" s="110"/>
      <c r="RN305" s="110"/>
      <c r="RO305" s="110"/>
      <c r="RP305" s="110"/>
      <c r="RQ305" s="110"/>
      <c r="RR305" s="110"/>
      <c r="RS305" s="110"/>
      <c r="RT305" s="110"/>
      <c r="RU305" s="110"/>
      <c r="RV305" s="110"/>
      <c r="RW305" s="110"/>
      <c r="RX305" s="110"/>
      <c r="RY305" s="110"/>
      <c r="RZ305" s="110"/>
      <c r="SA305" s="110"/>
      <c r="SB305" s="110"/>
      <c r="SC305" s="110"/>
      <c r="SD305" s="110"/>
      <c r="SE305" s="110"/>
      <c r="SF305" s="110"/>
      <c r="SG305" s="110"/>
      <c r="SH305" s="110"/>
      <c r="SI305" s="110"/>
      <c r="SJ305" s="110"/>
      <c r="SK305" s="110"/>
      <c r="SL305" s="110"/>
      <c r="SM305" s="110"/>
      <c r="SN305" s="110"/>
      <c r="SO305" s="110"/>
      <c r="SP305" s="110"/>
      <c r="SQ305" s="110"/>
      <c r="SR305" s="110"/>
      <c r="SS305" s="110"/>
      <c r="ST305" s="110"/>
      <c r="SU305" s="110"/>
      <c r="SV305" s="110"/>
      <c r="SW305" s="110"/>
      <c r="SX305" s="110"/>
      <c r="SY305" s="110"/>
      <c r="SZ305" s="110"/>
      <c r="TA305" s="110"/>
      <c r="TB305" s="110"/>
      <c r="TC305" s="110"/>
      <c r="TD305" s="110"/>
      <c r="TE305" s="110"/>
      <c r="TF305" s="110"/>
      <c r="TG305" s="110"/>
      <c r="TH305" s="110"/>
      <c r="TI305" s="110"/>
      <c r="TJ305" s="110"/>
      <c r="TK305" s="110"/>
      <c r="TL305" s="110"/>
      <c r="TM305" s="110"/>
      <c r="TN305" s="110"/>
      <c r="TO305" s="110"/>
      <c r="TP305" s="110"/>
      <c r="TQ305" s="110"/>
      <c r="TR305" s="110"/>
      <c r="TS305" s="110"/>
      <c r="TT305" s="110"/>
      <c r="TU305" s="110"/>
      <c r="TV305" s="110"/>
      <c r="TW305" s="110"/>
      <c r="TX305" s="110"/>
      <c r="TY305" s="110"/>
      <c r="TZ305" s="110"/>
      <c r="UA305" s="110"/>
      <c r="UB305" s="110"/>
      <c r="UC305" s="110"/>
      <c r="UD305" s="110"/>
      <c r="UE305" s="110"/>
      <c r="UF305" s="110"/>
      <c r="UG305" s="110"/>
      <c r="UH305" s="110"/>
      <c r="UI305" s="110"/>
      <c r="UJ305" s="110"/>
      <c r="UK305" s="110"/>
      <c r="UL305" s="110"/>
      <c r="UM305" s="110"/>
      <c r="UN305" s="110"/>
      <c r="UO305" s="110"/>
      <c r="UP305" s="110"/>
      <c r="UQ305" s="110"/>
      <c r="UR305" s="110"/>
      <c r="US305" s="110"/>
      <c r="UT305" s="110"/>
      <c r="UU305" s="110"/>
      <c r="UV305" s="110"/>
      <c r="UW305" s="110"/>
      <c r="UX305" s="110"/>
      <c r="UY305" s="110"/>
      <c r="UZ305" s="110"/>
      <c r="VA305" s="110"/>
      <c r="VB305" s="110"/>
      <c r="VC305" s="110"/>
      <c r="VD305" s="110"/>
      <c r="VE305" s="110"/>
      <c r="VF305" s="110"/>
      <c r="VG305" s="110"/>
      <c r="VH305" s="110"/>
      <c r="VI305" s="110"/>
      <c r="VJ305" s="110"/>
      <c r="VK305" s="110"/>
      <c r="VL305" s="110"/>
      <c r="VM305" s="110"/>
      <c r="VN305" s="110"/>
      <c r="VO305" s="110"/>
      <c r="VP305" s="110"/>
      <c r="VQ305" s="110"/>
      <c r="VR305" s="110"/>
      <c r="VS305" s="110"/>
      <c r="VT305" s="110"/>
      <c r="VU305" s="110"/>
      <c r="VV305" s="110"/>
      <c r="VW305" s="110"/>
      <c r="VX305" s="110"/>
      <c r="VY305" s="110"/>
      <c r="VZ305" s="110"/>
      <c r="WA305" s="110"/>
      <c r="WB305" s="110"/>
      <c r="WC305" s="110"/>
      <c r="WD305" s="110"/>
      <c r="WE305" s="110"/>
      <c r="WF305" s="110"/>
      <c r="WG305" s="110"/>
      <c r="WH305" s="110"/>
      <c r="WI305" s="110"/>
      <c r="WJ305" s="110"/>
      <c r="WK305" s="110"/>
      <c r="WL305" s="110"/>
      <c r="WM305" s="110"/>
      <c r="WN305" s="110"/>
      <c r="WO305" s="110"/>
      <c r="WP305" s="110"/>
      <c r="WQ305" s="110"/>
      <c r="WR305" s="110"/>
      <c r="WS305" s="110"/>
      <c r="WT305" s="110"/>
      <c r="WU305" s="110"/>
      <c r="WV305" s="110"/>
      <c r="WW305" s="110"/>
      <c r="WX305" s="110"/>
      <c r="WY305" s="110"/>
      <c r="WZ305" s="110"/>
      <c r="XA305" s="110"/>
      <c r="XB305" s="110"/>
      <c r="XC305" s="110"/>
      <c r="XD305" s="110"/>
      <c r="XE305" s="110"/>
      <c r="XF305" s="110"/>
      <c r="XG305" s="110"/>
      <c r="XH305" s="110"/>
      <c r="XI305" s="110"/>
      <c r="XJ305" s="110"/>
      <c r="XK305" s="110"/>
      <c r="XL305" s="110"/>
      <c r="XM305" s="110"/>
      <c r="XN305" s="110"/>
      <c r="XO305" s="110"/>
      <c r="XP305" s="110"/>
      <c r="XQ305" s="110"/>
      <c r="XR305" s="110"/>
      <c r="XS305" s="110"/>
      <c r="XT305" s="110"/>
      <c r="XU305" s="110"/>
      <c r="XV305" s="110"/>
      <c r="XW305" s="110"/>
      <c r="XX305" s="110"/>
      <c r="XY305" s="110"/>
      <c r="XZ305" s="110"/>
      <c r="YA305" s="110"/>
      <c r="YB305" s="110"/>
      <c r="YC305" s="110"/>
      <c r="YD305" s="110"/>
      <c r="YE305" s="110"/>
      <c r="YF305" s="110"/>
      <c r="YG305" s="110"/>
      <c r="YH305" s="110"/>
      <c r="YI305" s="110"/>
      <c r="YJ305" s="110"/>
      <c r="YK305" s="110"/>
      <c r="YL305" s="110"/>
      <c r="YM305" s="110"/>
      <c r="YN305" s="110"/>
      <c r="YO305" s="110"/>
      <c r="YP305" s="110"/>
      <c r="YQ305" s="110"/>
      <c r="YR305" s="110"/>
      <c r="YS305" s="110"/>
      <c r="YT305" s="110"/>
      <c r="YU305" s="110"/>
      <c r="YV305" s="110"/>
      <c r="YW305" s="110"/>
      <c r="YX305" s="110"/>
      <c r="YY305" s="110"/>
      <c r="YZ305" s="110"/>
      <c r="ZA305" s="110"/>
      <c r="ZB305" s="110"/>
      <c r="ZC305" s="110"/>
      <c r="ZD305" s="110"/>
      <c r="ZE305" s="110"/>
      <c r="ZF305" s="110"/>
      <c r="ZG305" s="110"/>
      <c r="ZH305" s="110"/>
      <c r="ZI305" s="110"/>
      <c r="ZJ305" s="110"/>
      <c r="ZK305" s="110"/>
      <c r="ZL305" s="110"/>
      <c r="ZM305" s="110"/>
      <c r="ZN305" s="110"/>
      <c r="ZO305" s="110"/>
      <c r="ZP305" s="110"/>
      <c r="ZQ305" s="110"/>
      <c r="ZR305" s="110"/>
      <c r="ZS305" s="110"/>
      <c r="ZT305" s="110"/>
      <c r="ZU305" s="110"/>
      <c r="ZV305" s="110"/>
      <c r="ZW305" s="110"/>
      <c r="ZX305" s="110"/>
      <c r="ZY305" s="110"/>
      <c r="ZZ305" s="110"/>
      <c r="AAA305" s="110"/>
      <c r="AAB305" s="110"/>
      <c r="AAC305" s="110"/>
      <c r="AAD305" s="110"/>
      <c r="AAE305" s="110"/>
      <c r="AAF305" s="110"/>
      <c r="AAG305" s="110"/>
      <c r="AAH305" s="110"/>
      <c r="AAI305" s="110"/>
      <c r="AAJ305" s="110"/>
      <c r="AAK305" s="110"/>
      <c r="AAL305" s="110"/>
      <c r="AAM305" s="110"/>
      <c r="AAN305" s="110"/>
      <c r="AAO305" s="110"/>
      <c r="AAP305" s="110"/>
      <c r="AAQ305" s="110"/>
      <c r="AAR305" s="110"/>
      <c r="AAS305" s="110"/>
      <c r="AAT305" s="110"/>
      <c r="AAU305" s="110"/>
      <c r="AAV305" s="110"/>
      <c r="AAW305" s="110"/>
      <c r="AAX305" s="110"/>
      <c r="AAY305" s="110"/>
      <c r="AAZ305" s="110"/>
      <c r="ABA305" s="110"/>
      <c r="ABB305" s="110"/>
      <c r="ABC305" s="110"/>
      <c r="ABD305" s="110"/>
      <c r="ABE305" s="110"/>
      <c r="ABF305" s="110"/>
      <c r="ABG305" s="110"/>
      <c r="ABH305" s="110"/>
      <c r="ABI305" s="110"/>
      <c r="ABJ305" s="110"/>
      <c r="ABK305" s="110"/>
      <c r="ABL305" s="110"/>
      <c r="ABM305" s="110"/>
      <c r="ABN305" s="110"/>
      <c r="ABO305" s="110"/>
      <c r="ABP305" s="110"/>
      <c r="ABQ305" s="110"/>
      <c r="ABR305" s="110"/>
      <c r="ABS305" s="110"/>
      <c r="ABT305" s="110"/>
      <c r="ABU305" s="110"/>
      <c r="ABV305" s="110"/>
      <c r="ABW305" s="110"/>
      <c r="ABX305" s="110"/>
      <c r="ABY305" s="110"/>
      <c r="ABZ305" s="110"/>
      <c r="ACA305" s="110"/>
      <c r="ACB305" s="110"/>
      <c r="ACC305" s="110"/>
      <c r="ACD305" s="110"/>
      <c r="ACE305" s="110"/>
      <c r="ACF305" s="110"/>
      <c r="ACG305" s="110"/>
      <c r="ACH305" s="110"/>
      <c r="ACI305" s="110"/>
      <c r="ACJ305" s="110"/>
      <c r="ACK305" s="110"/>
      <c r="ACL305" s="110"/>
      <c r="ACM305" s="110"/>
      <c r="ACN305" s="110"/>
      <c r="ACO305" s="110"/>
      <c r="ACP305" s="110"/>
      <c r="ACQ305" s="110"/>
      <c r="ACR305" s="110"/>
      <c r="ACS305" s="110"/>
      <c r="ACT305" s="110"/>
      <c r="ACU305" s="110"/>
      <c r="ACV305" s="110"/>
      <c r="ACW305" s="110"/>
      <c r="ACX305" s="110"/>
      <c r="ACY305" s="110"/>
      <c r="ACZ305" s="110"/>
      <c r="ADA305" s="110"/>
      <c r="ADB305" s="110"/>
      <c r="ADC305" s="110"/>
      <c r="ADD305" s="110"/>
      <c r="ADE305" s="110"/>
      <c r="ADF305" s="110"/>
      <c r="ADG305" s="110"/>
      <c r="ADH305" s="110"/>
      <c r="ADI305" s="110"/>
      <c r="ADJ305" s="110"/>
      <c r="ADK305" s="110"/>
      <c r="ADL305" s="110"/>
      <c r="ADM305" s="110"/>
      <c r="ADN305" s="110"/>
      <c r="ADO305" s="110"/>
      <c r="ADP305" s="110"/>
      <c r="ADQ305" s="110"/>
      <c r="ADR305" s="110"/>
      <c r="ADS305" s="110"/>
      <c r="ADT305" s="110"/>
      <c r="ADU305" s="110"/>
      <c r="ADV305" s="110"/>
      <c r="ADW305" s="110"/>
      <c r="ADX305" s="110"/>
      <c r="ADY305" s="110"/>
      <c r="ADZ305" s="110"/>
      <c r="AEA305" s="110"/>
      <c r="AEB305" s="110"/>
      <c r="AEC305" s="110"/>
      <c r="AED305" s="110"/>
      <c r="AEE305" s="110"/>
      <c r="AEF305" s="110"/>
      <c r="AEG305" s="110"/>
      <c r="AEH305" s="110"/>
      <c r="AEI305" s="110"/>
      <c r="AEJ305" s="110"/>
      <c r="AEK305" s="110"/>
      <c r="AEL305" s="110"/>
      <c r="AEM305" s="110"/>
      <c r="AEN305" s="110"/>
      <c r="AEO305" s="110"/>
      <c r="AEP305" s="110"/>
      <c r="AEQ305" s="110"/>
      <c r="AER305" s="110"/>
      <c r="AES305" s="110"/>
      <c r="AET305" s="110"/>
      <c r="AEU305" s="110"/>
      <c r="AEV305" s="110"/>
      <c r="AEW305" s="110"/>
      <c r="AEX305" s="110"/>
      <c r="AEY305" s="110"/>
      <c r="AEZ305" s="110"/>
      <c r="AFA305" s="110"/>
      <c r="AFB305" s="110"/>
      <c r="AFC305" s="110"/>
      <c r="AFD305" s="110"/>
      <c r="AFE305" s="110"/>
      <c r="AFF305" s="110"/>
      <c r="AFG305" s="110"/>
      <c r="AFH305" s="110"/>
      <c r="AFI305" s="110"/>
      <c r="AFJ305" s="110"/>
      <c r="AFK305" s="110"/>
      <c r="AFL305" s="110"/>
      <c r="AFM305" s="110"/>
      <c r="AFN305" s="110"/>
      <c r="AFO305" s="110"/>
      <c r="AFP305" s="110"/>
      <c r="AFQ305" s="110"/>
      <c r="AFR305" s="110"/>
      <c r="AFS305" s="110"/>
      <c r="AFT305" s="110"/>
      <c r="AFU305" s="110"/>
      <c r="AFV305" s="110"/>
      <c r="AFW305" s="110"/>
      <c r="AFX305" s="110"/>
      <c r="AFY305" s="110"/>
      <c r="AFZ305" s="110"/>
      <c r="AGA305" s="110"/>
      <c r="AGB305" s="110"/>
      <c r="AGC305" s="110"/>
      <c r="AGD305" s="110"/>
      <c r="AGE305" s="110"/>
      <c r="AGF305" s="110"/>
      <c r="AGG305" s="110"/>
      <c r="AGH305" s="110"/>
      <c r="AGI305" s="110"/>
      <c r="AGJ305" s="110"/>
      <c r="AGK305" s="110"/>
      <c r="AGL305" s="110"/>
      <c r="AGM305" s="110"/>
      <c r="AGN305" s="110"/>
      <c r="AGO305" s="110"/>
      <c r="AGP305" s="110"/>
      <c r="AGQ305" s="110"/>
      <c r="AGR305" s="110"/>
      <c r="AGS305" s="110"/>
      <c r="AGT305" s="110"/>
      <c r="AGU305" s="110"/>
      <c r="AGV305" s="110"/>
      <c r="AGW305" s="110"/>
      <c r="AGX305" s="110"/>
      <c r="AGY305" s="110"/>
      <c r="AGZ305" s="110"/>
      <c r="AHA305" s="110"/>
      <c r="AHB305" s="110"/>
      <c r="AHC305" s="110"/>
      <c r="AHD305" s="110"/>
      <c r="AHE305" s="110"/>
      <c r="AHF305" s="110"/>
      <c r="AHG305" s="110"/>
      <c r="AHH305" s="110"/>
      <c r="AHI305" s="110"/>
      <c r="AHJ305" s="110"/>
      <c r="AHK305" s="110"/>
      <c r="AHL305" s="110"/>
      <c r="AHM305" s="110"/>
      <c r="AHN305" s="110"/>
      <c r="AHO305" s="110"/>
      <c r="AHP305" s="110"/>
      <c r="AHQ305" s="110"/>
      <c r="AHR305" s="110"/>
      <c r="AHS305" s="110"/>
      <c r="AHT305" s="110"/>
      <c r="AHU305" s="110"/>
      <c r="AHV305" s="110"/>
      <c r="AHW305" s="110"/>
      <c r="AHX305" s="110"/>
      <c r="AHY305" s="110"/>
      <c r="AHZ305" s="110"/>
      <c r="AIA305" s="110"/>
      <c r="AIB305" s="110"/>
      <c r="AIC305" s="110"/>
      <c r="AID305" s="110"/>
      <c r="AIE305" s="110"/>
      <c r="AIF305" s="110"/>
      <c r="AIG305" s="110"/>
      <c r="AIH305" s="110"/>
      <c r="AII305" s="110"/>
      <c r="AIJ305" s="110"/>
      <c r="AIK305" s="110"/>
      <c r="AIL305" s="110"/>
      <c r="AIM305" s="110"/>
      <c r="AIN305" s="110"/>
      <c r="AIO305" s="110"/>
      <c r="AIP305" s="110"/>
      <c r="AIQ305" s="110"/>
      <c r="AIR305" s="110"/>
      <c r="AIS305" s="110"/>
      <c r="AIT305" s="110"/>
      <c r="AIU305" s="110"/>
      <c r="AIV305" s="110"/>
      <c r="AIW305" s="110"/>
      <c r="AIX305" s="110"/>
      <c r="AIY305" s="110"/>
      <c r="AIZ305" s="110"/>
      <c r="AJA305" s="110"/>
      <c r="AJB305" s="110"/>
      <c r="AJC305" s="110"/>
      <c r="AJD305" s="110"/>
      <c r="AJE305" s="110"/>
      <c r="AJF305" s="110"/>
      <c r="AJG305" s="110"/>
      <c r="AJH305" s="110"/>
      <c r="AJI305" s="110"/>
      <c r="AJJ305" s="110"/>
      <c r="AJK305" s="110"/>
      <c r="AJL305" s="110"/>
      <c r="AJM305" s="110"/>
      <c r="AJN305" s="110"/>
      <c r="AJO305" s="110"/>
      <c r="AJP305" s="110"/>
      <c r="AJQ305" s="110"/>
      <c r="AJR305" s="110"/>
      <c r="AJS305" s="110"/>
      <c r="AJT305" s="110"/>
      <c r="AJU305" s="110"/>
      <c r="AJV305" s="110"/>
      <c r="AJW305" s="110"/>
      <c r="AJX305" s="110"/>
      <c r="AJY305" s="110"/>
      <c r="AJZ305" s="110"/>
      <c r="AKA305" s="110"/>
      <c r="AKB305" s="110"/>
      <c r="AKC305" s="110"/>
      <c r="AKD305" s="110"/>
      <c r="AKE305" s="110"/>
      <c r="AKF305" s="110"/>
      <c r="AKG305" s="110"/>
      <c r="AKH305" s="110"/>
      <c r="AKI305" s="110"/>
      <c r="AKJ305" s="110"/>
      <c r="AKK305" s="110"/>
      <c r="AKL305" s="110"/>
      <c r="AKM305" s="110"/>
      <c r="AKN305" s="110"/>
      <c r="AKO305" s="110"/>
      <c r="AKP305" s="110"/>
      <c r="AKQ305" s="110"/>
      <c r="AKR305" s="110"/>
      <c r="AKS305" s="110"/>
      <c r="AKT305" s="110"/>
      <c r="AKU305" s="110"/>
      <c r="AKV305" s="110"/>
      <c r="AKW305" s="110"/>
      <c r="AKX305" s="110"/>
      <c r="AKY305" s="110"/>
      <c r="AKZ305" s="110"/>
      <c r="ALA305" s="110"/>
      <c r="ALB305" s="110"/>
      <c r="ALC305" s="110"/>
      <c r="ALD305" s="110"/>
      <c r="ALE305" s="110"/>
      <c r="ALF305" s="110"/>
      <c r="ALG305" s="110"/>
      <c r="ALH305" s="110"/>
      <c r="ALI305" s="110"/>
      <c r="ALJ305" s="110"/>
      <c r="ALK305" s="110"/>
      <c r="ALL305" s="110"/>
      <c r="ALM305" s="110"/>
      <c r="ALN305" s="110"/>
      <c r="ALO305" s="110"/>
      <c r="ALP305" s="110"/>
      <c r="ALQ305" s="110"/>
      <c r="ALR305" s="110"/>
      <c r="ALS305" s="110"/>
      <c r="ALT305" s="110"/>
      <c r="ALU305" s="110"/>
      <c r="ALV305" s="110"/>
      <c r="ALW305" s="110"/>
      <c r="ALX305" s="110"/>
      <c r="ALY305" s="110"/>
      <c r="ALZ305" s="110"/>
      <c r="AMA305" s="110"/>
      <c r="AMB305" s="110"/>
      <c r="AMC305" s="110"/>
      <c r="AMD305" s="110"/>
      <c r="AME305" s="110"/>
      <c r="AMF305" s="110"/>
    </row>
    <row r="306" spans="1:1020" s="142" customFormat="1" ht="11.25" customHeight="1">
      <c r="A306" s="123"/>
      <c r="B306" s="141">
        <v>2</v>
      </c>
      <c r="C306" s="126">
        <v>299</v>
      </c>
      <c r="D306" s="127" t="s">
        <v>480</v>
      </c>
      <c r="E306" s="194">
        <f aca="true" t="shared" si="52" ref="E306:E320">155+E305</f>
        <v>310</v>
      </c>
      <c r="F306" s="125">
        <f>ROUND(E306*Valores!$C$2,2)</f>
        <v>16879.5</v>
      </c>
      <c r="G306" s="192">
        <v>0</v>
      </c>
      <c r="H306" s="125">
        <f>ROUND(G306*Valores!$C$2,2)</f>
        <v>0</v>
      </c>
      <c r="I306" s="192">
        <v>0</v>
      </c>
      <c r="J306" s="125">
        <f>ROUND(I306*Valores!$C$2,2)</f>
        <v>0</v>
      </c>
      <c r="K306" s="192">
        <v>0</v>
      </c>
      <c r="L306" s="125">
        <f>ROUND(K306*Valores!$C$2,2)</f>
        <v>0</v>
      </c>
      <c r="M306" s="125">
        <f>ROUND(IF($H$2=0,IF(AND(A306&lt;&gt;"13-930",A306&lt;&gt;"13-940"),(SUM(F306,H306,J306,L306,X306,T306,R306)*Valores!$C$4),0),0),2)</f>
        <v>4706.18</v>
      </c>
      <c r="N306" s="125">
        <f t="shared" si="42"/>
        <v>0</v>
      </c>
      <c r="O306" s="125">
        <v>0</v>
      </c>
      <c r="P306" s="125">
        <v>0</v>
      </c>
      <c r="Q306" s="125">
        <v>0</v>
      </c>
      <c r="R306" s="125">
        <f>IF($F$4="NO",IF(Valores!$C$49*B306&gt;Valores!$C$46,Valores!$C$46,Valores!$C$49*B306),IF(Valores!$C$49*B306&gt;Valores!$C$46,Valores!$C$46,Valores!$C$49*B306)/2)</f>
        <v>1945.2</v>
      </c>
      <c r="S306" s="125">
        <v>0</v>
      </c>
      <c r="T306" s="125">
        <f t="shared" si="51"/>
        <v>0</v>
      </c>
      <c r="U306" s="125">
        <v>0</v>
      </c>
      <c r="V306" s="125">
        <v>0</v>
      </c>
      <c r="W306" s="192">
        <v>0</v>
      </c>
      <c r="X306" s="125">
        <f>ROUND(W306*Valores!$C$2,2)</f>
        <v>0</v>
      </c>
      <c r="Y306" s="125">
        <v>0</v>
      </c>
      <c r="Z306" s="125">
        <v>0</v>
      </c>
      <c r="AA306" s="125">
        <v>0</v>
      </c>
      <c r="AB306" s="214">
        <v>0</v>
      </c>
      <c r="AC306" s="125">
        <f t="shared" si="43"/>
        <v>0</v>
      </c>
      <c r="AD306" s="125">
        <v>0</v>
      </c>
      <c r="AE306" s="192">
        <v>0</v>
      </c>
      <c r="AF306" s="125">
        <f>ROUND(AE306*Valores!$C$2,2)</f>
        <v>0</v>
      </c>
      <c r="AG306" s="125">
        <v>0</v>
      </c>
      <c r="AH306" s="125">
        <f t="shared" si="46"/>
        <v>23530.88</v>
      </c>
      <c r="AI306" s="125">
        <v>0</v>
      </c>
      <c r="AJ306" s="125">
        <v>0</v>
      </c>
      <c r="AK306" s="125">
        <v>0</v>
      </c>
      <c r="AL306" s="125">
        <v>0</v>
      </c>
      <c r="AM306" s="125">
        <f t="shared" si="44"/>
        <v>0</v>
      </c>
      <c r="AN306" s="125">
        <f>AH306*Valores!$C$71</f>
        <v>-2588.3968</v>
      </c>
      <c r="AO306" s="125">
        <f>AH306*-Valores!$C$72</f>
        <v>0</v>
      </c>
      <c r="AP306" s="125">
        <f>AH306*Valores!$C$73</f>
        <v>-1058.8896</v>
      </c>
      <c r="AQ306" s="125">
        <v>0</v>
      </c>
      <c r="AR306" s="125">
        <v>0</v>
      </c>
      <c r="AS306" s="125">
        <f t="shared" si="47"/>
        <v>19883.5936</v>
      </c>
      <c r="AT306" s="125">
        <f t="shared" si="41"/>
        <v>-2588.3968</v>
      </c>
      <c r="AU306" s="125">
        <f>AH306*Valores!$C$74</f>
        <v>-635.33376</v>
      </c>
      <c r="AV306" s="125">
        <f>AH306*Valores!$C$75</f>
        <v>-70.59264</v>
      </c>
      <c r="AW306" s="125">
        <f t="shared" si="45"/>
        <v>20236.556800000002</v>
      </c>
      <c r="AX306" s="126"/>
      <c r="AY306" s="126"/>
      <c r="AZ306" s="123" t="s">
        <v>4</v>
      </c>
      <c r="BA306" s="110"/>
      <c r="BB306" s="110"/>
      <c r="BC306" s="110"/>
      <c r="BD306" s="110"/>
      <c r="BE306" s="110"/>
      <c r="BF306" s="110"/>
      <c r="BG306" s="110"/>
      <c r="BH306" s="110"/>
      <c r="BI306" s="110"/>
      <c r="BJ306" s="110"/>
      <c r="BK306" s="110"/>
      <c r="BL306" s="110"/>
      <c r="BM306" s="110"/>
      <c r="BN306" s="110"/>
      <c r="BO306" s="110"/>
      <c r="BP306" s="110"/>
      <c r="BQ306" s="110"/>
      <c r="BR306" s="110"/>
      <c r="BS306" s="110"/>
      <c r="BT306" s="110"/>
      <c r="BU306" s="110"/>
      <c r="BV306" s="110"/>
      <c r="BW306" s="110"/>
      <c r="BX306" s="110"/>
      <c r="BY306" s="110"/>
      <c r="BZ306" s="110"/>
      <c r="CA306" s="110"/>
      <c r="CB306" s="110"/>
      <c r="CC306" s="110"/>
      <c r="CD306" s="110"/>
      <c r="CE306" s="110"/>
      <c r="CF306" s="110"/>
      <c r="CG306" s="110"/>
      <c r="CH306" s="110"/>
      <c r="CI306" s="110"/>
      <c r="CJ306" s="110"/>
      <c r="CK306" s="110"/>
      <c r="CL306" s="110"/>
      <c r="CM306" s="110"/>
      <c r="CN306" s="110"/>
      <c r="CO306" s="110"/>
      <c r="CP306" s="110"/>
      <c r="CQ306" s="110"/>
      <c r="CR306" s="110"/>
      <c r="CS306" s="110"/>
      <c r="CT306" s="110"/>
      <c r="CU306" s="110"/>
      <c r="CV306" s="110"/>
      <c r="CW306" s="110"/>
      <c r="CX306" s="110"/>
      <c r="CY306" s="110"/>
      <c r="CZ306" s="110"/>
      <c r="DA306" s="110"/>
      <c r="DB306" s="110"/>
      <c r="DC306" s="110"/>
      <c r="DD306" s="110"/>
      <c r="DE306" s="110"/>
      <c r="DF306" s="110"/>
      <c r="DG306" s="110"/>
      <c r="DH306" s="110"/>
      <c r="DI306" s="110"/>
      <c r="DJ306" s="110"/>
      <c r="DK306" s="110"/>
      <c r="DL306" s="110"/>
      <c r="DM306" s="110"/>
      <c r="DN306" s="110"/>
      <c r="DO306" s="110"/>
      <c r="DP306" s="110"/>
      <c r="DQ306" s="110"/>
      <c r="DR306" s="110"/>
      <c r="DS306" s="110"/>
      <c r="DT306" s="110"/>
      <c r="DU306" s="110"/>
      <c r="DV306" s="110"/>
      <c r="DW306" s="110"/>
      <c r="DX306" s="110"/>
      <c r="DY306" s="110"/>
      <c r="DZ306" s="110"/>
      <c r="EA306" s="110"/>
      <c r="EB306" s="110"/>
      <c r="EC306" s="110"/>
      <c r="ED306" s="110"/>
      <c r="EE306" s="110"/>
      <c r="EF306" s="110"/>
      <c r="EG306" s="110"/>
      <c r="EH306" s="110"/>
      <c r="EI306" s="110"/>
      <c r="EJ306" s="110"/>
      <c r="EK306" s="110"/>
      <c r="EL306" s="110"/>
      <c r="EM306" s="110"/>
      <c r="EN306" s="110"/>
      <c r="EO306" s="110"/>
      <c r="EP306" s="110"/>
      <c r="EQ306" s="110"/>
      <c r="ER306" s="110"/>
      <c r="ES306" s="110"/>
      <c r="ET306" s="110"/>
      <c r="EU306" s="110"/>
      <c r="EV306" s="110"/>
      <c r="EW306" s="110"/>
      <c r="EX306" s="110"/>
      <c r="EY306" s="110"/>
      <c r="EZ306" s="110"/>
      <c r="FA306" s="110"/>
      <c r="FB306" s="110"/>
      <c r="FC306" s="110"/>
      <c r="FD306" s="110"/>
      <c r="FE306" s="110"/>
      <c r="FF306" s="110"/>
      <c r="FG306" s="110"/>
      <c r="FH306" s="110"/>
      <c r="FI306" s="110"/>
      <c r="FJ306" s="110"/>
      <c r="FK306" s="110"/>
      <c r="FL306" s="110"/>
      <c r="FM306" s="110"/>
      <c r="FN306" s="110"/>
      <c r="FO306" s="110"/>
      <c r="FP306" s="110"/>
      <c r="FQ306" s="110"/>
      <c r="FR306" s="110"/>
      <c r="FS306" s="110"/>
      <c r="FT306" s="110"/>
      <c r="FU306" s="110"/>
      <c r="FV306" s="110"/>
      <c r="FW306" s="110"/>
      <c r="FX306" s="110"/>
      <c r="FY306" s="110"/>
      <c r="FZ306" s="110"/>
      <c r="GA306" s="110"/>
      <c r="GB306" s="110"/>
      <c r="GC306" s="110"/>
      <c r="GD306" s="110"/>
      <c r="GE306" s="110"/>
      <c r="GF306" s="110"/>
      <c r="GG306" s="110"/>
      <c r="GH306" s="110"/>
      <c r="GI306" s="110"/>
      <c r="GJ306" s="110"/>
      <c r="GK306" s="110"/>
      <c r="GL306" s="110"/>
      <c r="GM306" s="110"/>
      <c r="GN306" s="110"/>
      <c r="GO306" s="110"/>
      <c r="GP306" s="110"/>
      <c r="GQ306" s="110"/>
      <c r="GR306" s="110"/>
      <c r="GS306" s="110"/>
      <c r="GT306" s="110"/>
      <c r="GU306" s="110"/>
      <c r="GV306" s="110"/>
      <c r="GW306" s="110"/>
      <c r="GX306" s="110"/>
      <c r="GY306" s="110"/>
      <c r="GZ306" s="110"/>
      <c r="HA306" s="110"/>
      <c r="HB306" s="110"/>
      <c r="HC306" s="110"/>
      <c r="HD306" s="110"/>
      <c r="HE306" s="110"/>
      <c r="HF306" s="110"/>
      <c r="HG306" s="110"/>
      <c r="HH306" s="110"/>
      <c r="HI306" s="110"/>
      <c r="HJ306" s="110"/>
      <c r="HK306" s="110"/>
      <c r="HL306" s="110"/>
      <c r="HM306" s="110"/>
      <c r="HN306" s="110"/>
      <c r="HO306" s="110"/>
      <c r="HP306" s="110"/>
      <c r="HQ306" s="110"/>
      <c r="HR306" s="110"/>
      <c r="HS306" s="110"/>
      <c r="HT306" s="110"/>
      <c r="HU306" s="110"/>
      <c r="HV306" s="110"/>
      <c r="HW306" s="110"/>
      <c r="HX306" s="110"/>
      <c r="HY306" s="110"/>
      <c r="HZ306" s="110"/>
      <c r="IA306" s="110"/>
      <c r="IB306" s="110"/>
      <c r="IC306" s="110"/>
      <c r="ID306" s="110"/>
      <c r="IE306" s="110"/>
      <c r="IF306" s="110"/>
      <c r="IG306" s="110"/>
      <c r="IH306" s="110"/>
      <c r="II306" s="110"/>
      <c r="IJ306" s="110"/>
      <c r="IK306" s="110"/>
      <c r="IL306" s="110"/>
      <c r="IM306" s="110"/>
      <c r="IN306" s="110"/>
      <c r="IO306" s="110"/>
      <c r="IP306" s="110"/>
      <c r="IQ306" s="110"/>
      <c r="IR306" s="110"/>
      <c r="IS306" s="110"/>
      <c r="IT306" s="110"/>
      <c r="IU306" s="110"/>
      <c r="IV306" s="110"/>
      <c r="IW306" s="110"/>
      <c r="IX306" s="110"/>
      <c r="IY306" s="110"/>
      <c r="IZ306" s="110"/>
      <c r="JA306" s="110"/>
      <c r="JB306" s="110"/>
      <c r="JC306" s="110"/>
      <c r="JD306" s="110"/>
      <c r="JE306" s="110"/>
      <c r="JF306" s="110"/>
      <c r="JG306" s="110"/>
      <c r="JH306" s="110"/>
      <c r="JI306" s="110"/>
      <c r="JJ306" s="110"/>
      <c r="JK306" s="110"/>
      <c r="JL306" s="110"/>
      <c r="JM306" s="110"/>
      <c r="JN306" s="110"/>
      <c r="JO306" s="110"/>
      <c r="JP306" s="110"/>
      <c r="JQ306" s="110"/>
      <c r="JR306" s="110"/>
      <c r="JS306" s="110"/>
      <c r="JT306" s="110"/>
      <c r="JU306" s="110"/>
      <c r="JV306" s="110"/>
      <c r="JW306" s="110"/>
      <c r="JX306" s="110"/>
      <c r="JY306" s="110"/>
      <c r="JZ306" s="110"/>
      <c r="KA306" s="110"/>
      <c r="KB306" s="110"/>
      <c r="KC306" s="110"/>
      <c r="KD306" s="110"/>
      <c r="KE306" s="110"/>
      <c r="KF306" s="110"/>
      <c r="KG306" s="110"/>
      <c r="KH306" s="110"/>
      <c r="KI306" s="110"/>
      <c r="KJ306" s="110"/>
      <c r="KK306" s="110"/>
      <c r="KL306" s="110"/>
      <c r="KM306" s="110"/>
      <c r="KN306" s="110"/>
      <c r="KO306" s="110"/>
      <c r="KP306" s="110"/>
      <c r="KQ306" s="110"/>
      <c r="KR306" s="110"/>
      <c r="KS306" s="110"/>
      <c r="KT306" s="110"/>
      <c r="KU306" s="110"/>
      <c r="KV306" s="110"/>
      <c r="KW306" s="110"/>
      <c r="KX306" s="110"/>
      <c r="KY306" s="110"/>
      <c r="KZ306" s="110"/>
      <c r="LA306" s="110"/>
      <c r="LB306" s="110"/>
      <c r="LC306" s="110"/>
      <c r="LD306" s="110"/>
      <c r="LE306" s="110"/>
      <c r="LF306" s="110"/>
      <c r="LG306" s="110"/>
      <c r="LH306" s="110"/>
      <c r="LI306" s="110"/>
      <c r="LJ306" s="110"/>
      <c r="LK306" s="110"/>
      <c r="LL306" s="110"/>
      <c r="LM306" s="110"/>
      <c r="LN306" s="110"/>
      <c r="LO306" s="110"/>
      <c r="LP306" s="110"/>
      <c r="LQ306" s="110"/>
      <c r="LR306" s="110"/>
      <c r="LS306" s="110"/>
      <c r="LT306" s="110"/>
      <c r="LU306" s="110"/>
      <c r="LV306" s="110"/>
      <c r="LW306" s="110"/>
      <c r="LX306" s="110"/>
      <c r="LY306" s="110"/>
      <c r="LZ306" s="110"/>
      <c r="MA306" s="110"/>
      <c r="MB306" s="110"/>
      <c r="MC306" s="110"/>
      <c r="MD306" s="110"/>
      <c r="ME306" s="110"/>
      <c r="MF306" s="110"/>
      <c r="MG306" s="110"/>
      <c r="MH306" s="110"/>
      <c r="MI306" s="110"/>
      <c r="MJ306" s="110"/>
      <c r="MK306" s="110"/>
      <c r="ML306" s="110"/>
      <c r="MM306" s="110"/>
      <c r="MN306" s="110"/>
      <c r="MO306" s="110"/>
      <c r="MP306" s="110"/>
      <c r="MQ306" s="110"/>
      <c r="MR306" s="110"/>
      <c r="MS306" s="110"/>
      <c r="MT306" s="110"/>
      <c r="MU306" s="110"/>
      <c r="MV306" s="110"/>
      <c r="MW306" s="110"/>
      <c r="MX306" s="110"/>
      <c r="MY306" s="110"/>
      <c r="MZ306" s="110"/>
      <c r="NA306" s="110"/>
      <c r="NB306" s="110"/>
      <c r="NC306" s="110"/>
      <c r="ND306" s="110"/>
      <c r="NE306" s="110"/>
      <c r="NF306" s="110"/>
      <c r="NG306" s="110"/>
      <c r="NH306" s="110"/>
      <c r="NI306" s="110"/>
      <c r="NJ306" s="110"/>
      <c r="NK306" s="110"/>
      <c r="NL306" s="110"/>
      <c r="NM306" s="110"/>
      <c r="NN306" s="110"/>
      <c r="NO306" s="110"/>
      <c r="NP306" s="110"/>
      <c r="NQ306" s="110"/>
      <c r="NR306" s="110"/>
      <c r="NS306" s="110"/>
      <c r="NT306" s="110"/>
      <c r="NU306" s="110"/>
      <c r="NV306" s="110"/>
      <c r="NW306" s="110"/>
      <c r="NX306" s="110"/>
      <c r="NY306" s="110"/>
      <c r="NZ306" s="110"/>
      <c r="OA306" s="110"/>
      <c r="OB306" s="110"/>
      <c r="OC306" s="110"/>
      <c r="OD306" s="110"/>
      <c r="OE306" s="110"/>
      <c r="OF306" s="110"/>
      <c r="OG306" s="110"/>
      <c r="OH306" s="110"/>
      <c r="OI306" s="110"/>
      <c r="OJ306" s="110"/>
      <c r="OK306" s="110"/>
      <c r="OL306" s="110"/>
      <c r="OM306" s="110"/>
      <c r="ON306" s="110"/>
      <c r="OO306" s="110"/>
      <c r="OP306" s="110"/>
      <c r="OQ306" s="110"/>
      <c r="OR306" s="110"/>
      <c r="OS306" s="110"/>
      <c r="OT306" s="110"/>
      <c r="OU306" s="110"/>
      <c r="OV306" s="110"/>
      <c r="OW306" s="110"/>
      <c r="OX306" s="110"/>
      <c r="OY306" s="110"/>
      <c r="OZ306" s="110"/>
      <c r="PA306" s="110"/>
      <c r="PB306" s="110"/>
      <c r="PC306" s="110"/>
      <c r="PD306" s="110"/>
      <c r="PE306" s="110"/>
      <c r="PF306" s="110"/>
      <c r="PG306" s="110"/>
      <c r="PH306" s="110"/>
      <c r="PI306" s="110"/>
      <c r="PJ306" s="110"/>
      <c r="PK306" s="110"/>
      <c r="PL306" s="110"/>
      <c r="PM306" s="110"/>
      <c r="PN306" s="110"/>
      <c r="PO306" s="110"/>
      <c r="PP306" s="110"/>
      <c r="PQ306" s="110"/>
      <c r="PR306" s="110"/>
      <c r="PS306" s="110"/>
      <c r="PT306" s="110"/>
      <c r="PU306" s="110"/>
      <c r="PV306" s="110"/>
      <c r="PW306" s="110"/>
      <c r="PX306" s="110"/>
      <c r="PY306" s="110"/>
      <c r="PZ306" s="110"/>
      <c r="QA306" s="110"/>
      <c r="QB306" s="110"/>
      <c r="QC306" s="110"/>
      <c r="QD306" s="110"/>
      <c r="QE306" s="110"/>
      <c r="QF306" s="110"/>
      <c r="QG306" s="110"/>
      <c r="QH306" s="110"/>
      <c r="QI306" s="110"/>
      <c r="QJ306" s="110"/>
      <c r="QK306" s="110"/>
      <c r="QL306" s="110"/>
      <c r="QM306" s="110"/>
      <c r="QN306" s="110"/>
      <c r="QO306" s="110"/>
      <c r="QP306" s="110"/>
      <c r="QQ306" s="110"/>
      <c r="QR306" s="110"/>
      <c r="QS306" s="110"/>
      <c r="QT306" s="110"/>
      <c r="QU306" s="110"/>
      <c r="QV306" s="110"/>
      <c r="QW306" s="110"/>
      <c r="QX306" s="110"/>
      <c r="QY306" s="110"/>
      <c r="QZ306" s="110"/>
      <c r="RA306" s="110"/>
      <c r="RB306" s="110"/>
      <c r="RC306" s="110"/>
      <c r="RD306" s="110"/>
      <c r="RE306" s="110"/>
      <c r="RF306" s="110"/>
      <c r="RG306" s="110"/>
      <c r="RH306" s="110"/>
      <c r="RI306" s="110"/>
      <c r="RJ306" s="110"/>
      <c r="RK306" s="110"/>
      <c r="RL306" s="110"/>
      <c r="RM306" s="110"/>
      <c r="RN306" s="110"/>
      <c r="RO306" s="110"/>
      <c r="RP306" s="110"/>
      <c r="RQ306" s="110"/>
      <c r="RR306" s="110"/>
      <c r="RS306" s="110"/>
      <c r="RT306" s="110"/>
      <c r="RU306" s="110"/>
      <c r="RV306" s="110"/>
      <c r="RW306" s="110"/>
      <c r="RX306" s="110"/>
      <c r="RY306" s="110"/>
      <c r="RZ306" s="110"/>
      <c r="SA306" s="110"/>
      <c r="SB306" s="110"/>
      <c r="SC306" s="110"/>
      <c r="SD306" s="110"/>
      <c r="SE306" s="110"/>
      <c r="SF306" s="110"/>
      <c r="SG306" s="110"/>
      <c r="SH306" s="110"/>
      <c r="SI306" s="110"/>
      <c r="SJ306" s="110"/>
      <c r="SK306" s="110"/>
      <c r="SL306" s="110"/>
      <c r="SM306" s="110"/>
      <c r="SN306" s="110"/>
      <c r="SO306" s="110"/>
      <c r="SP306" s="110"/>
      <c r="SQ306" s="110"/>
      <c r="SR306" s="110"/>
      <c r="SS306" s="110"/>
      <c r="ST306" s="110"/>
      <c r="SU306" s="110"/>
      <c r="SV306" s="110"/>
      <c r="SW306" s="110"/>
      <c r="SX306" s="110"/>
      <c r="SY306" s="110"/>
      <c r="SZ306" s="110"/>
      <c r="TA306" s="110"/>
      <c r="TB306" s="110"/>
      <c r="TC306" s="110"/>
      <c r="TD306" s="110"/>
      <c r="TE306" s="110"/>
      <c r="TF306" s="110"/>
      <c r="TG306" s="110"/>
      <c r="TH306" s="110"/>
      <c r="TI306" s="110"/>
      <c r="TJ306" s="110"/>
      <c r="TK306" s="110"/>
      <c r="TL306" s="110"/>
      <c r="TM306" s="110"/>
      <c r="TN306" s="110"/>
      <c r="TO306" s="110"/>
      <c r="TP306" s="110"/>
      <c r="TQ306" s="110"/>
      <c r="TR306" s="110"/>
      <c r="TS306" s="110"/>
      <c r="TT306" s="110"/>
      <c r="TU306" s="110"/>
      <c r="TV306" s="110"/>
      <c r="TW306" s="110"/>
      <c r="TX306" s="110"/>
      <c r="TY306" s="110"/>
      <c r="TZ306" s="110"/>
      <c r="UA306" s="110"/>
      <c r="UB306" s="110"/>
      <c r="UC306" s="110"/>
      <c r="UD306" s="110"/>
      <c r="UE306" s="110"/>
      <c r="UF306" s="110"/>
      <c r="UG306" s="110"/>
      <c r="UH306" s="110"/>
      <c r="UI306" s="110"/>
      <c r="UJ306" s="110"/>
      <c r="UK306" s="110"/>
      <c r="UL306" s="110"/>
      <c r="UM306" s="110"/>
      <c r="UN306" s="110"/>
      <c r="UO306" s="110"/>
      <c r="UP306" s="110"/>
      <c r="UQ306" s="110"/>
      <c r="UR306" s="110"/>
      <c r="US306" s="110"/>
      <c r="UT306" s="110"/>
      <c r="UU306" s="110"/>
      <c r="UV306" s="110"/>
      <c r="UW306" s="110"/>
      <c r="UX306" s="110"/>
      <c r="UY306" s="110"/>
      <c r="UZ306" s="110"/>
      <c r="VA306" s="110"/>
      <c r="VB306" s="110"/>
      <c r="VC306" s="110"/>
      <c r="VD306" s="110"/>
      <c r="VE306" s="110"/>
      <c r="VF306" s="110"/>
      <c r="VG306" s="110"/>
      <c r="VH306" s="110"/>
      <c r="VI306" s="110"/>
      <c r="VJ306" s="110"/>
      <c r="VK306" s="110"/>
      <c r="VL306" s="110"/>
      <c r="VM306" s="110"/>
      <c r="VN306" s="110"/>
      <c r="VO306" s="110"/>
      <c r="VP306" s="110"/>
      <c r="VQ306" s="110"/>
      <c r="VR306" s="110"/>
      <c r="VS306" s="110"/>
      <c r="VT306" s="110"/>
      <c r="VU306" s="110"/>
      <c r="VV306" s="110"/>
      <c r="VW306" s="110"/>
      <c r="VX306" s="110"/>
      <c r="VY306" s="110"/>
      <c r="VZ306" s="110"/>
      <c r="WA306" s="110"/>
      <c r="WB306" s="110"/>
      <c r="WC306" s="110"/>
      <c r="WD306" s="110"/>
      <c r="WE306" s="110"/>
      <c r="WF306" s="110"/>
      <c r="WG306" s="110"/>
      <c r="WH306" s="110"/>
      <c r="WI306" s="110"/>
      <c r="WJ306" s="110"/>
      <c r="WK306" s="110"/>
      <c r="WL306" s="110"/>
      <c r="WM306" s="110"/>
      <c r="WN306" s="110"/>
      <c r="WO306" s="110"/>
      <c r="WP306" s="110"/>
      <c r="WQ306" s="110"/>
      <c r="WR306" s="110"/>
      <c r="WS306" s="110"/>
      <c r="WT306" s="110"/>
      <c r="WU306" s="110"/>
      <c r="WV306" s="110"/>
      <c r="WW306" s="110"/>
      <c r="WX306" s="110"/>
      <c r="WY306" s="110"/>
      <c r="WZ306" s="110"/>
      <c r="XA306" s="110"/>
      <c r="XB306" s="110"/>
      <c r="XC306" s="110"/>
      <c r="XD306" s="110"/>
      <c r="XE306" s="110"/>
      <c r="XF306" s="110"/>
      <c r="XG306" s="110"/>
      <c r="XH306" s="110"/>
      <c r="XI306" s="110"/>
      <c r="XJ306" s="110"/>
      <c r="XK306" s="110"/>
      <c r="XL306" s="110"/>
      <c r="XM306" s="110"/>
      <c r="XN306" s="110"/>
      <c r="XO306" s="110"/>
      <c r="XP306" s="110"/>
      <c r="XQ306" s="110"/>
      <c r="XR306" s="110"/>
      <c r="XS306" s="110"/>
      <c r="XT306" s="110"/>
      <c r="XU306" s="110"/>
      <c r="XV306" s="110"/>
      <c r="XW306" s="110"/>
      <c r="XX306" s="110"/>
      <c r="XY306" s="110"/>
      <c r="XZ306" s="110"/>
      <c r="YA306" s="110"/>
      <c r="YB306" s="110"/>
      <c r="YC306" s="110"/>
      <c r="YD306" s="110"/>
      <c r="YE306" s="110"/>
      <c r="YF306" s="110"/>
      <c r="YG306" s="110"/>
      <c r="YH306" s="110"/>
      <c r="YI306" s="110"/>
      <c r="YJ306" s="110"/>
      <c r="YK306" s="110"/>
      <c r="YL306" s="110"/>
      <c r="YM306" s="110"/>
      <c r="YN306" s="110"/>
      <c r="YO306" s="110"/>
      <c r="YP306" s="110"/>
      <c r="YQ306" s="110"/>
      <c r="YR306" s="110"/>
      <c r="YS306" s="110"/>
      <c r="YT306" s="110"/>
      <c r="YU306" s="110"/>
      <c r="YV306" s="110"/>
      <c r="YW306" s="110"/>
      <c r="YX306" s="110"/>
      <c r="YY306" s="110"/>
      <c r="YZ306" s="110"/>
      <c r="ZA306" s="110"/>
      <c r="ZB306" s="110"/>
      <c r="ZC306" s="110"/>
      <c r="ZD306" s="110"/>
      <c r="ZE306" s="110"/>
      <c r="ZF306" s="110"/>
      <c r="ZG306" s="110"/>
      <c r="ZH306" s="110"/>
      <c r="ZI306" s="110"/>
      <c r="ZJ306" s="110"/>
      <c r="ZK306" s="110"/>
      <c r="ZL306" s="110"/>
      <c r="ZM306" s="110"/>
      <c r="ZN306" s="110"/>
      <c r="ZO306" s="110"/>
      <c r="ZP306" s="110"/>
      <c r="ZQ306" s="110"/>
      <c r="ZR306" s="110"/>
      <c r="ZS306" s="110"/>
      <c r="ZT306" s="110"/>
      <c r="ZU306" s="110"/>
      <c r="ZV306" s="110"/>
      <c r="ZW306" s="110"/>
      <c r="ZX306" s="110"/>
      <c r="ZY306" s="110"/>
      <c r="ZZ306" s="110"/>
      <c r="AAA306" s="110"/>
      <c r="AAB306" s="110"/>
      <c r="AAC306" s="110"/>
      <c r="AAD306" s="110"/>
      <c r="AAE306" s="110"/>
      <c r="AAF306" s="110"/>
      <c r="AAG306" s="110"/>
      <c r="AAH306" s="110"/>
      <c r="AAI306" s="110"/>
      <c r="AAJ306" s="110"/>
      <c r="AAK306" s="110"/>
      <c r="AAL306" s="110"/>
      <c r="AAM306" s="110"/>
      <c r="AAN306" s="110"/>
      <c r="AAO306" s="110"/>
      <c r="AAP306" s="110"/>
      <c r="AAQ306" s="110"/>
      <c r="AAR306" s="110"/>
      <c r="AAS306" s="110"/>
      <c r="AAT306" s="110"/>
      <c r="AAU306" s="110"/>
      <c r="AAV306" s="110"/>
      <c r="AAW306" s="110"/>
      <c r="AAX306" s="110"/>
      <c r="AAY306" s="110"/>
      <c r="AAZ306" s="110"/>
      <c r="ABA306" s="110"/>
      <c r="ABB306" s="110"/>
      <c r="ABC306" s="110"/>
      <c r="ABD306" s="110"/>
      <c r="ABE306" s="110"/>
      <c r="ABF306" s="110"/>
      <c r="ABG306" s="110"/>
      <c r="ABH306" s="110"/>
      <c r="ABI306" s="110"/>
      <c r="ABJ306" s="110"/>
      <c r="ABK306" s="110"/>
      <c r="ABL306" s="110"/>
      <c r="ABM306" s="110"/>
      <c r="ABN306" s="110"/>
      <c r="ABO306" s="110"/>
      <c r="ABP306" s="110"/>
      <c r="ABQ306" s="110"/>
      <c r="ABR306" s="110"/>
      <c r="ABS306" s="110"/>
      <c r="ABT306" s="110"/>
      <c r="ABU306" s="110"/>
      <c r="ABV306" s="110"/>
      <c r="ABW306" s="110"/>
      <c r="ABX306" s="110"/>
      <c r="ABY306" s="110"/>
      <c r="ABZ306" s="110"/>
      <c r="ACA306" s="110"/>
      <c r="ACB306" s="110"/>
      <c r="ACC306" s="110"/>
      <c r="ACD306" s="110"/>
      <c r="ACE306" s="110"/>
      <c r="ACF306" s="110"/>
      <c r="ACG306" s="110"/>
      <c r="ACH306" s="110"/>
      <c r="ACI306" s="110"/>
      <c r="ACJ306" s="110"/>
      <c r="ACK306" s="110"/>
      <c r="ACL306" s="110"/>
      <c r="ACM306" s="110"/>
      <c r="ACN306" s="110"/>
      <c r="ACO306" s="110"/>
      <c r="ACP306" s="110"/>
      <c r="ACQ306" s="110"/>
      <c r="ACR306" s="110"/>
      <c r="ACS306" s="110"/>
      <c r="ACT306" s="110"/>
      <c r="ACU306" s="110"/>
      <c r="ACV306" s="110"/>
      <c r="ACW306" s="110"/>
      <c r="ACX306" s="110"/>
      <c r="ACY306" s="110"/>
      <c r="ACZ306" s="110"/>
      <c r="ADA306" s="110"/>
      <c r="ADB306" s="110"/>
      <c r="ADC306" s="110"/>
      <c r="ADD306" s="110"/>
      <c r="ADE306" s="110"/>
      <c r="ADF306" s="110"/>
      <c r="ADG306" s="110"/>
      <c r="ADH306" s="110"/>
      <c r="ADI306" s="110"/>
      <c r="ADJ306" s="110"/>
      <c r="ADK306" s="110"/>
      <c r="ADL306" s="110"/>
      <c r="ADM306" s="110"/>
      <c r="ADN306" s="110"/>
      <c r="ADO306" s="110"/>
      <c r="ADP306" s="110"/>
      <c r="ADQ306" s="110"/>
      <c r="ADR306" s="110"/>
      <c r="ADS306" s="110"/>
      <c r="ADT306" s="110"/>
      <c r="ADU306" s="110"/>
      <c r="ADV306" s="110"/>
      <c r="ADW306" s="110"/>
      <c r="ADX306" s="110"/>
      <c r="ADY306" s="110"/>
      <c r="ADZ306" s="110"/>
      <c r="AEA306" s="110"/>
      <c r="AEB306" s="110"/>
      <c r="AEC306" s="110"/>
      <c r="AED306" s="110"/>
      <c r="AEE306" s="110"/>
      <c r="AEF306" s="110"/>
      <c r="AEG306" s="110"/>
      <c r="AEH306" s="110"/>
      <c r="AEI306" s="110"/>
      <c r="AEJ306" s="110"/>
      <c r="AEK306" s="110"/>
      <c r="AEL306" s="110"/>
      <c r="AEM306" s="110"/>
      <c r="AEN306" s="110"/>
      <c r="AEO306" s="110"/>
      <c r="AEP306" s="110"/>
      <c r="AEQ306" s="110"/>
      <c r="AER306" s="110"/>
      <c r="AES306" s="110"/>
      <c r="AET306" s="110"/>
      <c r="AEU306" s="110"/>
      <c r="AEV306" s="110"/>
      <c r="AEW306" s="110"/>
      <c r="AEX306" s="110"/>
      <c r="AEY306" s="110"/>
      <c r="AEZ306" s="110"/>
      <c r="AFA306" s="110"/>
      <c r="AFB306" s="110"/>
      <c r="AFC306" s="110"/>
      <c r="AFD306" s="110"/>
      <c r="AFE306" s="110"/>
      <c r="AFF306" s="110"/>
      <c r="AFG306" s="110"/>
      <c r="AFH306" s="110"/>
      <c r="AFI306" s="110"/>
      <c r="AFJ306" s="110"/>
      <c r="AFK306" s="110"/>
      <c r="AFL306" s="110"/>
      <c r="AFM306" s="110"/>
      <c r="AFN306" s="110"/>
      <c r="AFO306" s="110"/>
      <c r="AFP306" s="110"/>
      <c r="AFQ306" s="110"/>
      <c r="AFR306" s="110"/>
      <c r="AFS306" s="110"/>
      <c r="AFT306" s="110"/>
      <c r="AFU306" s="110"/>
      <c r="AFV306" s="110"/>
      <c r="AFW306" s="110"/>
      <c r="AFX306" s="110"/>
      <c r="AFY306" s="110"/>
      <c r="AFZ306" s="110"/>
      <c r="AGA306" s="110"/>
      <c r="AGB306" s="110"/>
      <c r="AGC306" s="110"/>
      <c r="AGD306" s="110"/>
      <c r="AGE306" s="110"/>
      <c r="AGF306" s="110"/>
      <c r="AGG306" s="110"/>
      <c r="AGH306" s="110"/>
      <c r="AGI306" s="110"/>
      <c r="AGJ306" s="110"/>
      <c r="AGK306" s="110"/>
      <c r="AGL306" s="110"/>
      <c r="AGM306" s="110"/>
      <c r="AGN306" s="110"/>
      <c r="AGO306" s="110"/>
      <c r="AGP306" s="110"/>
      <c r="AGQ306" s="110"/>
      <c r="AGR306" s="110"/>
      <c r="AGS306" s="110"/>
      <c r="AGT306" s="110"/>
      <c r="AGU306" s="110"/>
      <c r="AGV306" s="110"/>
      <c r="AGW306" s="110"/>
      <c r="AGX306" s="110"/>
      <c r="AGY306" s="110"/>
      <c r="AGZ306" s="110"/>
      <c r="AHA306" s="110"/>
      <c r="AHB306" s="110"/>
      <c r="AHC306" s="110"/>
      <c r="AHD306" s="110"/>
      <c r="AHE306" s="110"/>
      <c r="AHF306" s="110"/>
      <c r="AHG306" s="110"/>
      <c r="AHH306" s="110"/>
      <c r="AHI306" s="110"/>
      <c r="AHJ306" s="110"/>
      <c r="AHK306" s="110"/>
      <c r="AHL306" s="110"/>
      <c r="AHM306" s="110"/>
      <c r="AHN306" s="110"/>
      <c r="AHO306" s="110"/>
      <c r="AHP306" s="110"/>
      <c r="AHQ306" s="110"/>
      <c r="AHR306" s="110"/>
      <c r="AHS306" s="110"/>
      <c r="AHT306" s="110"/>
      <c r="AHU306" s="110"/>
      <c r="AHV306" s="110"/>
      <c r="AHW306" s="110"/>
      <c r="AHX306" s="110"/>
      <c r="AHY306" s="110"/>
      <c r="AHZ306" s="110"/>
      <c r="AIA306" s="110"/>
      <c r="AIB306" s="110"/>
      <c r="AIC306" s="110"/>
      <c r="AID306" s="110"/>
      <c r="AIE306" s="110"/>
      <c r="AIF306" s="110"/>
      <c r="AIG306" s="110"/>
      <c r="AIH306" s="110"/>
      <c r="AII306" s="110"/>
      <c r="AIJ306" s="110"/>
      <c r="AIK306" s="110"/>
      <c r="AIL306" s="110"/>
      <c r="AIM306" s="110"/>
      <c r="AIN306" s="110"/>
      <c r="AIO306" s="110"/>
      <c r="AIP306" s="110"/>
      <c r="AIQ306" s="110"/>
      <c r="AIR306" s="110"/>
      <c r="AIS306" s="110"/>
      <c r="AIT306" s="110"/>
      <c r="AIU306" s="110"/>
      <c r="AIV306" s="110"/>
      <c r="AIW306" s="110"/>
      <c r="AIX306" s="110"/>
      <c r="AIY306" s="110"/>
      <c r="AIZ306" s="110"/>
      <c r="AJA306" s="110"/>
      <c r="AJB306" s="110"/>
      <c r="AJC306" s="110"/>
      <c r="AJD306" s="110"/>
      <c r="AJE306" s="110"/>
      <c r="AJF306" s="110"/>
      <c r="AJG306" s="110"/>
      <c r="AJH306" s="110"/>
      <c r="AJI306" s="110"/>
      <c r="AJJ306" s="110"/>
      <c r="AJK306" s="110"/>
      <c r="AJL306" s="110"/>
      <c r="AJM306" s="110"/>
      <c r="AJN306" s="110"/>
      <c r="AJO306" s="110"/>
      <c r="AJP306" s="110"/>
      <c r="AJQ306" s="110"/>
      <c r="AJR306" s="110"/>
      <c r="AJS306" s="110"/>
      <c r="AJT306" s="110"/>
      <c r="AJU306" s="110"/>
      <c r="AJV306" s="110"/>
      <c r="AJW306" s="110"/>
      <c r="AJX306" s="110"/>
      <c r="AJY306" s="110"/>
      <c r="AJZ306" s="110"/>
      <c r="AKA306" s="110"/>
      <c r="AKB306" s="110"/>
      <c r="AKC306" s="110"/>
      <c r="AKD306" s="110"/>
      <c r="AKE306" s="110"/>
      <c r="AKF306" s="110"/>
      <c r="AKG306" s="110"/>
      <c r="AKH306" s="110"/>
      <c r="AKI306" s="110"/>
      <c r="AKJ306" s="110"/>
      <c r="AKK306" s="110"/>
      <c r="AKL306" s="110"/>
      <c r="AKM306" s="110"/>
      <c r="AKN306" s="110"/>
      <c r="AKO306" s="110"/>
      <c r="AKP306" s="110"/>
      <c r="AKQ306" s="110"/>
      <c r="AKR306" s="110"/>
      <c r="AKS306" s="110"/>
      <c r="AKT306" s="110"/>
      <c r="AKU306" s="110"/>
      <c r="AKV306" s="110"/>
      <c r="AKW306" s="110"/>
      <c r="AKX306" s="110"/>
      <c r="AKY306" s="110"/>
      <c r="AKZ306" s="110"/>
      <c r="ALA306" s="110"/>
      <c r="ALB306" s="110"/>
      <c r="ALC306" s="110"/>
      <c r="ALD306" s="110"/>
      <c r="ALE306" s="110"/>
      <c r="ALF306" s="110"/>
      <c r="ALG306" s="110"/>
      <c r="ALH306" s="110"/>
      <c r="ALI306" s="110"/>
      <c r="ALJ306" s="110"/>
      <c r="ALK306" s="110"/>
      <c r="ALL306" s="110"/>
      <c r="ALM306" s="110"/>
      <c r="ALN306" s="110"/>
      <c r="ALO306" s="110"/>
      <c r="ALP306" s="110"/>
      <c r="ALQ306" s="110"/>
      <c r="ALR306" s="110"/>
      <c r="ALS306" s="110"/>
      <c r="ALT306" s="110"/>
      <c r="ALU306" s="110"/>
      <c r="ALV306" s="110"/>
      <c r="ALW306" s="110"/>
      <c r="ALX306" s="110"/>
      <c r="ALY306" s="110"/>
      <c r="ALZ306" s="110"/>
      <c r="AMA306" s="110"/>
      <c r="AMB306" s="110"/>
      <c r="AMC306" s="110"/>
      <c r="AMD306" s="110"/>
      <c r="AME306" s="110"/>
      <c r="AMF306" s="110"/>
    </row>
    <row r="307" spans="1:1020" s="142" customFormat="1" ht="11.25" customHeight="1">
      <c r="A307" s="123"/>
      <c r="B307" s="141">
        <v>3</v>
      </c>
      <c r="C307" s="126">
        <v>300</v>
      </c>
      <c r="D307" s="127" t="s">
        <v>481</v>
      </c>
      <c r="E307" s="194">
        <f t="shared" si="52"/>
        <v>465</v>
      </c>
      <c r="F307" s="125">
        <f>ROUND(E307*Valores!$C$2,2)</f>
        <v>25319.25</v>
      </c>
      <c r="G307" s="192">
        <v>0</v>
      </c>
      <c r="H307" s="125">
        <f>ROUND(G307*Valores!$C$2,2)</f>
        <v>0</v>
      </c>
      <c r="I307" s="192">
        <v>0</v>
      </c>
      <c r="J307" s="125">
        <f>ROUND(I307*Valores!$C$2,2)</f>
        <v>0</v>
      </c>
      <c r="K307" s="192">
        <v>0</v>
      </c>
      <c r="L307" s="125">
        <f>ROUND(K307*Valores!$C$2,2)</f>
        <v>0</v>
      </c>
      <c r="M307" s="125">
        <f>ROUND(IF($H$2=0,IF(AND(A307&lt;&gt;"13-930",A307&lt;&gt;"13-940"),(SUM(F307,H307,J307,L307,X307,T307,R307)*Valores!$C$4),0),0),2)</f>
        <v>7059.26</v>
      </c>
      <c r="N307" s="125">
        <f t="shared" si="42"/>
        <v>0</v>
      </c>
      <c r="O307" s="125">
        <v>0</v>
      </c>
      <c r="P307" s="125">
        <v>0</v>
      </c>
      <c r="Q307" s="125">
        <v>0</v>
      </c>
      <c r="R307" s="125">
        <f>IF($F$4="NO",IF(Valores!$C$49*B307&gt;Valores!$C$46,Valores!$C$46,Valores!$C$49*B307),IF(Valores!$C$49*B307&gt;Valores!$C$46,Valores!$C$46,Valores!$C$49*B307)/2)</f>
        <v>2917.8</v>
      </c>
      <c r="S307" s="125">
        <v>0</v>
      </c>
      <c r="T307" s="125">
        <f t="shared" si="51"/>
        <v>0</v>
      </c>
      <c r="U307" s="125">
        <v>0</v>
      </c>
      <c r="V307" s="125">
        <v>0</v>
      </c>
      <c r="W307" s="192">
        <v>0</v>
      </c>
      <c r="X307" s="125">
        <f>ROUND(W307*Valores!$C$2,2)</f>
        <v>0</v>
      </c>
      <c r="Y307" s="125">
        <v>0</v>
      </c>
      <c r="Z307" s="125">
        <v>0</v>
      </c>
      <c r="AA307" s="125">
        <v>0</v>
      </c>
      <c r="AB307" s="214">
        <v>0</v>
      </c>
      <c r="AC307" s="125">
        <f t="shared" si="43"/>
        <v>0</v>
      </c>
      <c r="AD307" s="125">
        <v>0</v>
      </c>
      <c r="AE307" s="192">
        <v>0</v>
      </c>
      <c r="AF307" s="125">
        <f>ROUND(AE307*Valores!$C$2,2)</f>
        <v>0</v>
      </c>
      <c r="AG307" s="125">
        <v>0</v>
      </c>
      <c r="AH307" s="125">
        <f t="shared" si="46"/>
        <v>35296.310000000005</v>
      </c>
      <c r="AI307" s="125">
        <v>0</v>
      </c>
      <c r="AJ307" s="125">
        <v>0</v>
      </c>
      <c r="AK307" s="125">
        <v>0</v>
      </c>
      <c r="AL307" s="125">
        <v>0</v>
      </c>
      <c r="AM307" s="125">
        <f t="shared" si="44"/>
        <v>0</v>
      </c>
      <c r="AN307" s="125">
        <f>AH307*Valores!$C$71</f>
        <v>-3882.5941000000007</v>
      </c>
      <c r="AO307" s="125">
        <f>AH307*-Valores!$C$72</f>
        <v>0</v>
      </c>
      <c r="AP307" s="125">
        <f>AH307*Valores!$C$73</f>
        <v>-1588.3339500000002</v>
      </c>
      <c r="AQ307" s="125">
        <v>0</v>
      </c>
      <c r="AR307" s="125">
        <v>0</v>
      </c>
      <c r="AS307" s="125">
        <f t="shared" si="47"/>
        <v>29825.381950000003</v>
      </c>
      <c r="AT307" s="125">
        <f t="shared" si="41"/>
        <v>-3882.5941000000007</v>
      </c>
      <c r="AU307" s="125">
        <f>AH307*Valores!$C$74</f>
        <v>-953.0003700000001</v>
      </c>
      <c r="AV307" s="125">
        <f>AH307*Valores!$C$75</f>
        <v>-105.88893000000002</v>
      </c>
      <c r="AW307" s="125">
        <f t="shared" si="45"/>
        <v>30354.826600000004</v>
      </c>
      <c r="AX307" s="126"/>
      <c r="AY307" s="126"/>
      <c r="AZ307" s="123" t="s">
        <v>4</v>
      </c>
      <c r="BA307" s="110"/>
      <c r="BB307" s="110"/>
      <c r="BC307" s="110"/>
      <c r="BD307" s="110"/>
      <c r="BE307" s="110"/>
      <c r="BF307" s="110"/>
      <c r="BG307" s="110"/>
      <c r="BH307" s="110"/>
      <c r="BI307" s="110"/>
      <c r="BJ307" s="110"/>
      <c r="BK307" s="110"/>
      <c r="BL307" s="110"/>
      <c r="BM307" s="110"/>
      <c r="BN307" s="110"/>
      <c r="BO307" s="110"/>
      <c r="BP307" s="110"/>
      <c r="BQ307" s="110"/>
      <c r="BR307" s="110"/>
      <c r="BS307" s="110"/>
      <c r="BT307" s="110"/>
      <c r="BU307" s="110"/>
      <c r="BV307" s="110"/>
      <c r="BW307" s="110"/>
      <c r="BX307" s="110"/>
      <c r="BY307" s="110"/>
      <c r="BZ307" s="110"/>
      <c r="CA307" s="110"/>
      <c r="CB307" s="110"/>
      <c r="CC307" s="110"/>
      <c r="CD307" s="110"/>
      <c r="CE307" s="110"/>
      <c r="CF307" s="110"/>
      <c r="CG307" s="110"/>
      <c r="CH307" s="110"/>
      <c r="CI307" s="110"/>
      <c r="CJ307" s="110"/>
      <c r="CK307" s="110"/>
      <c r="CL307" s="110"/>
      <c r="CM307" s="110"/>
      <c r="CN307" s="110"/>
      <c r="CO307" s="110"/>
      <c r="CP307" s="110"/>
      <c r="CQ307" s="110"/>
      <c r="CR307" s="110"/>
      <c r="CS307" s="110"/>
      <c r="CT307" s="110"/>
      <c r="CU307" s="110"/>
      <c r="CV307" s="110"/>
      <c r="CW307" s="110"/>
      <c r="CX307" s="110"/>
      <c r="CY307" s="110"/>
      <c r="CZ307" s="110"/>
      <c r="DA307" s="110"/>
      <c r="DB307" s="110"/>
      <c r="DC307" s="110"/>
      <c r="DD307" s="110"/>
      <c r="DE307" s="110"/>
      <c r="DF307" s="110"/>
      <c r="DG307" s="110"/>
      <c r="DH307" s="110"/>
      <c r="DI307" s="110"/>
      <c r="DJ307" s="110"/>
      <c r="DK307" s="110"/>
      <c r="DL307" s="110"/>
      <c r="DM307" s="110"/>
      <c r="DN307" s="110"/>
      <c r="DO307" s="110"/>
      <c r="DP307" s="110"/>
      <c r="DQ307" s="110"/>
      <c r="DR307" s="110"/>
      <c r="DS307" s="110"/>
      <c r="DT307" s="110"/>
      <c r="DU307" s="110"/>
      <c r="DV307" s="110"/>
      <c r="DW307" s="110"/>
      <c r="DX307" s="110"/>
      <c r="DY307" s="110"/>
      <c r="DZ307" s="110"/>
      <c r="EA307" s="110"/>
      <c r="EB307" s="110"/>
      <c r="EC307" s="110"/>
      <c r="ED307" s="110"/>
      <c r="EE307" s="110"/>
      <c r="EF307" s="110"/>
      <c r="EG307" s="110"/>
      <c r="EH307" s="110"/>
      <c r="EI307" s="110"/>
      <c r="EJ307" s="110"/>
      <c r="EK307" s="110"/>
      <c r="EL307" s="110"/>
      <c r="EM307" s="110"/>
      <c r="EN307" s="110"/>
      <c r="EO307" s="110"/>
      <c r="EP307" s="110"/>
      <c r="EQ307" s="110"/>
      <c r="ER307" s="110"/>
      <c r="ES307" s="110"/>
      <c r="ET307" s="110"/>
      <c r="EU307" s="110"/>
      <c r="EV307" s="110"/>
      <c r="EW307" s="110"/>
      <c r="EX307" s="110"/>
      <c r="EY307" s="110"/>
      <c r="EZ307" s="110"/>
      <c r="FA307" s="110"/>
      <c r="FB307" s="110"/>
      <c r="FC307" s="110"/>
      <c r="FD307" s="110"/>
      <c r="FE307" s="110"/>
      <c r="FF307" s="110"/>
      <c r="FG307" s="110"/>
      <c r="FH307" s="110"/>
      <c r="FI307" s="110"/>
      <c r="FJ307" s="110"/>
      <c r="FK307" s="110"/>
      <c r="FL307" s="110"/>
      <c r="FM307" s="110"/>
      <c r="FN307" s="110"/>
      <c r="FO307" s="110"/>
      <c r="FP307" s="110"/>
      <c r="FQ307" s="110"/>
      <c r="FR307" s="110"/>
      <c r="FS307" s="110"/>
      <c r="FT307" s="110"/>
      <c r="FU307" s="110"/>
      <c r="FV307" s="110"/>
      <c r="FW307" s="110"/>
      <c r="FX307" s="110"/>
      <c r="FY307" s="110"/>
      <c r="FZ307" s="110"/>
      <c r="GA307" s="110"/>
      <c r="GB307" s="110"/>
      <c r="GC307" s="110"/>
      <c r="GD307" s="110"/>
      <c r="GE307" s="110"/>
      <c r="GF307" s="110"/>
      <c r="GG307" s="110"/>
      <c r="GH307" s="110"/>
      <c r="GI307" s="110"/>
      <c r="GJ307" s="110"/>
      <c r="GK307" s="110"/>
      <c r="GL307" s="110"/>
      <c r="GM307" s="110"/>
      <c r="GN307" s="110"/>
      <c r="GO307" s="110"/>
      <c r="GP307" s="110"/>
      <c r="GQ307" s="110"/>
      <c r="GR307" s="110"/>
      <c r="GS307" s="110"/>
      <c r="GT307" s="110"/>
      <c r="GU307" s="110"/>
      <c r="GV307" s="110"/>
      <c r="GW307" s="110"/>
      <c r="GX307" s="110"/>
      <c r="GY307" s="110"/>
      <c r="GZ307" s="110"/>
      <c r="HA307" s="110"/>
      <c r="HB307" s="110"/>
      <c r="HC307" s="110"/>
      <c r="HD307" s="110"/>
      <c r="HE307" s="110"/>
      <c r="HF307" s="110"/>
      <c r="HG307" s="110"/>
      <c r="HH307" s="110"/>
      <c r="HI307" s="110"/>
      <c r="HJ307" s="110"/>
      <c r="HK307" s="110"/>
      <c r="HL307" s="110"/>
      <c r="HM307" s="110"/>
      <c r="HN307" s="110"/>
      <c r="HO307" s="110"/>
      <c r="HP307" s="110"/>
      <c r="HQ307" s="110"/>
      <c r="HR307" s="110"/>
      <c r="HS307" s="110"/>
      <c r="HT307" s="110"/>
      <c r="HU307" s="110"/>
      <c r="HV307" s="110"/>
      <c r="HW307" s="110"/>
      <c r="HX307" s="110"/>
      <c r="HY307" s="110"/>
      <c r="HZ307" s="110"/>
      <c r="IA307" s="110"/>
      <c r="IB307" s="110"/>
      <c r="IC307" s="110"/>
      <c r="ID307" s="110"/>
      <c r="IE307" s="110"/>
      <c r="IF307" s="110"/>
      <c r="IG307" s="110"/>
      <c r="IH307" s="110"/>
      <c r="II307" s="110"/>
      <c r="IJ307" s="110"/>
      <c r="IK307" s="110"/>
      <c r="IL307" s="110"/>
      <c r="IM307" s="110"/>
      <c r="IN307" s="110"/>
      <c r="IO307" s="110"/>
      <c r="IP307" s="110"/>
      <c r="IQ307" s="110"/>
      <c r="IR307" s="110"/>
      <c r="IS307" s="110"/>
      <c r="IT307" s="110"/>
      <c r="IU307" s="110"/>
      <c r="IV307" s="110"/>
      <c r="IW307" s="110"/>
      <c r="IX307" s="110"/>
      <c r="IY307" s="110"/>
      <c r="IZ307" s="110"/>
      <c r="JA307" s="110"/>
      <c r="JB307" s="110"/>
      <c r="JC307" s="110"/>
      <c r="JD307" s="110"/>
      <c r="JE307" s="110"/>
      <c r="JF307" s="110"/>
      <c r="JG307" s="110"/>
      <c r="JH307" s="110"/>
      <c r="JI307" s="110"/>
      <c r="JJ307" s="110"/>
      <c r="JK307" s="110"/>
      <c r="JL307" s="110"/>
      <c r="JM307" s="110"/>
      <c r="JN307" s="110"/>
      <c r="JO307" s="110"/>
      <c r="JP307" s="110"/>
      <c r="JQ307" s="110"/>
      <c r="JR307" s="110"/>
      <c r="JS307" s="110"/>
      <c r="JT307" s="110"/>
      <c r="JU307" s="110"/>
      <c r="JV307" s="110"/>
      <c r="JW307" s="110"/>
      <c r="JX307" s="110"/>
      <c r="JY307" s="110"/>
      <c r="JZ307" s="110"/>
      <c r="KA307" s="110"/>
      <c r="KB307" s="110"/>
      <c r="KC307" s="110"/>
      <c r="KD307" s="110"/>
      <c r="KE307" s="110"/>
      <c r="KF307" s="110"/>
      <c r="KG307" s="110"/>
      <c r="KH307" s="110"/>
      <c r="KI307" s="110"/>
      <c r="KJ307" s="110"/>
      <c r="KK307" s="110"/>
      <c r="KL307" s="110"/>
      <c r="KM307" s="110"/>
      <c r="KN307" s="110"/>
      <c r="KO307" s="110"/>
      <c r="KP307" s="110"/>
      <c r="KQ307" s="110"/>
      <c r="KR307" s="110"/>
      <c r="KS307" s="110"/>
      <c r="KT307" s="110"/>
      <c r="KU307" s="110"/>
      <c r="KV307" s="110"/>
      <c r="KW307" s="110"/>
      <c r="KX307" s="110"/>
      <c r="KY307" s="110"/>
      <c r="KZ307" s="110"/>
      <c r="LA307" s="110"/>
      <c r="LB307" s="110"/>
      <c r="LC307" s="110"/>
      <c r="LD307" s="110"/>
      <c r="LE307" s="110"/>
      <c r="LF307" s="110"/>
      <c r="LG307" s="110"/>
      <c r="LH307" s="110"/>
      <c r="LI307" s="110"/>
      <c r="LJ307" s="110"/>
      <c r="LK307" s="110"/>
      <c r="LL307" s="110"/>
      <c r="LM307" s="110"/>
      <c r="LN307" s="110"/>
      <c r="LO307" s="110"/>
      <c r="LP307" s="110"/>
      <c r="LQ307" s="110"/>
      <c r="LR307" s="110"/>
      <c r="LS307" s="110"/>
      <c r="LT307" s="110"/>
      <c r="LU307" s="110"/>
      <c r="LV307" s="110"/>
      <c r="LW307" s="110"/>
      <c r="LX307" s="110"/>
      <c r="LY307" s="110"/>
      <c r="LZ307" s="110"/>
      <c r="MA307" s="110"/>
      <c r="MB307" s="110"/>
      <c r="MC307" s="110"/>
      <c r="MD307" s="110"/>
      <c r="ME307" s="110"/>
      <c r="MF307" s="110"/>
      <c r="MG307" s="110"/>
      <c r="MH307" s="110"/>
      <c r="MI307" s="110"/>
      <c r="MJ307" s="110"/>
      <c r="MK307" s="110"/>
      <c r="ML307" s="110"/>
      <c r="MM307" s="110"/>
      <c r="MN307" s="110"/>
      <c r="MO307" s="110"/>
      <c r="MP307" s="110"/>
      <c r="MQ307" s="110"/>
      <c r="MR307" s="110"/>
      <c r="MS307" s="110"/>
      <c r="MT307" s="110"/>
      <c r="MU307" s="110"/>
      <c r="MV307" s="110"/>
      <c r="MW307" s="110"/>
      <c r="MX307" s="110"/>
      <c r="MY307" s="110"/>
      <c r="MZ307" s="110"/>
      <c r="NA307" s="110"/>
      <c r="NB307" s="110"/>
      <c r="NC307" s="110"/>
      <c r="ND307" s="110"/>
      <c r="NE307" s="110"/>
      <c r="NF307" s="110"/>
      <c r="NG307" s="110"/>
      <c r="NH307" s="110"/>
      <c r="NI307" s="110"/>
      <c r="NJ307" s="110"/>
      <c r="NK307" s="110"/>
      <c r="NL307" s="110"/>
      <c r="NM307" s="110"/>
      <c r="NN307" s="110"/>
      <c r="NO307" s="110"/>
      <c r="NP307" s="110"/>
      <c r="NQ307" s="110"/>
      <c r="NR307" s="110"/>
      <c r="NS307" s="110"/>
      <c r="NT307" s="110"/>
      <c r="NU307" s="110"/>
      <c r="NV307" s="110"/>
      <c r="NW307" s="110"/>
      <c r="NX307" s="110"/>
      <c r="NY307" s="110"/>
      <c r="NZ307" s="110"/>
      <c r="OA307" s="110"/>
      <c r="OB307" s="110"/>
      <c r="OC307" s="110"/>
      <c r="OD307" s="110"/>
      <c r="OE307" s="110"/>
      <c r="OF307" s="110"/>
      <c r="OG307" s="110"/>
      <c r="OH307" s="110"/>
      <c r="OI307" s="110"/>
      <c r="OJ307" s="110"/>
      <c r="OK307" s="110"/>
      <c r="OL307" s="110"/>
      <c r="OM307" s="110"/>
      <c r="ON307" s="110"/>
      <c r="OO307" s="110"/>
      <c r="OP307" s="110"/>
      <c r="OQ307" s="110"/>
      <c r="OR307" s="110"/>
      <c r="OS307" s="110"/>
      <c r="OT307" s="110"/>
      <c r="OU307" s="110"/>
      <c r="OV307" s="110"/>
      <c r="OW307" s="110"/>
      <c r="OX307" s="110"/>
      <c r="OY307" s="110"/>
      <c r="OZ307" s="110"/>
      <c r="PA307" s="110"/>
      <c r="PB307" s="110"/>
      <c r="PC307" s="110"/>
      <c r="PD307" s="110"/>
      <c r="PE307" s="110"/>
      <c r="PF307" s="110"/>
      <c r="PG307" s="110"/>
      <c r="PH307" s="110"/>
      <c r="PI307" s="110"/>
      <c r="PJ307" s="110"/>
      <c r="PK307" s="110"/>
      <c r="PL307" s="110"/>
      <c r="PM307" s="110"/>
      <c r="PN307" s="110"/>
      <c r="PO307" s="110"/>
      <c r="PP307" s="110"/>
      <c r="PQ307" s="110"/>
      <c r="PR307" s="110"/>
      <c r="PS307" s="110"/>
      <c r="PT307" s="110"/>
      <c r="PU307" s="110"/>
      <c r="PV307" s="110"/>
      <c r="PW307" s="110"/>
      <c r="PX307" s="110"/>
      <c r="PY307" s="110"/>
      <c r="PZ307" s="110"/>
      <c r="QA307" s="110"/>
      <c r="QB307" s="110"/>
      <c r="QC307" s="110"/>
      <c r="QD307" s="110"/>
      <c r="QE307" s="110"/>
      <c r="QF307" s="110"/>
      <c r="QG307" s="110"/>
      <c r="QH307" s="110"/>
      <c r="QI307" s="110"/>
      <c r="QJ307" s="110"/>
      <c r="QK307" s="110"/>
      <c r="QL307" s="110"/>
      <c r="QM307" s="110"/>
      <c r="QN307" s="110"/>
      <c r="QO307" s="110"/>
      <c r="QP307" s="110"/>
      <c r="QQ307" s="110"/>
      <c r="QR307" s="110"/>
      <c r="QS307" s="110"/>
      <c r="QT307" s="110"/>
      <c r="QU307" s="110"/>
      <c r="QV307" s="110"/>
      <c r="QW307" s="110"/>
      <c r="QX307" s="110"/>
      <c r="QY307" s="110"/>
      <c r="QZ307" s="110"/>
      <c r="RA307" s="110"/>
      <c r="RB307" s="110"/>
      <c r="RC307" s="110"/>
      <c r="RD307" s="110"/>
      <c r="RE307" s="110"/>
      <c r="RF307" s="110"/>
      <c r="RG307" s="110"/>
      <c r="RH307" s="110"/>
      <c r="RI307" s="110"/>
      <c r="RJ307" s="110"/>
      <c r="RK307" s="110"/>
      <c r="RL307" s="110"/>
      <c r="RM307" s="110"/>
      <c r="RN307" s="110"/>
      <c r="RO307" s="110"/>
      <c r="RP307" s="110"/>
      <c r="RQ307" s="110"/>
      <c r="RR307" s="110"/>
      <c r="RS307" s="110"/>
      <c r="RT307" s="110"/>
      <c r="RU307" s="110"/>
      <c r="RV307" s="110"/>
      <c r="RW307" s="110"/>
      <c r="RX307" s="110"/>
      <c r="RY307" s="110"/>
      <c r="RZ307" s="110"/>
      <c r="SA307" s="110"/>
      <c r="SB307" s="110"/>
      <c r="SC307" s="110"/>
      <c r="SD307" s="110"/>
      <c r="SE307" s="110"/>
      <c r="SF307" s="110"/>
      <c r="SG307" s="110"/>
      <c r="SH307" s="110"/>
      <c r="SI307" s="110"/>
      <c r="SJ307" s="110"/>
      <c r="SK307" s="110"/>
      <c r="SL307" s="110"/>
      <c r="SM307" s="110"/>
      <c r="SN307" s="110"/>
      <c r="SO307" s="110"/>
      <c r="SP307" s="110"/>
      <c r="SQ307" s="110"/>
      <c r="SR307" s="110"/>
      <c r="SS307" s="110"/>
      <c r="ST307" s="110"/>
      <c r="SU307" s="110"/>
      <c r="SV307" s="110"/>
      <c r="SW307" s="110"/>
      <c r="SX307" s="110"/>
      <c r="SY307" s="110"/>
      <c r="SZ307" s="110"/>
      <c r="TA307" s="110"/>
      <c r="TB307" s="110"/>
      <c r="TC307" s="110"/>
      <c r="TD307" s="110"/>
      <c r="TE307" s="110"/>
      <c r="TF307" s="110"/>
      <c r="TG307" s="110"/>
      <c r="TH307" s="110"/>
      <c r="TI307" s="110"/>
      <c r="TJ307" s="110"/>
      <c r="TK307" s="110"/>
      <c r="TL307" s="110"/>
      <c r="TM307" s="110"/>
      <c r="TN307" s="110"/>
      <c r="TO307" s="110"/>
      <c r="TP307" s="110"/>
      <c r="TQ307" s="110"/>
      <c r="TR307" s="110"/>
      <c r="TS307" s="110"/>
      <c r="TT307" s="110"/>
      <c r="TU307" s="110"/>
      <c r="TV307" s="110"/>
      <c r="TW307" s="110"/>
      <c r="TX307" s="110"/>
      <c r="TY307" s="110"/>
      <c r="TZ307" s="110"/>
      <c r="UA307" s="110"/>
      <c r="UB307" s="110"/>
      <c r="UC307" s="110"/>
      <c r="UD307" s="110"/>
      <c r="UE307" s="110"/>
      <c r="UF307" s="110"/>
      <c r="UG307" s="110"/>
      <c r="UH307" s="110"/>
      <c r="UI307" s="110"/>
      <c r="UJ307" s="110"/>
      <c r="UK307" s="110"/>
      <c r="UL307" s="110"/>
      <c r="UM307" s="110"/>
      <c r="UN307" s="110"/>
      <c r="UO307" s="110"/>
      <c r="UP307" s="110"/>
      <c r="UQ307" s="110"/>
      <c r="UR307" s="110"/>
      <c r="US307" s="110"/>
      <c r="UT307" s="110"/>
      <c r="UU307" s="110"/>
      <c r="UV307" s="110"/>
      <c r="UW307" s="110"/>
      <c r="UX307" s="110"/>
      <c r="UY307" s="110"/>
      <c r="UZ307" s="110"/>
      <c r="VA307" s="110"/>
      <c r="VB307" s="110"/>
      <c r="VC307" s="110"/>
      <c r="VD307" s="110"/>
      <c r="VE307" s="110"/>
      <c r="VF307" s="110"/>
      <c r="VG307" s="110"/>
      <c r="VH307" s="110"/>
      <c r="VI307" s="110"/>
      <c r="VJ307" s="110"/>
      <c r="VK307" s="110"/>
      <c r="VL307" s="110"/>
      <c r="VM307" s="110"/>
      <c r="VN307" s="110"/>
      <c r="VO307" s="110"/>
      <c r="VP307" s="110"/>
      <c r="VQ307" s="110"/>
      <c r="VR307" s="110"/>
      <c r="VS307" s="110"/>
      <c r="VT307" s="110"/>
      <c r="VU307" s="110"/>
      <c r="VV307" s="110"/>
      <c r="VW307" s="110"/>
      <c r="VX307" s="110"/>
      <c r="VY307" s="110"/>
      <c r="VZ307" s="110"/>
      <c r="WA307" s="110"/>
      <c r="WB307" s="110"/>
      <c r="WC307" s="110"/>
      <c r="WD307" s="110"/>
      <c r="WE307" s="110"/>
      <c r="WF307" s="110"/>
      <c r="WG307" s="110"/>
      <c r="WH307" s="110"/>
      <c r="WI307" s="110"/>
      <c r="WJ307" s="110"/>
      <c r="WK307" s="110"/>
      <c r="WL307" s="110"/>
      <c r="WM307" s="110"/>
      <c r="WN307" s="110"/>
      <c r="WO307" s="110"/>
      <c r="WP307" s="110"/>
      <c r="WQ307" s="110"/>
      <c r="WR307" s="110"/>
      <c r="WS307" s="110"/>
      <c r="WT307" s="110"/>
      <c r="WU307" s="110"/>
      <c r="WV307" s="110"/>
      <c r="WW307" s="110"/>
      <c r="WX307" s="110"/>
      <c r="WY307" s="110"/>
      <c r="WZ307" s="110"/>
      <c r="XA307" s="110"/>
      <c r="XB307" s="110"/>
      <c r="XC307" s="110"/>
      <c r="XD307" s="110"/>
      <c r="XE307" s="110"/>
      <c r="XF307" s="110"/>
      <c r="XG307" s="110"/>
      <c r="XH307" s="110"/>
      <c r="XI307" s="110"/>
      <c r="XJ307" s="110"/>
      <c r="XK307" s="110"/>
      <c r="XL307" s="110"/>
      <c r="XM307" s="110"/>
      <c r="XN307" s="110"/>
      <c r="XO307" s="110"/>
      <c r="XP307" s="110"/>
      <c r="XQ307" s="110"/>
      <c r="XR307" s="110"/>
      <c r="XS307" s="110"/>
      <c r="XT307" s="110"/>
      <c r="XU307" s="110"/>
      <c r="XV307" s="110"/>
      <c r="XW307" s="110"/>
      <c r="XX307" s="110"/>
      <c r="XY307" s="110"/>
      <c r="XZ307" s="110"/>
      <c r="YA307" s="110"/>
      <c r="YB307" s="110"/>
      <c r="YC307" s="110"/>
      <c r="YD307" s="110"/>
      <c r="YE307" s="110"/>
      <c r="YF307" s="110"/>
      <c r="YG307" s="110"/>
      <c r="YH307" s="110"/>
      <c r="YI307" s="110"/>
      <c r="YJ307" s="110"/>
      <c r="YK307" s="110"/>
      <c r="YL307" s="110"/>
      <c r="YM307" s="110"/>
      <c r="YN307" s="110"/>
      <c r="YO307" s="110"/>
      <c r="YP307" s="110"/>
      <c r="YQ307" s="110"/>
      <c r="YR307" s="110"/>
      <c r="YS307" s="110"/>
      <c r="YT307" s="110"/>
      <c r="YU307" s="110"/>
      <c r="YV307" s="110"/>
      <c r="YW307" s="110"/>
      <c r="YX307" s="110"/>
      <c r="YY307" s="110"/>
      <c r="YZ307" s="110"/>
      <c r="ZA307" s="110"/>
      <c r="ZB307" s="110"/>
      <c r="ZC307" s="110"/>
      <c r="ZD307" s="110"/>
      <c r="ZE307" s="110"/>
      <c r="ZF307" s="110"/>
      <c r="ZG307" s="110"/>
      <c r="ZH307" s="110"/>
      <c r="ZI307" s="110"/>
      <c r="ZJ307" s="110"/>
      <c r="ZK307" s="110"/>
      <c r="ZL307" s="110"/>
      <c r="ZM307" s="110"/>
      <c r="ZN307" s="110"/>
      <c r="ZO307" s="110"/>
      <c r="ZP307" s="110"/>
      <c r="ZQ307" s="110"/>
      <c r="ZR307" s="110"/>
      <c r="ZS307" s="110"/>
      <c r="ZT307" s="110"/>
      <c r="ZU307" s="110"/>
      <c r="ZV307" s="110"/>
      <c r="ZW307" s="110"/>
      <c r="ZX307" s="110"/>
      <c r="ZY307" s="110"/>
      <c r="ZZ307" s="110"/>
      <c r="AAA307" s="110"/>
      <c r="AAB307" s="110"/>
      <c r="AAC307" s="110"/>
      <c r="AAD307" s="110"/>
      <c r="AAE307" s="110"/>
      <c r="AAF307" s="110"/>
      <c r="AAG307" s="110"/>
      <c r="AAH307" s="110"/>
      <c r="AAI307" s="110"/>
      <c r="AAJ307" s="110"/>
      <c r="AAK307" s="110"/>
      <c r="AAL307" s="110"/>
      <c r="AAM307" s="110"/>
      <c r="AAN307" s="110"/>
      <c r="AAO307" s="110"/>
      <c r="AAP307" s="110"/>
      <c r="AAQ307" s="110"/>
      <c r="AAR307" s="110"/>
      <c r="AAS307" s="110"/>
      <c r="AAT307" s="110"/>
      <c r="AAU307" s="110"/>
      <c r="AAV307" s="110"/>
      <c r="AAW307" s="110"/>
      <c r="AAX307" s="110"/>
      <c r="AAY307" s="110"/>
      <c r="AAZ307" s="110"/>
      <c r="ABA307" s="110"/>
      <c r="ABB307" s="110"/>
      <c r="ABC307" s="110"/>
      <c r="ABD307" s="110"/>
      <c r="ABE307" s="110"/>
      <c r="ABF307" s="110"/>
      <c r="ABG307" s="110"/>
      <c r="ABH307" s="110"/>
      <c r="ABI307" s="110"/>
      <c r="ABJ307" s="110"/>
      <c r="ABK307" s="110"/>
      <c r="ABL307" s="110"/>
      <c r="ABM307" s="110"/>
      <c r="ABN307" s="110"/>
      <c r="ABO307" s="110"/>
      <c r="ABP307" s="110"/>
      <c r="ABQ307" s="110"/>
      <c r="ABR307" s="110"/>
      <c r="ABS307" s="110"/>
      <c r="ABT307" s="110"/>
      <c r="ABU307" s="110"/>
      <c r="ABV307" s="110"/>
      <c r="ABW307" s="110"/>
      <c r="ABX307" s="110"/>
      <c r="ABY307" s="110"/>
      <c r="ABZ307" s="110"/>
      <c r="ACA307" s="110"/>
      <c r="ACB307" s="110"/>
      <c r="ACC307" s="110"/>
      <c r="ACD307" s="110"/>
      <c r="ACE307" s="110"/>
      <c r="ACF307" s="110"/>
      <c r="ACG307" s="110"/>
      <c r="ACH307" s="110"/>
      <c r="ACI307" s="110"/>
      <c r="ACJ307" s="110"/>
      <c r="ACK307" s="110"/>
      <c r="ACL307" s="110"/>
      <c r="ACM307" s="110"/>
      <c r="ACN307" s="110"/>
      <c r="ACO307" s="110"/>
      <c r="ACP307" s="110"/>
      <c r="ACQ307" s="110"/>
      <c r="ACR307" s="110"/>
      <c r="ACS307" s="110"/>
      <c r="ACT307" s="110"/>
      <c r="ACU307" s="110"/>
      <c r="ACV307" s="110"/>
      <c r="ACW307" s="110"/>
      <c r="ACX307" s="110"/>
      <c r="ACY307" s="110"/>
      <c r="ACZ307" s="110"/>
      <c r="ADA307" s="110"/>
      <c r="ADB307" s="110"/>
      <c r="ADC307" s="110"/>
      <c r="ADD307" s="110"/>
      <c r="ADE307" s="110"/>
      <c r="ADF307" s="110"/>
      <c r="ADG307" s="110"/>
      <c r="ADH307" s="110"/>
      <c r="ADI307" s="110"/>
      <c r="ADJ307" s="110"/>
      <c r="ADK307" s="110"/>
      <c r="ADL307" s="110"/>
      <c r="ADM307" s="110"/>
      <c r="ADN307" s="110"/>
      <c r="ADO307" s="110"/>
      <c r="ADP307" s="110"/>
      <c r="ADQ307" s="110"/>
      <c r="ADR307" s="110"/>
      <c r="ADS307" s="110"/>
      <c r="ADT307" s="110"/>
      <c r="ADU307" s="110"/>
      <c r="ADV307" s="110"/>
      <c r="ADW307" s="110"/>
      <c r="ADX307" s="110"/>
      <c r="ADY307" s="110"/>
      <c r="ADZ307" s="110"/>
      <c r="AEA307" s="110"/>
      <c r="AEB307" s="110"/>
      <c r="AEC307" s="110"/>
      <c r="AED307" s="110"/>
      <c r="AEE307" s="110"/>
      <c r="AEF307" s="110"/>
      <c r="AEG307" s="110"/>
      <c r="AEH307" s="110"/>
      <c r="AEI307" s="110"/>
      <c r="AEJ307" s="110"/>
      <c r="AEK307" s="110"/>
      <c r="AEL307" s="110"/>
      <c r="AEM307" s="110"/>
      <c r="AEN307" s="110"/>
      <c r="AEO307" s="110"/>
      <c r="AEP307" s="110"/>
      <c r="AEQ307" s="110"/>
      <c r="AER307" s="110"/>
      <c r="AES307" s="110"/>
      <c r="AET307" s="110"/>
      <c r="AEU307" s="110"/>
      <c r="AEV307" s="110"/>
      <c r="AEW307" s="110"/>
      <c r="AEX307" s="110"/>
      <c r="AEY307" s="110"/>
      <c r="AEZ307" s="110"/>
      <c r="AFA307" s="110"/>
      <c r="AFB307" s="110"/>
      <c r="AFC307" s="110"/>
      <c r="AFD307" s="110"/>
      <c r="AFE307" s="110"/>
      <c r="AFF307" s="110"/>
      <c r="AFG307" s="110"/>
      <c r="AFH307" s="110"/>
      <c r="AFI307" s="110"/>
      <c r="AFJ307" s="110"/>
      <c r="AFK307" s="110"/>
      <c r="AFL307" s="110"/>
      <c r="AFM307" s="110"/>
      <c r="AFN307" s="110"/>
      <c r="AFO307" s="110"/>
      <c r="AFP307" s="110"/>
      <c r="AFQ307" s="110"/>
      <c r="AFR307" s="110"/>
      <c r="AFS307" s="110"/>
      <c r="AFT307" s="110"/>
      <c r="AFU307" s="110"/>
      <c r="AFV307" s="110"/>
      <c r="AFW307" s="110"/>
      <c r="AFX307" s="110"/>
      <c r="AFY307" s="110"/>
      <c r="AFZ307" s="110"/>
      <c r="AGA307" s="110"/>
      <c r="AGB307" s="110"/>
      <c r="AGC307" s="110"/>
      <c r="AGD307" s="110"/>
      <c r="AGE307" s="110"/>
      <c r="AGF307" s="110"/>
      <c r="AGG307" s="110"/>
      <c r="AGH307" s="110"/>
      <c r="AGI307" s="110"/>
      <c r="AGJ307" s="110"/>
      <c r="AGK307" s="110"/>
      <c r="AGL307" s="110"/>
      <c r="AGM307" s="110"/>
      <c r="AGN307" s="110"/>
      <c r="AGO307" s="110"/>
      <c r="AGP307" s="110"/>
      <c r="AGQ307" s="110"/>
      <c r="AGR307" s="110"/>
      <c r="AGS307" s="110"/>
      <c r="AGT307" s="110"/>
      <c r="AGU307" s="110"/>
      <c r="AGV307" s="110"/>
      <c r="AGW307" s="110"/>
      <c r="AGX307" s="110"/>
      <c r="AGY307" s="110"/>
      <c r="AGZ307" s="110"/>
      <c r="AHA307" s="110"/>
      <c r="AHB307" s="110"/>
      <c r="AHC307" s="110"/>
      <c r="AHD307" s="110"/>
      <c r="AHE307" s="110"/>
      <c r="AHF307" s="110"/>
      <c r="AHG307" s="110"/>
      <c r="AHH307" s="110"/>
      <c r="AHI307" s="110"/>
      <c r="AHJ307" s="110"/>
      <c r="AHK307" s="110"/>
      <c r="AHL307" s="110"/>
      <c r="AHM307" s="110"/>
      <c r="AHN307" s="110"/>
      <c r="AHO307" s="110"/>
      <c r="AHP307" s="110"/>
      <c r="AHQ307" s="110"/>
      <c r="AHR307" s="110"/>
      <c r="AHS307" s="110"/>
      <c r="AHT307" s="110"/>
      <c r="AHU307" s="110"/>
      <c r="AHV307" s="110"/>
      <c r="AHW307" s="110"/>
      <c r="AHX307" s="110"/>
      <c r="AHY307" s="110"/>
      <c r="AHZ307" s="110"/>
      <c r="AIA307" s="110"/>
      <c r="AIB307" s="110"/>
      <c r="AIC307" s="110"/>
      <c r="AID307" s="110"/>
      <c r="AIE307" s="110"/>
      <c r="AIF307" s="110"/>
      <c r="AIG307" s="110"/>
      <c r="AIH307" s="110"/>
      <c r="AII307" s="110"/>
      <c r="AIJ307" s="110"/>
      <c r="AIK307" s="110"/>
      <c r="AIL307" s="110"/>
      <c r="AIM307" s="110"/>
      <c r="AIN307" s="110"/>
      <c r="AIO307" s="110"/>
      <c r="AIP307" s="110"/>
      <c r="AIQ307" s="110"/>
      <c r="AIR307" s="110"/>
      <c r="AIS307" s="110"/>
      <c r="AIT307" s="110"/>
      <c r="AIU307" s="110"/>
      <c r="AIV307" s="110"/>
      <c r="AIW307" s="110"/>
      <c r="AIX307" s="110"/>
      <c r="AIY307" s="110"/>
      <c r="AIZ307" s="110"/>
      <c r="AJA307" s="110"/>
      <c r="AJB307" s="110"/>
      <c r="AJC307" s="110"/>
      <c r="AJD307" s="110"/>
      <c r="AJE307" s="110"/>
      <c r="AJF307" s="110"/>
      <c r="AJG307" s="110"/>
      <c r="AJH307" s="110"/>
      <c r="AJI307" s="110"/>
      <c r="AJJ307" s="110"/>
      <c r="AJK307" s="110"/>
      <c r="AJL307" s="110"/>
      <c r="AJM307" s="110"/>
      <c r="AJN307" s="110"/>
      <c r="AJO307" s="110"/>
      <c r="AJP307" s="110"/>
      <c r="AJQ307" s="110"/>
      <c r="AJR307" s="110"/>
      <c r="AJS307" s="110"/>
      <c r="AJT307" s="110"/>
      <c r="AJU307" s="110"/>
      <c r="AJV307" s="110"/>
      <c r="AJW307" s="110"/>
      <c r="AJX307" s="110"/>
      <c r="AJY307" s="110"/>
      <c r="AJZ307" s="110"/>
      <c r="AKA307" s="110"/>
      <c r="AKB307" s="110"/>
      <c r="AKC307" s="110"/>
      <c r="AKD307" s="110"/>
      <c r="AKE307" s="110"/>
      <c r="AKF307" s="110"/>
      <c r="AKG307" s="110"/>
      <c r="AKH307" s="110"/>
      <c r="AKI307" s="110"/>
      <c r="AKJ307" s="110"/>
      <c r="AKK307" s="110"/>
      <c r="AKL307" s="110"/>
      <c r="AKM307" s="110"/>
      <c r="AKN307" s="110"/>
      <c r="AKO307" s="110"/>
      <c r="AKP307" s="110"/>
      <c r="AKQ307" s="110"/>
      <c r="AKR307" s="110"/>
      <c r="AKS307" s="110"/>
      <c r="AKT307" s="110"/>
      <c r="AKU307" s="110"/>
      <c r="AKV307" s="110"/>
      <c r="AKW307" s="110"/>
      <c r="AKX307" s="110"/>
      <c r="AKY307" s="110"/>
      <c r="AKZ307" s="110"/>
      <c r="ALA307" s="110"/>
      <c r="ALB307" s="110"/>
      <c r="ALC307" s="110"/>
      <c r="ALD307" s="110"/>
      <c r="ALE307" s="110"/>
      <c r="ALF307" s="110"/>
      <c r="ALG307" s="110"/>
      <c r="ALH307" s="110"/>
      <c r="ALI307" s="110"/>
      <c r="ALJ307" s="110"/>
      <c r="ALK307" s="110"/>
      <c r="ALL307" s="110"/>
      <c r="ALM307" s="110"/>
      <c r="ALN307" s="110"/>
      <c r="ALO307" s="110"/>
      <c r="ALP307" s="110"/>
      <c r="ALQ307" s="110"/>
      <c r="ALR307" s="110"/>
      <c r="ALS307" s="110"/>
      <c r="ALT307" s="110"/>
      <c r="ALU307" s="110"/>
      <c r="ALV307" s="110"/>
      <c r="ALW307" s="110"/>
      <c r="ALX307" s="110"/>
      <c r="ALY307" s="110"/>
      <c r="ALZ307" s="110"/>
      <c r="AMA307" s="110"/>
      <c r="AMB307" s="110"/>
      <c r="AMC307" s="110"/>
      <c r="AMD307" s="110"/>
      <c r="AME307" s="110"/>
      <c r="AMF307" s="110"/>
    </row>
    <row r="308" spans="1:1020" s="142" customFormat="1" ht="11.25" customHeight="1">
      <c r="A308" s="123"/>
      <c r="B308" s="141">
        <v>4</v>
      </c>
      <c r="C308" s="126">
        <v>301</v>
      </c>
      <c r="D308" s="127" t="s">
        <v>482</v>
      </c>
      <c r="E308" s="194">
        <f t="shared" si="52"/>
        <v>620</v>
      </c>
      <c r="F308" s="125">
        <f>ROUND(E308*Valores!$C$2,2)</f>
        <v>33759</v>
      </c>
      <c r="G308" s="192">
        <v>0</v>
      </c>
      <c r="H308" s="125">
        <f>ROUND(G308*Valores!$C$2,2)</f>
        <v>0</v>
      </c>
      <c r="I308" s="192">
        <v>0</v>
      </c>
      <c r="J308" s="125">
        <f>ROUND(I308*Valores!$C$2,2)</f>
        <v>0</v>
      </c>
      <c r="K308" s="192">
        <v>0</v>
      </c>
      <c r="L308" s="125">
        <f>ROUND(K308*Valores!$C$2,2)</f>
        <v>0</v>
      </c>
      <c r="M308" s="125">
        <f>ROUND(IF($H$2=0,IF(AND(A308&lt;&gt;"13-930",A308&lt;&gt;"13-940"),(SUM(F308,H308,J308,L308,X308,T308,R308)*Valores!$C$4),0),0),2)</f>
        <v>9412.35</v>
      </c>
      <c r="N308" s="125">
        <f t="shared" si="42"/>
        <v>0</v>
      </c>
      <c r="O308" s="125">
        <v>0</v>
      </c>
      <c r="P308" s="125">
        <v>0</v>
      </c>
      <c r="Q308" s="125">
        <v>0</v>
      </c>
      <c r="R308" s="125">
        <f>IF($F$4="NO",IF(Valores!$C$49*B308&gt;Valores!$C$46,Valores!$C$46,Valores!$C$49*B308),IF(Valores!$C$49*B308&gt;Valores!$C$46,Valores!$C$46,Valores!$C$49*B308)/2)</f>
        <v>3890.4</v>
      </c>
      <c r="S308" s="125">
        <v>0</v>
      </c>
      <c r="T308" s="125">
        <f t="shared" si="51"/>
        <v>0</v>
      </c>
      <c r="U308" s="125">
        <v>0</v>
      </c>
      <c r="V308" s="125">
        <v>0</v>
      </c>
      <c r="W308" s="192">
        <v>0</v>
      </c>
      <c r="X308" s="125">
        <f>ROUND(W308*Valores!$C$2,2)</f>
        <v>0</v>
      </c>
      <c r="Y308" s="125">
        <v>0</v>
      </c>
      <c r="Z308" s="125">
        <v>0</v>
      </c>
      <c r="AA308" s="125">
        <v>0</v>
      </c>
      <c r="AB308" s="214">
        <v>0</v>
      </c>
      <c r="AC308" s="125">
        <f t="shared" si="43"/>
        <v>0</v>
      </c>
      <c r="AD308" s="125">
        <v>0</v>
      </c>
      <c r="AE308" s="192">
        <v>0</v>
      </c>
      <c r="AF308" s="125">
        <f>ROUND(AE308*Valores!$C$2,2)</f>
        <v>0</v>
      </c>
      <c r="AG308" s="125">
        <v>0</v>
      </c>
      <c r="AH308" s="125">
        <f t="shared" si="46"/>
        <v>47061.75</v>
      </c>
      <c r="AI308" s="125">
        <v>0</v>
      </c>
      <c r="AJ308" s="125">
        <v>0</v>
      </c>
      <c r="AK308" s="125">
        <v>0</v>
      </c>
      <c r="AL308" s="125">
        <v>0</v>
      </c>
      <c r="AM308" s="125">
        <f t="shared" si="44"/>
        <v>0</v>
      </c>
      <c r="AN308" s="125">
        <f>AH308*Valores!$C$71</f>
        <v>-5176.7925000000005</v>
      </c>
      <c r="AO308" s="125">
        <f>AH308*-Valores!$C$72</f>
        <v>0</v>
      </c>
      <c r="AP308" s="125">
        <f>AH308*Valores!$C$73</f>
        <v>-2117.77875</v>
      </c>
      <c r="AQ308" s="125">
        <v>0</v>
      </c>
      <c r="AR308" s="125">
        <v>0</v>
      </c>
      <c r="AS308" s="125">
        <f t="shared" si="47"/>
        <v>39767.17875</v>
      </c>
      <c r="AT308" s="125">
        <f t="shared" si="41"/>
        <v>-5176.7925000000005</v>
      </c>
      <c r="AU308" s="125">
        <f>AH308*Valores!$C$74</f>
        <v>-1270.66725</v>
      </c>
      <c r="AV308" s="125">
        <f>AH308*Valores!$C$75</f>
        <v>-141.18525</v>
      </c>
      <c r="AW308" s="125">
        <f t="shared" si="45"/>
        <v>40473.104999999996</v>
      </c>
      <c r="AX308" s="126"/>
      <c r="AY308" s="126"/>
      <c r="AZ308" s="123"/>
      <c r="BA308" s="110"/>
      <c r="BB308" s="110"/>
      <c r="BC308" s="110"/>
      <c r="BD308" s="110"/>
      <c r="BE308" s="110"/>
      <c r="BF308" s="110"/>
      <c r="BG308" s="110"/>
      <c r="BH308" s="110"/>
      <c r="BI308" s="110"/>
      <c r="BJ308" s="110"/>
      <c r="BK308" s="110"/>
      <c r="BL308" s="110"/>
      <c r="BM308" s="110"/>
      <c r="BN308" s="110"/>
      <c r="BO308" s="110"/>
      <c r="BP308" s="110"/>
      <c r="BQ308" s="110"/>
      <c r="BR308" s="110"/>
      <c r="BS308" s="110"/>
      <c r="BT308" s="110"/>
      <c r="BU308" s="110"/>
      <c r="BV308" s="110"/>
      <c r="BW308" s="110"/>
      <c r="BX308" s="110"/>
      <c r="BY308" s="110"/>
      <c r="BZ308" s="110"/>
      <c r="CA308" s="110"/>
      <c r="CB308" s="110"/>
      <c r="CC308" s="110"/>
      <c r="CD308" s="110"/>
      <c r="CE308" s="110"/>
      <c r="CF308" s="110"/>
      <c r="CG308" s="110"/>
      <c r="CH308" s="110"/>
      <c r="CI308" s="110"/>
      <c r="CJ308" s="110"/>
      <c r="CK308" s="110"/>
      <c r="CL308" s="110"/>
      <c r="CM308" s="110"/>
      <c r="CN308" s="110"/>
      <c r="CO308" s="110"/>
      <c r="CP308" s="110"/>
      <c r="CQ308" s="110"/>
      <c r="CR308" s="110"/>
      <c r="CS308" s="110"/>
      <c r="CT308" s="110"/>
      <c r="CU308" s="110"/>
      <c r="CV308" s="110"/>
      <c r="CW308" s="110"/>
      <c r="CX308" s="110"/>
      <c r="CY308" s="110"/>
      <c r="CZ308" s="110"/>
      <c r="DA308" s="110"/>
      <c r="DB308" s="110"/>
      <c r="DC308" s="110"/>
      <c r="DD308" s="110"/>
      <c r="DE308" s="110"/>
      <c r="DF308" s="110"/>
      <c r="DG308" s="110"/>
      <c r="DH308" s="110"/>
      <c r="DI308" s="110"/>
      <c r="DJ308" s="110"/>
      <c r="DK308" s="110"/>
      <c r="DL308" s="110"/>
      <c r="DM308" s="110"/>
      <c r="DN308" s="110"/>
      <c r="DO308" s="110"/>
      <c r="DP308" s="110"/>
      <c r="DQ308" s="110"/>
      <c r="DR308" s="110"/>
      <c r="DS308" s="110"/>
      <c r="DT308" s="110"/>
      <c r="DU308" s="110"/>
      <c r="DV308" s="110"/>
      <c r="DW308" s="110"/>
      <c r="DX308" s="110"/>
      <c r="DY308" s="110"/>
      <c r="DZ308" s="110"/>
      <c r="EA308" s="110"/>
      <c r="EB308" s="110"/>
      <c r="EC308" s="110"/>
      <c r="ED308" s="110"/>
      <c r="EE308" s="110"/>
      <c r="EF308" s="110"/>
      <c r="EG308" s="110"/>
      <c r="EH308" s="110"/>
      <c r="EI308" s="110"/>
      <c r="EJ308" s="110"/>
      <c r="EK308" s="110"/>
      <c r="EL308" s="110"/>
      <c r="EM308" s="110"/>
      <c r="EN308" s="110"/>
      <c r="EO308" s="110"/>
      <c r="EP308" s="110"/>
      <c r="EQ308" s="110"/>
      <c r="ER308" s="110"/>
      <c r="ES308" s="110"/>
      <c r="ET308" s="110"/>
      <c r="EU308" s="110"/>
      <c r="EV308" s="110"/>
      <c r="EW308" s="110"/>
      <c r="EX308" s="110"/>
      <c r="EY308" s="110"/>
      <c r="EZ308" s="110"/>
      <c r="FA308" s="110"/>
      <c r="FB308" s="110"/>
      <c r="FC308" s="110"/>
      <c r="FD308" s="110"/>
      <c r="FE308" s="110"/>
      <c r="FF308" s="110"/>
      <c r="FG308" s="110"/>
      <c r="FH308" s="110"/>
      <c r="FI308" s="110"/>
      <c r="FJ308" s="110"/>
      <c r="FK308" s="110"/>
      <c r="FL308" s="110"/>
      <c r="FM308" s="110"/>
      <c r="FN308" s="110"/>
      <c r="FO308" s="110"/>
      <c r="FP308" s="110"/>
      <c r="FQ308" s="110"/>
      <c r="FR308" s="110"/>
      <c r="FS308" s="110"/>
      <c r="FT308" s="110"/>
      <c r="FU308" s="110"/>
      <c r="FV308" s="110"/>
      <c r="FW308" s="110"/>
      <c r="FX308" s="110"/>
      <c r="FY308" s="110"/>
      <c r="FZ308" s="110"/>
      <c r="GA308" s="110"/>
      <c r="GB308" s="110"/>
      <c r="GC308" s="110"/>
      <c r="GD308" s="110"/>
      <c r="GE308" s="110"/>
      <c r="GF308" s="110"/>
      <c r="GG308" s="110"/>
      <c r="GH308" s="110"/>
      <c r="GI308" s="110"/>
      <c r="GJ308" s="110"/>
      <c r="GK308" s="110"/>
      <c r="GL308" s="110"/>
      <c r="GM308" s="110"/>
      <c r="GN308" s="110"/>
      <c r="GO308" s="110"/>
      <c r="GP308" s="110"/>
      <c r="GQ308" s="110"/>
      <c r="GR308" s="110"/>
      <c r="GS308" s="110"/>
      <c r="GT308" s="110"/>
      <c r="GU308" s="110"/>
      <c r="GV308" s="110"/>
      <c r="GW308" s="110"/>
      <c r="GX308" s="110"/>
      <c r="GY308" s="110"/>
      <c r="GZ308" s="110"/>
      <c r="HA308" s="110"/>
      <c r="HB308" s="110"/>
      <c r="HC308" s="110"/>
      <c r="HD308" s="110"/>
      <c r="HE308" s="110"/>
      <c r="HF308" s="110"/>
      <c r="HG308" s="110"/>
      <c r="HH308" s="110"/>
      <c r="HI308" s="110"/>
      <c r="HJ308" s="110"/>
      <c r="HK308" s="110"/>
      <c r="HL308" s="110"/>
      <c r="HM308" s="110"/>
      <c r="HN308" s="110"/>
      <c r="HO308" s="110"/>
      <c r="HP308" s="110"/>
      <c r="HQ308" s="110"/>
      <c r="HR308" s="110"/>
      <c r="HS308" s="110"/>
      <c r="HT308" s="110"/>
      <c r="HU308" s="110"/>
      <c r="HV308" s="110"/>
      <c r="HW308" s="110"/>
      <c r="HX308" s="110"/>
      <c r="HY308" s="110"/>
      <c r="HZ308" s="110"/>
      <c r="IA308" s="110"/>
      <c r="IB308" s="110"/>
      <c r="IC308" s="110"/>
      <c r="ID308" s="110"/>
      <c r="IE308" s="110"/>
      <c r="IF308" s="110"/>
      <c r="IG308" s="110"/>
      <c r="IH308" s="110"/>
      <c r="II308" s="110"/>
      <c r="IJ308" s="110"/>
      <c r="IK308" s="110"/>
      <c r="IL308" s="110"/>
      <c r="IM308" s="110"/>
      <c r="IN308" s="110"/>
      <c r="IO308" s="110"/>
      <c r="IP308" s="110"/>
      <c r="IQ308" s="110"/>
      <c r="IR308" s="110"/>
      <c r="IS308" s="110"/>
      <c r="IT308" s="110"/>
      <c r="IU308" s="110"/>
      <c r="IV308" s="110"/>
      <c r="IW308" s="110"/>
      <c r="IX308" s="110"/>
      <c r="IY308" s="110"/>
      <c r="IZ308" s="110"/>
      <c r="JA308" s="110"/>
      <c r="JB308" s="110"/>
      <c r="JC308" s="110"/>
      <c r="JD308" s="110"/>
      <c r="JE308" s="110"/>
      <c r="JF308" s="110"/>
      <c r="JG308" s="110"/>
      <c r="JH308" s="110"/>
      <c r="JI308" s="110"/>
      <c r="JJ308" s="110"/>
      <c r="JK308" s="110"/>
      <c r="JL308" s="110"/>
      <c r="JM308" s="110"/>
      <c r="JN308" s="110"/>
      <c r="JO308" s="110"/>
      <c r="JP308" s="110"/>
      <c r="JQ308" s="110"/>
      <c r="JR308" s="110"/>
      <c r="JS308" s="110"/>
      <c r="JT308" s="110"/>
      <c r="JU308" s="110"/>
      <c r="JV308" s="110"/>
      <c r="JW308" s="110"/>
      <c r="JX308" s="110"/>
      <c r="JY308" s="110"/>
      <c r="JZ308" s="110"/>
      <c r="KA308" s="110"/>
      <c r="KB308" s="110"/>
      <c r="KC308" s="110"/>
      <c r="KD308" s="110"/>
      <c r="KE308" s="110"/>
      <c r="KF308" s="110"/>
      <c r="KG308" s="110"/>
      <c r="KH308" s="110"/>
      <c r="KI308" s="110"/>
      <c r="KJ308" s="110"/>
      <c r="KK308" s="110"/>
      <c r="KL308" s="110"/>
      <c r="KM308" s="110"/>
      <c r="KN308" s="110"/>
      <c r="KO308" s="110"/>
      <c r="KP308" s="110"/>
      <c r="KQ308" s="110"/>
      <c r="KR308" s="110"/>
      <c r="KS308" s="110"/>
      <c r="KT308" s="110"/>
      <c r="KU308" s="110"/>
      <c r="KV308" s="110"/>
      <c r="KW308" s="110"/>
      <c r="KX308" s="110"/>
      <c r="KY308" s="110"/>
      <c r="KZ308" s="110"/>
      <c r="LA308" s="110"/>
      <c r="LB308" s="110"/>
      <c r="LC308" s="110"/>
      <c r="LD308" s="110"/>
      <c r="LE308" s="110"/>
      <c r="LF308" s="110"/>
      <c r="LG308" s="110"/>
      <c r="LH308" s="110"/>
      <c r="LI308" s="110"/>
      <c r="LJ308" s="110"/>
      <c r="LK308" s="110"/>
      <c r="LL308" s="110"/>
      <c r="LM308" s="110"/>
      <c r="LN308" s="110"/>
      <c r="LO308" s="110"/>
      <c r="LP308" s="110"/>
      <c r="LQ308" s="110"/>
      <c r="LR308" s="110"/>
      <c r="LS308" s="110"/>
      <c r="LT308" s="110"/>
      <c r="LU308" s="110"/>
      <c r="LV308" s="110"/>
      <c r="LW308" s="110"/>
      <c r="LX308" s="110"/>
      <c r="LY308" s="110"/>
      <c r="LZ308" s="110"/>
      <c r="MA308" s="110"/>
      <c r="MB308" s="110"/>
      <c r="MC308" s="110"/>
      <c r="MD308" s="110"/>
      <c r="ME308" s="110"/>
      <c r="MF308" s="110"/>
      <c r="MG308" s="110"/>
      <c r="MH308" s="110"/>
      <c r="MI308" s="110"/>
      <c r="MJ308" s="110"/>
      <c r="MK308" s="110"/>
      <c r="ML308" s="110"/>
      <c r="MM308" s="110"/>
      <c r="MN308" s="110"/>
      <c r="MO308" s="110"/>
      <c r="MP308" s="110"/>
      <c r="MQ308" s="110"/>
      <c r="MR308" s="110"/>
      <c r="MS308" s="110"/>
      <c r="MT308" s="110"/>
      <c r="MU308" s="110"/>
      <c r="MV308" s="110"/>
      <c r="MW308" s="110"/>
      <c r="MX308" s="110"/>
      <c r="MY308" s="110"/>
      <c r="MZ308" s="110"/>
      <c r="NA308" s="110"/>
      <c r="NB308" s="110"/>
      <c r="NC308" s="110"/>
      <c r="ND308" s="110"/>
      <c r="NE308" s="110"/>
      <c r="NF308" s="110"/>
      <c r="NG308" s="110"/>
      <c r="NH308" s="110"/>
      <c r="NI308" s="110"/>
      <c r="NJ308" s="110"/>
      <c r="NK308" s="110"/>
      <c r="NL308" s="110"/>
      <c r="NM308" s="110"/>
      <c r="NN308" s="110"/>
      <c r="NO308" s="110"/>
      <c r="NP308" s="110"/>
      <c r="NQ308" s="110"/>
      <c r="NR308" s="110"/>
      <c r="NS308" s="110"/>
      <c r="NT308" s="110"/>
      <c r="NU308" s="110"/>
      <c r="NV308" s="110"/>
      <c r="NW308" s="110"/>
      <c r="NX308" s="110"/>
      <c r="NY308" s="110"/>
      <c r="NZ308" s="110"/>
      <c r="OA308" s="110"/>
      <c r="OB308" s="110"/>
      <c r="OC308" s="110"/>
      <c r="OD308" s="110"/>
      <c r="OE308" s="110"/>
      <c r="OF308" s="110"/>
      <c r="OG308" s="110"/>
      <c r="OH308" s="110"/>
      <c r="OI308" s="110"/>
      <c r="OJ308" s="110"/>
      <c r="OK308" s="110"/>
      <c r="OL308" s="110"/>
      <c r="OM308" s="110"/>
      <c r="ON308" s="110"/>
      <c r="OO308" s="110"/>
      <c r="OP308" s="110"/>
      <c r="OQ308" s="110"/>
      <c r="OR308" s="110"/>
      <c r="OS308" s="110"/>
      <c r="OT308" s="110"/>
      <c r="OU308" s="110"/>
      <c r="OV308" s="110"/>
      <c r="OW308" s="110"/>
      <c r="OX308" s="110"/>
      <c r="OY308" s="110"/>
      <c r="OZ308" s="110"/>
      <c r="PA308" s="110"/>
      <c r="PB308" s="110"/>
      <c r="PC308" s="110"/>
      <c r="PD308" s="110"/>
      <c r="PE308" s="110"/>
      <c r="PF308" s="110"/>
      <c r="PG308" s="110"/>
      <c r="PH308" s="110"/>
      <c r="PI308" s="110"/>
      <c r="PJ308" s="110"/>
      <c r="PK308" s="110"/>
      <c r="PL308" s="110"/>
      <c r="PM308" s="110"/>
      <c r="PN308" s="110"/>
      <c r="PO308" s="110"/>
      <c r="PP308" s="110"/>
      <c r="PQ308" s="110"/>
      <c r="PR308" s="110"/>
      <c r="PS308" s="110"/>
      <c r="PT308" s="110"/>
      <c r="PU308" s="110"/>
      <c r="PV308" s="110"/>
      <c r="PW308" s="110"/>
      <c r="PX308" s="110"/>
      <c r="PY308" s="110"/>
      <c r="PZ308" s="110"/>
      <c r="QA308" s="110"/>
      <c r="QB308" s="110"/>
      <c r="QC308" s="110"/>
      <c r="QD308" s="110"/>
      <c r="QE308" s="110"/>
      <c r="QF308" s="110"/>
      <c r="QG308" s="110"/>
      <c r="QH308" s="110"/>
      <c r="QI308" s="110"/>
      <c r="QJ308" s="110"/>
      <c r="QK308" s="110"/>
      <c r="QL308" s="110"/>
      <c r="QM308" s="110"/>
      <c r="QN308" s="110"/>
      <c r="QO308" s="110"/>
      <c r="QP308" s="110"/>
      <c r="QQ308" s="110"/>
      <c r="QR308" s="110"/>
      <c r="QS308" s="110"/>
      <c r="QT308" s="110"/>
      <c r="QU308" s="110"/>
      <c r="QV308" s="110"/>
      <c r="QW308" s="110"/>
      <c r="QX308" s="110"/>
      <c r="QY308" s="110"/>
      <c r="QZ308" s="110"/>
      <c r="RA308" s="110"/>
      <c r="RB308" s="110"/>
      <c r="RC308" s="110"/>
      <c r="RD308" s="110"/>
      <c r="RE308" s="110"/>
      <c r="RF308" s="110"/>
      <c r="RG308" s="110"/>
      <c r="RH308" s="110"/>
      <c r="RI308" s="110"/>
      <c r="RJ308" s="110"/>
      <c r="RK308" s="110"/>
      <c r="RL308" s="110"/>
      <c r="RM308" s="110"/>
      <c r="RN308" s="110"/>
      <c r="RO308" s="110"/>
      <c r="RP308" s="110"/>
      <c r="RQ308" s="110"/>
      <c r="RR308" s="110"/>
      <c r="RS308" s="110"/>
      <c r="RT308" s="110"/>
      <c r="RU308" s="110"/>
      <c r="RV308" s="110"/>
      <c r="RW308" s="110"/>
      <c r="RX308" s="110"/>
      <c r="RY308" s="110"/>
      <c r="RZ308" s="110"/>
      <c r="SA308" s="110"/>
      <c r="SB308" s="110"/>
      <c r="SC308" s="110"/>
      <c r="SD308" s="110"/>
      <c r="SE308" s="110"/>
      <c r="SF308" s="110"/>
      <c r="SG308" s="110"/>
      <c r="SH308" s="110"/>
      <c r="SI308" s="110"/>
      <c r="SJ308" s="110"/>
      <c r="SK308" s="110"/>
      <c r="SL308" s="110"/>
      <c r="SM308" s="110"/>
      <c r="SN308" s="110"/>
      <c r="SO308" s="110"/>
      <c r="SP308" s="110"/>
      <c r="SQ308" s="110"/>
      <c r="SR308" s="110"/>
      <c r="SS308" s="110"/>
      <c r="ST308" s="110"/>
      <c r="SU308" s="110"/>
      <c r="SV308" s="110"/>
      <c r="SW308" s="110"/>
      <c r="SX308" s="110"/>
      <c r="SY308" s="110"/>
      <c r="SZ308" s="110"/>
      <c r="TA308" s="110"/>
      <c r="TB308" s="110"/>
      <c r="TC308" s="110"/>
      <c r="TD308" s="110"/>
      <c r="TE308" s="110"/>
      <c r="TF308" s="110"/>
      <c r="TG308" s="110"/>
      <c r="TH308" s="110"/>
      <c r="TI308" s="110"/>
      <c r="TJ308" s="110"/>
      <c r="TK308" s="110"/>
      <c r="TL308" s="110"/>
      <c r="TM308" s="110"/>
      <c r="TN308" s="110"/>
      <c r="TO308" s="110"/>
      <c r="TP308" s="110"/>
      <c r="TQ308" s="110"/>
      <c r="TR308" s="110"/>
      <c r="TS308" s="110"/>
      <c r="TT308" s="110"/>
      <c r="TU308" s="110"/>
      <c r="TV308" s="110"/>
      <c r="TW308" s="110"/>
      <c r="TX308" s="110"/>
      <c r="TY308" s="110"/>
      <c r="TZ308" s="110"/>
      <c r="UA308" s="110"/>
      <c r="UB308" s="110"/>
      <c r="UC308" s="110"/>
      <c r="UD308" s="110"/>
      <c r="UE308" s="110"/>
      <c r="UF308" s="110"/>
      <c r="UG308" s="110"/>
      <c r="UH308" s="110"/>
      <c r="UI308" s="110"/>
      <c r="UJ308" s="110"/>
      <c r="UK308" s="110"/>
      <c r="UL308" s="110"/>
      <c r="UM308" s="110"/>
      <c r="UN308" s="110"/>
      <c r="UO308" s="110"/>
      <c r="UP308" s="110"/>
      <c r="UQ308" s="110"/>
      <c r="UR308" s="110"/>
      <c r="US308" s="110"/>
      <c r="UT308" s="110"/>
      <c r="UU308" s="110"/>
      <c r="UV308" s="110"/>
      <c r="UW308" s="110"/>
      <c r="UX308" s="110"/>
      <c r="UY308" s="110"/>
      <c r="UZ308" s="110"/>
      <c r="VA308" s="110"/>
      <c r="VB308" s="110"/>
      <c r="VC308" s="110"/>
      <c r="VD308" s="110"/>
      <c r="VE308" s="110"/>
      <c r="VF308" s="110"/>
      <c r="VG308" s="110"/>
      <c r="VH308" s="110"/>
      <c r="VI308" s="110"/>
      <c r="VJ308" s="110"/>
      <c r="VK308" s="110"/>
      <c r="VL308" s="110"/>
      <c r="VM308" s="110"/>
      <c r="VN308" s="110"/>
      <c r="VO308" s="110"/>
      <c r="VP308" s="110"/>
      <c r="VQ308" s="110"/>
      <c r="VR308" s="110"/>
      <c r="VS308" s="110"/>
      <c r="VT308" s="110"/>
      <c r="VU308" s="110"/>
      <c r="VV308" s="110"/>
      <c r="VW308" s="110"/>
      <c r="VX308" s="110"/>
      <c r="VY308" s="110"/>
      <c r="VZ308" s="110"/>
      <c r="WA308" s="110"/>
      <c r="WB308" s="110"/>
      <c r="WC308" s="110"/>
      <c r="WD308" s="110"/>
      <c r="WE308" s="110"/>
      <c r="WF308" s="110"/>
      <c r="WG308" s="110"/>
      <c r="WH308" s="110"/>
      <c r="WI308" s="110"/>
      <c r="WJ308" s="110"/>
      <c r="WK308" s="110"/>
      <c r="WL308" s="110"/>
      <c r="WM308" s="110"/>
      <c r="WN308" s="110"/>
      <c r="WO308" s="110"/>
      <c r="WP308" s="110"/>
      <c r="WQ308" s="110"/>
      <c r="WR308" s="110"/>
      <c r="WS308" s="110"/>
      <c r="WT308" s="110"/>
      <c r="WU308" s="110"/>
      <c r="WV308" s="110"/>
      <c r="WW308" s="110"/>
      <c r="WX308" s="110"/>
      <c r="WY308" s="110"/>
      <c r="WZ308" s="110"/>
      <c r="XA308" s="110"/>
      <c r="XB308" s="110"/>
      <c r="XC308" s="110"/>
      <c r="XD308" s="110"/>
      <c r="XE308" s="110"/>
      <c r="XF308" s="110"/>
      <c r="XG308" s="110"/>
      <c r="XH308" s="110"/>
      <c r="XI308" s="110"/>
      <c r="XJ308" s="110"/>
      <c r="XK308" s="110"/>
      <c r="XL308" s="110"/>
      <c r="XM308" s="110"/>
      <c r="XN308" s="110"/>
      <c r="XO308" s="110"/>
      <c r="XP308" s="110"/>
      <c r="XQ308" s="110"/>
      <c r="XR308" s="110"/>
      <c r="XS308" s="110"/>
      <c r="XT308" s="110"/>
      <c r="XU308" s="110"/>
      <c r="XV308" s="110"/>
      <c r="XW308" s="110"/>
      <c r="XX308" s="110"/>
      <c r="XY308" s="110"/>
      <c r="XZ308" s="110"/>
      <c r="YA308" s="110"/>
      <c r="YB308" s="110"/>
      <c r="YC308" s="110"/>
      <c r="YD308" s="110"/>
      <c r="YE308" s="110"/>
      <c r="YF308" s="110"/>
      <c r="YG308" s="110"/>
      <c r="YH308" s="110"/>
      <c r="YI308" s="110"/>
      <c r="YJ308" s="110"/>
      <c r="YK308" s="110"/>
      <c r="YL308" s="110"/>
      <c r="YM308" s="110"/>
      <c r="YN308" s="110"/>
      <c r="YO308" s="110"/>
      <c r="YP308" s="110"/>
      <c r="YQ308" s="110"/>
      <c r="YR308" s="110"/>
      <c r="YS308" s="110"/>
      <c r="YT308" s="110"/>
      <c r="YU308" s="110"/>
      <c r="YV308" s="110"/>
      <c r="YW308" s="110"/>
      <c r="YX308" s="110"/>
      <c r="YY308" s="110"/>
      <c r="YZ308" s="110"/>
      <c r="ZA308" s="110"/>
      <c r="ZB308" s="110"/>
      <c r="ZC308" s="110"/>
      <c r="ZD308" s="110"/>
      <c r="ZE308" s="110"/>
      <c r="ZF308" s="110"/>
      <c r="ZG308" s="110"/>
      <c r="ZH308" s="110"/>
      <c r="ZI308" s="110"/>
      <c r="ZJ308" s="110"/>
      <c r="ZK308" s="110"/>
      <c r="ZL308" s="110"/>
      <c r="ZM308" s="110"/>
      <c r="ZN308" s="110"/>
      <c r="ZO308" s="110"/>
      <c r="ZP308" s="110"/>
      <c r="ZQ308" s="110"/>
      <c r="ZR308" s="110"/>
      <c r="ZS308" s="110"/>
      <c r="ZT308" s="110"/>
      <c r="ZU308" s="110"/>
      <c r="ZV308" s="110"/>
      <c r="ZW308" s="110"/>
      <c r="ZX308" s="110"/>
      <c r="ZY308" s="110"/>
      <c r="ZZ308" s="110"/>
      <c r="AAA308" s="110"/>
      <c r="AAB308" s="110"/>
      <c r="AAC308" s="110"/>
      <c r="AAD308" s="110"/>
      <c r="AAE308" s="110"/>
      <c r="AAF308" s="110"/>
      <c r="AAG308" s="110"/>
      <c r="AAH308" s="110"/>
      <c r="AAI308" s="110"/>
      <c r="AAJ308" s="110"/>
      <c r="AAK308" s="110"/>
      <c r="AAL308" s="110"/>
      <c r="AAM308" s="110"/>
      <c r="AAN308" s="110"/>
      <c r="AAO308" s="110"/>
      <c r="AAP308" s="110"/>
      <c r="AAQ308" s="110"/>
      <c r="AAR308" s="110"/>
      <c r="AAS308" s="110"/>
      <c r="AAT308" s="110"/>
      <c r="AAU308" s="110"/>
      <c r="AAV308" s="110"/>
      <c r="AAW308" s="110"/>
      <c r="AAX308" s="110"/>
      <c r="AAY308" s="110"/>
      <c r="AAZ308" s="110"/>
      <c r="ABA308" s="110"/>
      <c r="ABB308" s="110"/>
      <c r="ABC308" s="110"/>
      <c r="ABD308" s="110"/>
      <c r="ABE308" s="110"/>
      <c r="ABF308" s="110"/>
      <c r="ABG308" s="110"/>
      <c r="ABH308" s="110"/>
      <c r="ABI308" s="110"/>
      <c r="ABJ308" s="110"/>
      <c r="ABK308" s="110"/>
      <c r="ABL308" s="110"/>
      <c r="ABM308" s="110"/>
      <c r="ABN308" s="110"/>
      <c r="ABO308" s="110"/>
      <c r="ABP308" s="110"/>
      <c r="ABQ308" s="110"/>
      <c r="ABR308" s="110"/>
      <c r="ABS308" s="110"/>
      <c r="ABT308" s="110"/>
      <c r="ABU308" s="110"/>
      <c r="ABV308" s="110"/>
      <c r="ABW308" s="110"/>
      <c r="ABX308" s="110"/>
      <c r="ABY308" s="110"/>
      <c r="ABZ308" s="110"/>
      <c r="ACA308" s="110"/>
      <c r="ACB308" s="110"/>
      <c r="ACC308" s="110"/>
      <c r="ACD308" s="110"/>
      <c r="ACE308" s="110"/>
      <c r="ACF308" s="110"/>
      <c r="ACG308" s="110"/>
      <c r="ACH308" s="110"/>
      <c r="ACI308" s="110"/>
      <c r="ACJ308" s="110"/>
      <c r="ACK308" s="110"/>
      <c r="ACL308" s="110"/>
      <c r="ACM308" s="110"/>
      <c r="ACN308" s="110"/>
      <c r="ACO308" s="110"/>
      <c r="ACP308" s="110"/>
      <c r="ACQ308" s="110"/>
      <c r="ACR308" s="110"/>
      <c r="ACS308" s="110"/>
      <c r="ACT308" s="110"/>
      <c r="ACU308" s="110"/>
      <c r="ACV308" s="110"/>
      <c r="ACW308" s="110"/>
      <c r="ACX308" s="110"/>
      <c r="ACY308" s="110"/>
      <c r="ACZ308" s="110"/>
      <c r="ADA308" s="110"/>
      <c r="ADB308" s="110"/>
      <c r="ADC308" s="110"/>
      <c r="ADD308" s="110"/>
      <c r="ADE308" s="110"/>
      <c r="ADF308" s="110"/>
      <c r="ADG308" s="110"/>
      <c r="ADH308" s="110"/>
      <c r="ADI308" s="110"/>
      <c r="ADJ308" s="110"/>
      <c r="ADK308" s="110"/>
      <c r="ADL308" s="110"/>
      <c r="ADM308" s="110"/>
      <c r="ADN308" s="110"/>
      <c r="ADO308" s="110"/>
      <c r="ADP308" s="110"/>
      <c r="ADQ308" s="110"/>
      <c r="ADR308" s="110"/>
      <c r="ADS308" s="110"/>
      <c r="ADT308" s="110"/>
      <c r="ADU308" s="110"/>
      <c r="ADV308" s="110"/>
      <c r="ADW308" s="110"/>
      <c r="ADX308" s="110"/>
      <c r="ADY308" s="110"/>
      <c r="ADZ308" s="110"/>
      <c r="AEA308" s="110"/>
      <c r="AEB308" s="110"/>
      <c r="AEC308" s="110"/>
      <c r="AED308" s="110"/>
      <c r="AEE308" s="110"/>
      <c r="AEF308" s="110"/>
      <c r="AEG308" s="110"/>
      <c r="AEH308" s="110"/>
      <c r="AEI308" s="110"/>
      <c r="AEJ308" s="110"/>
      <c r="AEK308" s="110"/>
      <c r="AEL308" s="110"/>
      <c r="AEM308" s="110"/>
      <c r="AEN308" s="110"/>
      <c r="AEO308" s="110"/>
      <c r="AEP308" s="110"/>
      <c r="AEQ308" s="110"/>
      <c r="AER308" s="110"/>
      <c r="AES308" s="110"/>
      <c r="AET308" s="110"/>
      <c r="AEU308" s="110"/>
      <c r="AEV308" s="110"/>
      <c r="AEW308" s="110"/>
      <c r="AEX308" s="110"/>
      <c r="AEY308" s="110"/>
      <c r="AEZ308" s="110"/>
      <c r="AFA308" s="110"/>
      <c r="AFB308" s="110"/>
      <c r="AFC308" s="110"/>
      <c r="AFD308" s="110"/>
      <c r="AFE308" s="110"/>
      <c r="AFF308" s="110"/>
      <c r="AFG308" s="110"/>
      <c r="AFH308" s="110"/>
      <c r="AFI308" s="110"/>
      <c r="AFJ308" s="110"/>
      <c r="AFK308" s="110"/>
      <c r="AFL308" s="110"/>
      <c r="AFM308" s="110"/>
      <c r="AFN308" s="110"/>
      <c r="AFO308" s="110"/>
      <c r="AFP308" s="110"/>
      <c r="AFQ308" s="110"/>
      <c r="AFR308" s="110"/>
      <c r="AFS308" s="110"/>
      <c r="AFT308" s="110"/>
      <c r="AFU308" s="110"/>
      <c r="AFV308" s="110"/>
      <c r="AFW308" s="110"/>
      <c r="AFX308" s="110"/>
      <c r="AFY308" s="110"/>
      <c r="AFZ308" s="110"/>
      <c r="AGA308" s="110"/>
      <c r="AGB308" s="110"/>
      <c r="AGC308" s="110"/>
      <c r="AGD308" s="110"/>
      <c r="AGE308" s="110"/>
      <c r="AGF308" s="110"/>
      <c r="AGG308" s="110"/>
      <c r="AGH308" s="110"/>
      <c r="AGI308" s="110"/>
      <c r="AGJ308" s="110"/>
      <c r="AGK308" s="110"/>
      <c r="AGL308" s="110"/>
      <c r="AGM308" s="110"/>
      <c r="AGN308" s="110"/>
      <c r="AGO308" s="110"/>
      <c r="AGP308" s="110"/>
      <c r="AGQ308" s="110"/>
      <c r="AGR308" s="110"/>
      <c r="AGS308" s="110"/>
      <c r="AGT308" s="110"/>
      <c r="AGU308" s="110"/>
      <c r="AGV308" s="110"/>
      <c r="AGW308" s="110"/>
      <c r="AGX308" s="110"/>
      <c r="AGY308" s="110"/>
      <c r="AGZ308" s="110"/>
      <c r="AHA308" s="110"/>
      <c r="AHB308" s="110"/>
      <c r="AHC308" s="110"/>
      <c r="AHD308" s="110"/>
      <c r="AHE308" s="110"/>
      <c r="AHF308" s="110"/>
      <c r="AHG308" s="110"/>
      <c r="AHH308" s="110"/>
      <c r="AHI308" s="110"/>
      <c r="AHJ308" s="110"/>
      <c r="AHK308" s="110"/>
      <c r="AHL308" s="110"/>
      <c r="AHM308" s="110"/>
      <c r="AHN308" s="110"/>
      <c r="AHO308" s="110"/>
      <c r="AHP308" s="110"/>
      <c r="AHQ308" s="110"/>
      <c r="AHR308" s="110"/>
      <c r="AHS308" s="110"/>
      <c r="AHT308" s="110"/>
      <c r="AHU308" s="110"/>
      <c r="AHV308" s="110"/>
      <c r="AHW308" s="110"/>
      <c r="AHX308" s="110"/>
      <c r="AHY308" s="110"/>
      <c r="AHZ308" s="110"/>
      <c r="AIA308" s="110"/>
      <c r="AIB308" s="110"/>
      <c r="AIC308" s="110"/>
      <c r="AID308" s="110"/>
      <c r="AIE308" s="110"/>
      <c r="AIF308" s="110"/>
      <c r="AIG308" s="110"/>
      <c r="AIH308" s="110"/>
      <c r="AII308" s="110"/>
      <c r="AIJ308" s="110"/>
      <c r="AIK308" s="110"/>
      <c r="AIL308" s="110"/>
      <c r="AIM308" s="110"/>
      <c r="AIN308" s="110"/>
      <c r="AIO308" s="110"/>
      <c r="AIP308" s="110"/>
      <c r="AIQ308" s="110"/>
      <c r="AIR308" s="110"/>
      <c r="AIS308" s="110"/>
      <c r="AIT308" s="110"/>
      <c r="AIU308" s="110"/>
      <c r="AIV308" s="110"/>
      <c r="AIW308" s="110"/>
      <c r="AIX308" s="110"/>
      <c r="AIY308" s="110"/>
      <c r="AIZ308" s="110"/>
      <c r="AJA308" s="110"/>
      <c r="AJB308" s="110"/>
      <c r="AJC308" s="110"/>
      <c r="AJD308" s="110"/>
      <c r="AJE308" s="110"/>
      <c r="AJF308" s="110"/>
      <c r="AJG308" s="110"/>
      <c r="AJH308" s="110"/>
      <c r="AJI308" s="110"/>
      <c r="AJJ308" s="110"/>
      <c r="AJK308" s="110"/>
      <c r="AJL308" s="110"/>
      <c r="AJM308" s="110"/>
      <c r="AJN308" s="110"/>
      <c r="AJO308" s="110"/>
      <c r="AJP308" s="110"/>
      <c r="AJQ308" s="110"/>
      <c r="AJR308" s="110"/>
      <c r="AJS308" s="110"/>
      <c r="AJT308" s="110"/>
      <c r="AJU308" s="110"/>
      <c r="AJV308" s="110"/>
      <c r="AJW308" s="110"/>
      <c r="AJX308" s="110"/>
      <c r="AJY308" s="110"/>
      <c r="AJZ308" s="110"/>
      <c r="AKA308" s="110"/>
      <c r="AKB308" s="110"/>
      <c r="AKC308" s="110"/>
      <c r="AKD308" s="110"/>
      <c r="AKE308" s="110"/>
      <c r="AKF308" s="110"/>
      <c r="AKG308" s="110"/>
      <c r="AKH308" s="110"/>
      <c r="AKI308" s="110"/>
      <c r="AKJ308" s="110"/>
      <c r="AKK308" s="110"/>
      <c r="AKL308" s="110"/>
      <c r="AKM308" s="110"/>
      <c r="AKN308" s="110"/>
      <c r="AKO308" s="110"/>
      <c r="AKP308" s="110"/>
      <c r="AKQ308" s="110"/>
      <c r="AKR308" s="110"/>
      <c r="AKS308" s="110"/>
      <c r="AKT308" s="110"/>
      <c r="AKU308" s="110"/>
      <c r="AKV308" s="110"/>
      <c r="AKW308" s="110"/>
      <c r="AKX308" s="110"/>
      <c r="AKY308" s="110"/>
      <c r="AKZ308" s="110"/>
      <c r="ALA308" s="110"/>
      <c r="ALB308" s="110"/>
      <c r="ALC308" s="110"/>
      <c r="ALD308" s="110"/>
      <c r="ALE308" s="110"/>
      <c r="ALF308" s="110"/>
      <c r="ALG308" s="110"/>
      <c r="ALH308" s="110"/>
      <c r="ALI308" s="110"/>
      <c r="ALJ308" s="110"/>
      <c r="ALK308" s="110"/>
      <c r="ALL308" s="110"/>
      <c r="ALM308" s="110"/>
      <c r="ALN308" s="110"/>
      <c r="ALO308" s="110"/>
      <c r="ALP308" s="110"/>
      <c r="ALQ308" s="110"/>
      <c r="ALR308" s="110"/>
      <c r="ALS308" s="110"/>
      <c r="ALT308" s="110"/>
      <c r="ALU308" s="110"/>
      <c r="ALV308" s="110"/>
      <c r="ALW308" s="110"/>
      <c r="ALX308" s="110"/>
      <c r="ALY308" s="110"/>
      <c r="ALZ308" s="110"/>
      <c r="AMA308" s="110"/>
      <c r="AMB308" s="110"/>
      <c r="AMC308" s="110"/>
      <c r="AMD308" s="110"/>
      <c r="AME308" s="110"/>
      <c r="AMF308" s="110"/>
    </row>
    <row r="309" spans="1:1020" s="142" customFormat="1" ht="11.25" customHeight="1">
      <c r="A309" s="123"/>
      <c r="B309" s="141">
        <v>5</v>
      </c>
      <c r="C309" s="126">
        <v>302</v>
      </c>
      <c r="D309" s="127" t="s">
        <v>483</v>
      </c>
      <c r="E309" s="194">
        <f t="shared" si="52"/>
        <v>775</v>
      </c>
      <c r="F309" s="125">
        <f>ROUND(E309*Valores!$C$2,2)</f>
        <v>42198.75</v>
      </c>
      <c r="G309" s="192">
        <v>0</v>
      </c>
      <c r="H309" s="125">
        <f>ROUND(G309*Valores!$C$2,2)</f>
        <v>0</v>
      </c>
      <c r="I309" s="192">
        <v>0</v>
      </c>
      <c r="J309" s="125">
        <f>ROUND(I309*Valores!$C$2,2)</f>
        <v>0</v>
      </c>
      <c r="K309" s="192">
        <v>0</v>
      </c>
      <c r="L309" s="125">
        <f>ROUND(K309*Valores!$C$2,2)</f>
        <v>0</v>
      </c>
      <c r="M309" s="125">
        <f>ROUND(IF($H$2=0,IF(AND(A309&lt;&gt;"13-930",A309&lt;&gt;"13-940"),(SUM(F309,H309,J309,L309,X309,T309,R309)*Valores!$C$4),0),0),2)</f>
        <v>11765.44</v>
      </c>
      <c r="N309" s="125">
        <f t="shared" si="42"/>
        <v>0</v>
      </c>
      <c r="O309" s="125">
        <v>0</v>
      </c>
      <c r="P309" s="125">
        <v>0</v>
      </c>
      <c r="Q309" s="125">
        <v>0</v>
      </c>
      <c r="R309" s="125">
        <f>IF($F$4="NO",IF(Valores!$C$49*B309&gt;Valores!$C$46,Valores!$C$46,Valores!$C$49*B309),IF(Valores!$C$49*B309&gt;Valores!$C$46,Valores!$C$46,Valores!$C$49*B309)/2)</f>
        <v>4863</v>
      </c>
      <c r="S309" s="125">
        <v>0</v>
      </c>
      <c r="T309" s="125">
        <f t="shared" si="51"/>
        <v>0</v>
      </c>
      <c r="U309" s="125">
        <v>0</v>
      </c>
      <c r="V309" s="125">
        <v>0</v>
      </c>
      <c r="W309" s="192">
        <v>0</v>
      </c>
      <c r="X309" s="125">
        <f>ROUND(W309*Valores!$C$2,2)</f>
        <v>0</v>
      </c>
      <c r="Y309" s="125">
        <v>0</v>
      </c>
      <c r="Z309" s="125">
        <v>0</v>
      </c>
      <c r="AA309" s="125">
        <v>0</v>
      </c>
      <c r="AB309" s="214">
        <v>0</v>
      </c>
      <c r="AC309" s="125">
        <f t="shared" si="43"/>
        <v>0</v>
      </c>
      <c r="AD309" s="125">
        <v>0</v>
      </c>
      <c r="AE309" s="192">
        <v>0</v>
      </c>
      <c r="AF309" s="125">
        <f>ROUND(AE309*Valores!$C$2,2)</f>
        <v>0</v>
      </c>
      <c r="AG309" s="125">
        <v>0</v>
      </c>
      <c r="AH309" s="125">
        <f t="shared" si="46"/>
        <v>58827.19</v>
      </c>
      <c r="AI309" s="125">
        <v>0</v>
      </c>
      <c r="AJ309" s="125">
        <v>0</v>
      </c>
      <c r="AK309" s="125">
        <v>0</v>
      </c>
      <c r="AL309" s="125">
        <v>0</v>
      </c>
      <c r="AM309" s="125">
        <f t="shared" si="44"/>
        <v>0</v>
      </c>
      <c r="AN309" s="125">
        <f>AH309*Valores!$C$71</f>
        <v>-6470.990900000001</v>
      </c>
      <c r="AO309" s="125">
        <f>AH309*-Valores!$C$72</f>
        <v>0</v>
      </c>
      <c r="AP309" s="125">
        <f>AH309*Valores!$C$73</f>
        <v>-2647.22355</v>
      </c>
      <c r="AQ309" s="125">
        <v>0</v>
      </c>
      <c r="AR309" s="125">
        <v>0</v>
      </c>
      <c r="AS309" s="125">
        <f t="shared" si="47"/>
        <v>49708.97555</v>
      </c>
      <c r="AT309" s="125">
        <f t="shared" si="41"/>
        <v>-6470.990900000001</v>
      </c>
      <c r="AU309" s="125">
        <f>AH309*Valores!$C$74</f>
        <v>-1588.33413</v>
      </c>
      <c r="AV309" s="125">
        <f>AH309*Valores!$C$75</f>
        <v>-176.48157</v>
      </c>
      <c r="AW309" s="125">
        <f t="shared" si="45"/>
        <v>50591.3834</v>
      </c>
      <c r="AX309" s="126"/>
      <c r="AY309" s="126"/>
      <c r="AZ309" s="123"/>
      <c r="BA309" s="110"/>
      <c r="BB309" s="110"/>
      <c r="BC309" s="110"/>
      <c r="BD309" s="110"/>
      <c r="BE309" s="110"/>
      <c r="BF309" s="110"/>
      <c r="BG309" s="110"/>
      <c r="BH309" s="110"/>
      <c r="BI309" s="110"/>
      <c r="BJ309" s="110"/>
      <c r="BK309" s="110"/>
      <c r="BL309" s="110"/>
      <c r="BM309" s="110"/>
      <c r="BN309" s="110"/>
      <c r="BO309" s="110"/>
      <c r="BP309" s="110"/>
      <c r="BQ309" s="110"/>
      <c r="BR309" s="110"/>
      <c r="BS309" s="110"/>
      <c r="BT309" s="110"/>
      <c r="BU309" s="110"/>
      <c r="BV309" s="110"/>
      <c r="BW309" s="110"/>
      <c r="BX309" s="110"/>
      <c r="BY309" s="110"/>
      <c r="BZ309" s="110"/>
      <c r="CA309" s="110"/>
      <c r="CB309" s="110"/>
      <c r="CC309" s="110"/>
      <c r="CD309" s="110"/>
      <c r="CE309" s="110"/>
      <c r="CF309" s="110"/>
      <c r="CG309" s="110"/>
      <c r="CH309" s="110"/>
      <c r="CI309" s="110"/>
      <c r="CJ309" s="110"/>
      <c r="CK309" s="110"/>
      <c r="CL309" s="110"/>
      <c r="CM309" s="110"/>
      <c r="CN309" s="110"/>
      <c r="CO309" s="110"/>
      <c r="CP309" s="110"/>
      <c r="CQ309" s="110"/>
      <c r="CR309" s="110"/>
      <c r="CS309" s="110"/>
      <c r="CT309" s="110"/>
      <c r="CU309" s="110"/>
      <c r="CV309" s="110"/>
      <c r="CW309" s="110"/>
      <c r="CX309" s="110"/>
      <c r="CY309" s="110"/>
      <c r="CZ309" s="110"/>
      <c r="DA309" s="110"/>
      <c r="DB309" s="110"/>
      <c r="DC309" s="110"/>
      <c r="DD309" s="110"/>
      <c r="DE309" s="110"/>
      <c r="DF309" s="110"/>
      <c r="DG309" s="110"/>
      <c r="DH309" s="110"/>
      <c r="DI309" s="110"/>
      <c r="DJ309" s="110"/>
      <c r="DK309" s="110"/>
      <c r="DL309" s="110"/>
      <c r="DM309" s="110"/>
      <c r="DN309" s="110"/>
      <c r="DO309" s="110"/>
      <c r="DP309" s="110"/>
      <c r="DQ309" s="110"/>
      <c r="DR309" s="110"/>
      <c r="DS309" s="110"/>
      <c r="DT309" s="110"/>
      <c r="DU309" s="110"/>
      <c r="DV309" s="110"/>
      <c r="DW309" s="110"/>
      <c r="DX309" s="110"/>
      <c r="DY309" s="110"/>
      <c r="DZ309" s="110"/>
      <c r="EA309" s="110"/>
      <c r="EB309" s="110"/>
      <c r="EC309" s="110"/>
      <c r="ED309" s="110"/>
      <c r="EE309" s="110"/>
      <c r="EF309" s="110"/>
      <c r="EG309" s="110"/>
      <c r="EH309" s="110"/>
      <c r="EI309" s="110"/>
      <c r="EJ309" s="110"/>
      <c r="EK309" s="110"/>
      <c r="EL309" s="110"/>
      <c r="EM309" s="110"/>
      <c r="EN309" s="110"/>
      <c r="EO309" s="110"/>
      <c r="EP309" s="110"/>
      <c r="EQ309" s="110"/>
      <c r="ER309" s="110"/>
      <c r="ES309" s="110"/>
      <c r="ET309" s="110"/>
      <c r="EU309" s="110"/>
      <c r="EV309" s="110"/>
      <c r="EW309" s="110"/>
      <c r="EX309" s="110"/>
      <c r="EY309" s="110"/>
      <c r="EZ309" s="110"/>
      <c r="FA309" s="110"/>
      <c r="FB309" s="110"/>
      <c r="FC309" s="110"/>
      <c r="FD309" s="110"/>
      <c r="FE309" s="110"/>
      <c r="FF309" s="110"/>
      <c r="FG309" s="110"/>
      <c r="FH309" s="110"/>
      <c r="FI309" s="110"/>
      <c r="FJ309" s="110"/>
      <c r="FK309" s="110"/>
      <c r="FL309" s="110"/>
      <c r="FM309" s="110"/>
      <c r="FN309" s="110"/>
      <c r="FO309" s="110"/>
      <c r="FP309" s="110"/>
      <c r="FQ309" s="110"/>
      <c r="FR309" s="110"/>
      <c r="FS309" s="110"/>
      <c r="FT309" s="110"/>
      <c r="FU309" s="110"/>
      <c r="FV309" s="110"/>
      <c r="FW309" s="110"/>
      <c r="FX309" s="110"/>
      <c r="FY309" s="110"/>
      <c r="FZ309" s="110"/>
      <c r="GA309" s="110"/>
      <c r="GB309" s="110"/>
      <c r="GC309" s="110"/>
      <c r="GD309" s="110"/>
      <c r="GE309" s="110"/>
      <c r="GF309" s="110"/>
      <c r="GG309" s="110"/>
      <c r="GH309" s="110"/>
      <c r="GI309" s="110"/>
      <c r="GJ309" s="110"/>
      <c r="GK309" s="110"/>
      <c r="GL309" s="110"/>
      <c r="GM309" s="110"/>
      <c r="GN309" s="110"/>
      <c r="GO309" s="110"/>
      <c r="GP309" s="110"/>
      <c r="GQ309" s="110"/>
      <c r="GR309" s="110"/>
      <c r="GS309" s="110"/>
      <c r="GT309" s="110"/>
      <c r="GU309" s="110"/>
      <c r="GV309" s="110"/>
      <c r="GW309" s="110"/>
      <c r="GX309" s="110"/>
      <c r="GY309" s="110"/>
      <c r="GZ309" s="110"/>
      <c r="HA309" s="110"/>
      <c r="HB309" s="110"/>
      <c r="HC309" s="110"/>
      <c r="HD309" s="110"/>
      <c r="HE309" s="110"/>
      <c r="HF309" s="110"/>
      <c r="HG309" s="110"/>
      <c r="HH309" s="110"/>
      <c r="HI309" s="110"/>
      <c r="HJ309" s="110"/>
      <c r="HK309" s="110"/>
      <c r="HL309" s="110"/>
      <c r="HM309" s="110"/>
      <c r="HN309" s="110"/>
      <c r="HO309" s="110"/>
      <c r="HP309" s="110"/>
      <c r="HQ309" s="110"/>
      <c r="HR309" s="110"/>
      <c r="HS309" s="110"/>
      <c r="HT309" s="110"/>
      <c r="HU309" s="110"/>
      <c r="HV309" s="110"/>
      <c r="HW309" s="110"/>
      <c r="HX309" s="110"/>
      <c r="HY309" s="110"/>
      <c r="HZ309" s="110"/>
      <c r="IA309" s="110"/>
      <c r="IB309" s="110"/>
      <c r="IC309" s="110"/>
      <c r="ID309" s="110"/>
      <c r="IE309" s="110"/>
      <c r="IF309" s="110"/>
      <c r="IG309" s="110"/>
      <c r="IH309" s="110"/>
      <c r="II309" s="110"/>
      <c r="IJ309" s="110"/>
      <c r="IK309" s="110"/>
      <c r="IL309" s="110"/>
      <c r="IM309" s="110"/>
      <c r="IN309" s="110"/>
      <c r="IO309" s="110"/>
      <c r="IP309" s="110"/>
      <c r="IQ309" s="110"/>
      <c r="IR309" s="110"/>
      <c r="IS309" s="110"/>
      <c r="IT309" s="110"/>
      <c r="IU309" s="110"/>
      <c r="IV309" s="110"/>
      <c r="IW309" s="110"/>
      <c r="IX309" s="110"/>
      <c r="IY309" s="110"/>
      <c r="IZ309" s="110"/>
      <c r="JA309" s="110"/>
      <c r="JB309" s="110"/>
      <c r="JC309" s="110"/>
      <c r="JD309" s="110"/>
      <c r="JE309" s="110"/>
      <c r="JF309" s="110"/>
      <c r="JG309" s="110"/>
      <c r="JH309" s="110"/>
      <c r="JI309" s="110"/>
      <c r="JJ309" s="110"/>
      <c r="JK309" s="110"/>
      <c r="JL309" s="110"/>
      <c r="JM309" s="110"/>
      <c r="JN309" s="110"/>
      <c r="JO309" s="110"/>
      <c r="JP309" s="110"/>
      <c r="JQ309" s="110"/>
      <c r="JR309" s="110"/>
      <c r="JS309" s="110"/>
      <c r="JT309" s="110"/>
      <c r="JU309" s="110"/>
      <c r="JV309" s="110"/>
      <c r="JW309" s="110"/>
      <c r="JX309" s="110"/>
      <c r="JY309" s="110"/>
      <c r="JZ309" s="110"/>
      <c r="KA309" s="110"/>
      <c r="KB309" s="110"/>
      <c r="KC309" s="110"/>
      <c r="KD309" s="110"/>
      <c r="KE309" s="110"/>
      <c r="KF309" s="110"/>
      <c r="KG309" s="110"/>
      <c r="KH309" s="110"/>
      <c r="KI309" s="110"/>
      <c r="KJ309" s="110"/>
      <c r="KK309" s="110"/>
      <c r="KL309" s="110"/>
      <c r="KM309" s="110"/>
      <c r="KN309" s="110"/>
      <c r="KO309" s="110"/>
      <c r="KP309" s="110"/>
      <c r="KQ309" s="110"/>
      <c r="KR309" s="110"/>
      <c r="KS309" s="110"/>
      <c r="KT309" s="110"/>
      <c r="KU309" s="110"/>
      <c r="KV309" s="110"/>
      <c r="KW309" s="110"/>
      <c r="KX309" s="110"/>
      <c r="KY309" s="110"/>
      <c r="KZ309" s="110"/>
      <c r="LA309" s="110"/>
      <c r="LB309" s="110"/>
      <c r="LC309" s="110"/>
      <c r="LD309" s="110"/>
      <c r="LE309" s="110"/>
      <c r="LF309" s="110"/>
      <c r="LG309" s="110"/>
      <c r="LH309" s="110"/>
      <c r="LI309" s="110"/>
      <c r="LJ309" s="110"/>
      <c r="LK309" s="110"/>
      <c r="LL309" s="110"/>
      <c r="LM309" s="110"/>
      <c r="LN309" s="110"/>
      <c r="LO309" s="110"/>
      <c r="LP309" s="110"/>
      <c r="LQ309" s="110"/>
      <c r="LR309" s="110"/>
      <c r="LS309" s="110"/>
      <c r="LT309" s="110"/>
      <c r="LU309" s="110"/>
      <c r="LV309" s="110"/>
      <c r="LW309" s="110"/>
      <c r="LX309" s="110"/>
      <c r="LY309" s="110"/>
      <c r="LZ309" s="110"/>
      <c r="MA309" s="110"/>
      <c r="MB309" s="110"/>
      <c r="MC309" s="110"/>
      <c r="MD309" s="110"/>
      <c r="ME309" s="110"/>
      <c r="MF309" s="110"/>
      <c r="MG309" s="110"/>
      <c r="MH309" s="110"/>
      <c r="MI309" s="110"/>
      <c r="MJ309" s="110"/>
      <c r="MK309" s="110"/>
      <c r="ML309" s="110"/>
      <c r="MM309" s="110"/>
      <c r="MN309" s="110"/>
      <c r="MO309" s="110"/>
      <c r="MP309" s="110"/>
      <c r="MQ309" s="110"/>
      <c r="MR309" s="110"/>
      <c r="MS309" s="110"/>
      <c r="MT309" s="110"/>
      <c r="MU309" s="110"/>
      <c r="MV309" s="110"/>
      <c r="MW309" s="110"/>
      <c r="MX309" s="110"/>
      <c r="MY309" s="110"/>
      <c r="MZ309" s="110"/>
      <c r="NA309" s="110"/>
      <c r="NB309" s="110"/>
      <c r="NC309" s="110"/>
      <c r="ND309" s="110"/>
      <c r="NE309" s="110"/>
      <c r="NF309" s="110"/>
      <c r="NG309" s="110"/>
      <c r="NH309" s="110"/>
      <c r="NI309" s="110"/>
      <c r="NJ309" s="110"/>
      <c r="NK309" s="110"/>
      <c r="NL309" s="110"/>
      <c r="NM309" s="110"/>
      <c r="NN309" s="110"/>
      <c r="NO309" s="110"/>
      <c r="NP309" s="110"/>
      <c r="NQ309" s="110"/>
      <c r="NR309" s="110"/>
      <c r="NS309" s="110"/>
      <c r="NT309" s="110"/>
      <c r="NU309" s="110"/>
      <c r="NV309" s="110"/>
      <c r="NW309" s="110"/>
      <c r="NX309" s="110"/>
      <c r="NY309" s="110"/>
      <c r="NZ309" s="110"/>
      <c r="OA309" s="110"/>
      <c r="OB309" s="110"/>
      <c r="OC309" s="110"/>
      <c r="OD309" s="110"/>
      <c r="OE309" s="110"/>
      <c r="OF309" s="110"/>
      <c r="OG309" s="110"/>
      <c r="OH309" s="110"/>
      <c r="OI309" s="110"/>
      <c r="OJ309" s="110"/>
      <c r="OK309" s="110"/>
      <c r="OL309" s="110"/>
      <c r="OM309" s="110"/>
      <c r="ON309" s="110"/>
      <c r="OO309" s="110"/>
      <c r="OP309" s="110"/>
      <c r="OQ309" s="110"/>
      <c r="OR309" s="110"/>
      <c r="OS309" s="110"/>
      <c r="OT309" s="110"/>
      <c r="OU309" s="110"/>
      <c r="OV309" s="110"/>
      <c r="OW309" s="110"/>
      <c r="OX309" s="110"/>
      <c r="OY309" s="110"/>
      <c r="OZ309" s="110"/>
      <c r="PA309" s="110"/>
      <c r="PB309" s="110"/>
      <c r="PC309" s="110"/>
      <c r="PD309" s="110"/>
      <c r="PE309" s="110"/>
      <c r="PF309" s="110"/>
      <c r="PG309" s="110"/>
      <c r="PH309" s="110"/>
      <c r="PI309" s="110"/>
      <c r="PJ309" s="110"/>
      <c r="PK309" s="110"/>
      <c r="PL309" s="110"/>
      <c r="PM309" s="110"/>
      <c r="PN309" s="110"/>
      <c r="PO309" s="110"/>
      <c r="PP309" s="110"/>
      <c r="PQ309" s="110"/>
      <c r="PR309" s="110"/>
      <c r="PS309" s="110"/>
      <c r="PT309" s="110"/>
      <c r="PU309" s="110"/>
      <c r="PV309" s="110"/>
      <c r="PW309" s="110"/>
      <c r="PX309" s="110"/>
      <c r="PY309" s="110"/>
      <c r="PZ309" s="110"/>
      <c r="QA309" s="110"/>
      <c r="QB309" s="110"/>
      <c r="QC309" s="110"/>
      <c r="QD309" s="110"/>
      <c r="QE309" s="110"/>
      <c r="QF309" s="110"/>
      <c r="QG309" s="110"/>
      <c r="QH309" s="110"/>
      <c r="QI309" s="110"/>
      <c r="QJ309" s="110"/>
      <c r="QK309" s="110"/>
      <c r="QL309" s="110"/>
      <c r="QM309" s="110"/>
      <c r="QN309" s="110"/>
      <c r="QO309" s="110"/>
      <c r="QP309" s="110"/>
      <c r="QQ309" s="110"/>
      <c r="QR309" s="110"/>
      <c r="QS309" s="110"/>
      <c r="QT309" s="110"/>
      <c r="QU309" s="110"/>
      <c r="QV309" s="110"/>
      <c r="QW309" s="110"/>
      <c r="QX309" s="110"/>
      <c r="QY309" s="110"/>
      <c r="QZ309" s="110"/>
      <c r="RA309" s="110"/>
      <c r="RB309" s="110"/>
      <c r="RC309" s="110"/>
      <c r="RD309" s="110"/>
      <c r="RE309" s="110"/>
      <c r="RF309" s="110"/>
      <c r="RG309" s="110"/>
      <c r="RH309" s="110"/>
      <c r="RI309" s="110"/>
      <c r="RJ309" s="110"/>
      <c r="RK309" s="110"/>
      <c r="RL309" s="110"/>
      <c r="RM309" s="110"/>
      <c r="RN309" s="110"/>
      <c r="RO309" s="110"/>
      <c r="RP309" s="110"/>
      <c r="RQ309" s="110"/>
      <c r="RR309" s="110"/>
      <c r="RS309" s="110"/>
      <c r="RT309" s="110"/>
      <c r="RU309" s="110"/>
      <c r="RV309" s="110"/>
      <c r="RW309" s="110"/>
      <c r="RX309" s="110"/>
      <c r="RY309" s="110"/>
      <c r="RZ309" s="110"/>
      <c r="SA309" s="110"/>
      <c r="SB309" s="110"/>
      <c r="SC309" s="110"/>
      <c r="SD309" s="110"/>
      <c r="SE309" s="110"/>
      <c r="SF309" s="110"/>
      <c r="SG309" s="110"/>
      <c r="SH309" s="110"/>
      <c r="SI309" s="110"/>
      <c r="SJ309" s="110"/>
      <c r="SK309" s="110"/>
      <c r="SL309" s="110"/>
      <c r="SM309" s="110"/>
      <c r="SN309" s="110"/>
      <c r="SO309" s="110"/>
      <c r="SP309" s="110"/>
      <c r="SQ309" s="110"/>
      <c r="SR309" s="110"/>
      <c r="SS309" s="110"/>
      <c r="ST309" s="110"/>
      <c r="SU309" s="110"/>
      <c r="SV309" s="110"/>
      <c r="SW309" s="110"/>
      <c r="SX309" s="110"/>
      <c r="SY309" s="110"/>
      <c r="SZ309" s="110"/>
      <c r="TA309" s="110"/>
      <c r="TB309" s="110"/>
      <c r="TC309" s="110"/>
      <c r="TD309" s="110"/>
      <c r="TE309" s="110"/>
      <c r="TF309" s="110"/>
      <c r="TG309" s="110"/>
      <c r="TH309" s="110"/>
      <c r="TI309" s="110"/>
      <c r="TJ309" s="110"/>
      <c r="TK309" s="110"/>
      <c r="TL309" s="110"/>
      <c r="TM309" s="110"/>
      <c r="TN309" s="110"/>
      <c r="TO309" s="110"/>
      <c r="TP309" s="110"/>
      <c r="TQ309" s="110"/>
      <c r="TR309" s="110"/>
      <c r="TS309" s="110"/>
      <c r="TT309" s="110"/>
      <c r="TU309" s="110"/>
      <c r="TV309" s="110"/>
      <c r="TW309" s="110"/>
      <c r="TX309" s="110"/>
      <c r="TY309" s="110"/>
      <c r="TZ309" s="110"/>
      <c r="UA309" s="110"/>
      <c r="UB309" s="110"/>
      <c r="UC309" s="110"/>
      <c r="UD309" s="110"/>
      <c r="UE309" s="110"/>
      <c r="UF309" s="110"/>
      <c r="UG309" s="110"/>
      <c r="UH309" s="110"/>
      <c r="UI309" s="110"/>
      <c r="UJ309" s="110"/>
      <c r="UK309" s="110"/>
      <c r="UL309" s="110"/>
      <c r="UM309" s="110"/>
      <c r="UN309" s="110"/>
      <c r="UO309" s="110"/>
      <c r="UP309" s="110"/>
      <c r="UQ309" s="110"/>
      <c r="UR309" s="110"/>
      <c r="US309" s="110"/>
      <c r="UT309" s="110"/>
      <c r="UU309" s="110"/>
      <c r="UV309" s="110"/>
      <c r="UW309" s="110"/>
      <c r="UX309" s="110"/>
      <c r="UY309" s="110"/>
      <c r="UZ309" s="110"/>
      <c r="VA309" s="110"/>
      <c r="VB309" s="110"/>
      <c r="VC309" s="110"/>
      <c r="VD309" s="110"/>
      <c r="VE309" s="110"/>
      <c r="VF309" s="110"/>
      <c r="VG309" s="110"/>
      <c r="VH309" s="110"/>
      <c r="VI309" s="110"/>
      <c r="VJ309" s="110"/>
      <c r="VK309" s="110"/>
      <c r="VL309" s="110"/>
      <c r="VM309" s="110"/>
      <c r="VN309" s="110"/>
      <c r="VO309" s="110"/>
      <c r="VP309" s="110"/>
      <c r="VQ309" s="110"/>
      <c r="VR309" s="110"/>
      <c r="VS309" s="110"/>
      <c r="VT309" s="110"/>
      <c r="VU309" s="110"/>
      <c r="VV309" s="110"/>
      <c r="VW309" s="110"/>
      <c r="VX309" s="110"/>
      <c r="VY309" s="110"/>
      <c r="VZ309" s="110"/>
      <c r="WA309" s="110"/>
      <c r="WB309" s="110"/>
      <c r="WC309" s="110"/>
      <c r="WD309" s="110"/>
      <c r="WE309" s="110"/>
      <c r="WF309" s="110"/>
      <c r="WG309" s="110"/>
      <c r="WH309" s="110"/>
      <c r="WI309" s="110"/>
      <c r="WJ309" s="110"/>
      <c r="WK309" s="110"/>
      <c r="WL309" s="110"/>
      <c r="WM309" s="110"/>
      <c r="WN309" s="110"/>
      <c r="WO309" s="110"/>
      <c r="WP309" s="110"/>
      <c r="WQ309" s="110"/>
      <c r="WR309" s="110"/>
      <c r="WS309" s="110"/>
      <c r="WT309" s="110"/>
      <c r="WU309" s="110"/>
      <c r="WV309" s="110"/>
      <c r="WW309" s="110"/>
      <c r="WX309" s="110"/>
      <c r="WY309" s="110"/>
      <c r="WZ309" s="110"/>
      <c r="XA309" s="110"/>
      <c r="XB309" s="110"/>
      <c r="XC309" s="110"/>
      <c r="XD309" s="110"/>
      <c r="XE309" s="110"/>
      <c r="XF309" s="110"/>
      <c r="XG309" s="110"/>
      <c r="XH309" s="110"/>
      <c r="XI309" s="110"/>
      <c r="XJ309" s="110"/>
      <c r="XK309" s="110"/>
      <c r="XL309" s="110"/>
      <c r="XM309" s="110"/>
      <c r="XN309" s="110"/>
      <c r="XO309" s="110"/>
      <c r="XP309" s="110"/>
      <c r="XQ309" s="110"/>
      <c r="XR309" s="110"/>
      <c r="XS309" s="110"/>
      <c r="XT309" s="110"/>
      <c r="XU309" s="110"/>
      <c r="XV309" s="110"/>
      <c r="XW309" s="110"/>
      <c r="XX309" s="110"/>
      <c r="XY309" s="110"/>
      <c r="XZ309" s="110"/>
      <c r="YA309" s="110"/>
      <c r="YB309" s="110"/>
      <c r="YC309" s="110"/>
      <c r="YD309" s="110"/>
      <c r="YE309" s="110"/>
      <c r="YF309" s="110"/>
      <c r="YG309" s="110"/>
      <c r="YH309" s="110"/>
      <c r="YI309" s="110"/>
      <c r="YJ309" s="110"/>
      <c r="YK309" s="110"/>
      <c r="YL309" s="110"/>
      <c r="YM309" s="110"/>
      <c r="YN309" s="110"/>
      <c r="YO309" s="110"/>
      <c r="YP309" s="110"/>
      <c r="YQ309" s="110"/>
      <c r="YR309" s="110"/>
      <c r="YS309" s="110"/>
      <c r="YT309" s="110"/>
      <c r="YU309" s="110"/>
      <c r="YV309" s="110"/>
      <c r="YW309" s="110"/>
      <c r="YX309" s="110"/>
      <c r="YY309" s="110"/>
      <c r="YZ309" s="110"/>
      <c r="ZA309" s="110"/>
      <c r="ZB309" s="110"/>
      <c r="ZC309" s="110"/>
      <c r="ZD309" s="110"/>
      <c r="ZE309" s="110"/>
      <c r="ZF309" s="110"/>
      <c r="ZG309" s="110"/>
      <c r="ZH309" s="110"/>
      <c r="ZI309" s="110"/>
      <c r="ZJ309" s="110"/>
      <c r="ZK309" s="110"/>
      <c r="ZL309" s="110"/>
      <c r="ZM309" s="110"/>
      <c r="ZN309" s="110"/>
      <c r="ZO309" s="110"/>
      <c r="ZP309" s="110"/>
      <c r="ZQ309" s="110"/>
      <c r="ZR309" s="110"/>
      <c r="ZS309" s="110"/>
      <c r="ZT309" s="110"/>
      <c r="ZU309" s="110"/>
      <c r="ZV309" s="110"/>
      <c r="ZW309" s="110"/>
      <c r="ZX309" s="110"/>
      <c r="ZY309" s="110"/>
      <c r="ZZ309" s="110"/>
      <c r="AAA309" s="110"/>
      <c r="AAB309" s="110"/>
      <c r="AAC309" s="110"/>
      <c r="AAD309" s="110"/>
      <c r="AAE309" s="110"/>
      <c r="AAF309" s="110"/>
      <c r="AAG309" s="110"/>
      <c r="AAH309" s="110"/>
      <c r="AAI309" s="110"/>
      <c r="AAJ309" s="110"/>
      <c r="AAK309" s="110"/>
      <c r="AAL309" s="110"/>
      <c r="AAM309" s="110"/>
      <c r="AAN309" s="110"/>
      <c r="AAO309" s="110"/>
      <c r="AAP309" s="110"/>
      <c r="AAQ309" s="110"/>
      <c r="AAR309" s="110"/>
      <c r="AAS309" s="110"/>
      <c r="AAT309" s="110"/>
      <c r="AAU309" s="110"/>
      <c r="AAV309" s="110"/>
      <c r="AAW309" s="110"/>
      <c r="AAX309" s="110"/>
      <c r="AAY309" s="110"/>
      <c r="AAZ309" s="110"/>
      <c r="ABA309" s="110"/>
      <c r="ABB309" s="110"/>
      <c r="ABC309" s="110"/>
      <c r="ABD309" s="110"/>
      <c r="ABE309" s="110"/>
      <c r="ABF309" s="110"/>
      <c r="ABG309" s="110"/>
      <c r="ABH309" s="110"/>
      <c r="ABI309" s="110"/>
      <c r="ABJ309" s="110"/>
      <c r="ABK309" s="110"/>
      <c r="ABL309" s="110"/>
      <c r="ABM309" s="110"/>
      <c r="ABN309" s="110"/>
      <c r="ABO309" s="110"/>
      <c r="ABP309" s="110"/>
      <c r="ABQ309" s="110"/>
      <c r="ABR309" s="110"/>
      <c r="ABS309" s="110"/>
      <c r="ABT309" s="110"/>
      <c r="ABU309" s="110"/>
      <c r="ABV309" s="110"/>
      <c r="ABW309" s="110"/>
      <c r="ABX309" s="110"/>
      <c r="ABY309" s="110"/>
      <c r="ABZ309" s="110"/>
      <c r="ACA309" s="110"/>
      <c r="ACB309" s="110"/>
      <c r="ACC309" s="110"/>
      <c r="ACD309" s="110"/>
      <c r="ACE309" s="110"/>
      <c r="ACF309" s="110"/>
      <c r="ACG309" s="110"/>
      <c r="ACH309" s="110"/>
      <c r="ACI309" s="110"/>
      <c r="ACJ309" s="110"/>
      <c r="ACK309" s="110"/>
      <c r="ACL309" s="110"/>
      <c r="ACM309" s="110"/>
      <c r="ACN309" s="110"/>
      <c r="ACO309" s="110"/>
      <c r="ACP309" s="110"/>
      <c r="ACQ309" s="110"/>
      <c r="ACR309" s="110"/>
      <c r="ACS309" s="110"/>
      <c r="ACT309" s="110"/>
      <c r="ACU309" s="110"/>
      <c r="ACV309" s="110"/>
      <c r="ACW309" s="110"/>
      <c r="ACX309" s="110"/>
      <c r="ACY309" s="110"/>
      <c r="ACZ309" s="110"/>
      <c r="ADA309" s="110"/>
      <c r="ADB309" s="110"/>
      <c r="ADC309" s="110"/>
      <c r="ADD309" s="110"/>
      <c r="ADE309" s="110"/>
      <c r="ADF309" s="110"/>
      <c r="ADG309" s="110"/>
      <c r="ADH309" s="110"/>
      <c r="ADI309" s="110"/>
      <c r="ADJ309" s="110"/>
      <c r="ADK309" s="110"/>
      <c r="ADL309" s="110"/>
      <c r="ADM309" s="110"/>
      <c r="ADN309" s="110"/>
      <c r="ADO309" s="110"/>
      <c r="ADP309" s="110"/>
      <c r="ADQ309" s="110"/>
      <c r="ADR309" s="110"/>
      <c r="ADS309" s="110"/>
      <c r="ADT309" s="110"/>
      <c r="ADU309" s="110"/>
      <c r="ADV309" s="110"/>
      <c r="ADW309" s="110"/>
      <c r="ADX309" s="110"/>
      <c r="ADY309" s="110"/>
      <c r="ADZ309" s="110"/>
      <c r="AEA309" s="110"/>
      <c r="AEB309" s="110"/>
      <c r="AEC309" s="110"/>
      <c r="AED309" s="110"/>
      <c r="AEE309" s="110"/>
      <c r="AEF309" s="110"/>
      <c r="AEG309" s="110"/>
      <c r="AEH309" s="110"/>
      <c r="AEI309" s="110"/>
      <c r="AEJ309" s="110"/>
      <c r="AEK309" s="110"/>
      <c r="AEL309" s="110"/>
      <c r="AEM309" s="110"/>
      <c r="AEN309" s="110"/>
      <c r="AEO309" s="110"/>
      <c r="AEP309" s="110"/>
      <c r="AEQ309" s="110"/>
      <c r="AER309" s="110"/>
      <c r="AES309" s="110"/>
      <c r="AET309" s="110"/>
      <c r="AEU309" s="110"/>
      <c r="AEV309" s="110"/>
      <c r="AEW309" s="110"/>
      <c r="AEX309" s="110"/>
      <c r="AEY309" s="110"/>
      <c r="AEZ309" s="110"/>
      <c r="AFA309" s="110"/>
      <c r="AFB309" s="110"/>
      <c r="AFC309" s="110"/>
      <c r="AFD309" s="110"/>
      <c r="AFE309" s="110"/>
      <c r="AFF309" s="110"/>
      <c r="AFG309" s="110"/>
      <c r="AFH309" s="110"/>
      <c r="AFI309" s="110"/>
      <c r="AFJ309" s="110"/>
      <c r="AFK309" s="110"/>
      <c r="AFL309" s="110"/>
      <c r="AFM309" s="110"/>
      <c r="AFN309" s="110"/>
      <c r="AFO309" s="110"/>
      <c r="AFP309" s="110"/>
      <c r="AFQ309" s="110"/>
      <c r="AFR309" s="110"/>
      <c r="AFS309" s="110"/>
      <c r="AFT309" s="110"/>
      <c r="AFU309" s="110"/>
      <c r="AFV309" s="110"/>
      <c r="AFW309" s="110"/>
      <c r="AFX309" s="110"/>
      <c r="AFY309" s="110"/>
      <c r="AFZ309" s="110"/>
      <c r="AGA309" s="110"/>
      <c r="AGB309" s="110"/>
      <c r="AGC309" s="110"/>
      <c r="AGD309" s="110"/>
      <c r="AGE309" s="110"/>
      <c r="AGF309" s="110"/>
      <c r="AGG309" s="110"/>
      <c r="AGH309" s="110"/>
      <c r="AGI309" s="110"/>
      <c r="AGJ309" s="110"/>
      <c r="AGK309" s="110"/>
      <c r="AGL309" s="110"/>
      <c r="AGM309" s="110"/>
      <c r="AGN309" s="110"/>
      <c r="AGO309" s="110"/>
      <c r="AGP309" s="110"/>
      <c r="AGQ309" s="110"/>
      <c r="AGR309" s="110"/>
      <c r="AGS309" s="110"/>
      <c r="AGT309" s="110"/>
      <c r="AGU309" s="110"/>
      <c r="AGV309" s="110"/>
      <c r="AGW309" s="110"/>
      <c r="AGX309" s="110"/>
      <c r="AGY309" s="110"/>
      <c r="AGZ309" s="110"/>
      <c r="AHA309" s="110"/>
      <c r="AHB309" s="110"/>
      <c r="AHC309" s="110"/>
      <c r="AHD309" s="110"/>
      <c r="AHE309" s="110"/>
      <c r="AHF309" s="110"/>
      <c r="AHG309" s="110"/>
      <c r="AHH309" s="110"/>
      <c r="AHI309" s="110"/>
      <c r="AHJ309" s="110"/>
      <c r="AHK309" s="110"/>
      <c r="AHL309" s="110"/>
      <c r="AHM309" s="110"/>
      <c r="AHN309" s="110"/>
      <c r="AHO309" s="110"/>
      <c r="AHP309" s="110"/>
      <c r="AHQ309" s="110"/>
      <c r="AHR309" s="110"/>
      <c r="AHS309" s="110"/>
      <c r="AHT309" s="110"/>
      <c r="AHU309" s="110"/>
      <c r="AHV309" s="110"/>
      <c r="AHW309" s="110"/>
      <c r="AHX309" s="110"/>
      <c r="AHY309" s="110"/>
      <c r="AHZ309" s="110"/>
      <c r="AIA309" s="110"/>
      <c r="AIB309" s="110"/>
      <c r="AIC309" s="110"/>
      <c r="AID309" s="110"/>
      <c r="AIE309" s="110"/>
      <c r="AIF309" s="110"/>
      <c r="AIG309" s="110"/>
      <c r="AIH309" s="110"/>
      <c r="AII309" s="110"/>
      <c r="AIJ309" s="110"/>
      <c r="AIK309" s="110"/>
      <c r="AIL309" s="110"/>
      <c r="AIM309" s="110"/>
      <c r="AIN309" s="110"/>
      <c r="AIO309" s="110"/>
      <c r="AIP309" s="110"/>
      <c r="AIQ309" s="110"/>
      <c r="AIR309" s="110"/>
      <c r="AIS309" s="110"/>
      <c r="AIT309" s="110"/>
      <c r="AIU309" s="110"/>
      <c r="AIV309" s="110"/>
      <c r="AIW309" s="110"/>
      <c r="AIX309" s="110"/>
      <c r="AIY309" s="110"/>
      <c r="AIZ309" s="110"/>
      <c r="AJA309" s="110"/>
      <c r="AJB309" s="110"/>
      <c r="AJC309" s="110"/>
      <c r="AJD309" s="110"/>
      <c r="AJE309" s="110"/>
      <c r="AJF309" s="110"/>
      <c r="AJG309" s="110"/>
      <c r="AJH309" s="110"/>
      <c r="AJI309" s="110"/>
      <c r="AJJ309" s="110"/>
      <c r="AJK309" s="110"/>
      <c r="AJL309" s="110"/>
      <c r="AJM309" s="110"/>
      <c r="AJN309" s="110"/>
      <c r="AJO309" s="110"/>
      <c r="AJP309" s="110"/>
      <c r="AJQ309" s="110"/>
      <c r="AJR309" s="110"/>
      <c r="AJS309" s="110"/>
      <c r="AJT309" s="110"/>
      <c r="AJU309" s="110"/>
      <c r="AJV309" s="110"/>
      <c r="AJW309" s="110"/>
      <c r="AJX309" s="110"/>
      <c r="AJY309" s="110"/>
      <c r="AJZ309" s="110"/>
      <c r="AKA309" s="110"/>
      <c r="AKB309" s="110"/>
      <c r="AKC309" s="110"/>
      <c r="AKD309" s="110"/>
      <c r="AKE309" s="110"/>
      <c r="AKF309" s="110"/>
      <c r="AKG309" s="110"/>
      <c r="AKH309" s="110"/>
      <c r="AKI309" s="110"/>
      <c r="AKJ309" s="110"/>
      <c r="AKK309" s="110"/>
      <c r="AKL309" s="110"/>
      <c r="AKM309" s="110"/>
      <c r="AKN309" s="110"/>
      <c r="AKO309" s="110"/>
      <c r="AKP309" s="110"/>
      <c r="AKQ309" s="110"/>
      <c r="AKR309" s="110"/>
      <c r="AKS309" s="110"/>
      <c r="AKT309" s="110"/>
      <c r="AKU309" s="110"/>
      <c r="AKV309" s="110"/>
      <c r="AKW309" s="110"/>
      <c r="AKX309" s="110"/>
      <c r="AKY309" s="110"/>
      <c r="AKZ309" s="110"/>
      <c r="ALA309" s="110"/>
      <c r="ALB309" s="110"/>
      <c r="ALC309" s="110"/>
      <c r="ALD309" s="110"/>
      <c r="ALE309" s="110"/>
      <c r="ALF309" s="110"/>
      <c r="ALG309" s="110"/>
      <c r="ALH309" s="110"/>
      <c r="ALI309" s="110"/>
      <c r="ALJ309" s="110"/>
      <c r="ALK309" s="110"/>
      <c r="ALL309" s="110"/>
      <c r="ALM309" s="110"/>
      <c r="ALN309" s="110"/>
      <c r="ALO309" s="110"/>
      <c r="ALP309" s="110"/>
      <c r="ALQ309" s="110"/>
      <c r="ALR309" s="110"/>
      <c r="ALS309" s="110"/>
      <c r="ALT309" s="110"/>
      <c r="ALU309" s="110"/>
      <c r="ALV309" s="110"/>
      <c r="ALW309" s="110"/>
      <c r="ALX309" s="110"/>
      <c r="ALY309" s="110"/>
      <c r="ALZ309" s="110"/>
      <c r="AMA309" s="110"/>
      <c r="AMB309" s="110"/>
      <c r="AMC309" s="110"/>
      <c r="AMD309" s="110"/>
      <c r="AME309" s="110"/>
      <c r="AMF309" s="110"/>
    </row>
    <row r="310" spans="1:1020" s="142" customFormat="1" ht="11.25" customHeight="1">
      <c r="A310" s="123"/>
      <c r="B310" s="141">
        <v>6</v>
      </c>
      <c r="C310" s="126">
        <v>303</v>
      </c>
      <c r="D310" s="127" t="s">
        <v>484</v>
      </c>
      <c r="E310" s="194">
        <f t="shared" si="52"/>
        <v>930</v>
      </c>
      <c r="F310" s="125">
        <f>ROUND(E310*Valores!$C$2,2)</f>
        <v>50638.5</v>
      </c>
      <c r="G310" s="192">
        <v>0</v>
      </c>
      <c r="H310" s="125">
        <f>ROUND(G310*Valores!$C$2,2)</f>
        <v>0</v>
      </c>
      <c r="I310" s="192">
        <v>0</v>
      </c>
      <c r="J310" s="125">
        <f>ROUND(I310*Valores!$C$2,2)</f>
        <v>0</v>
      </c>
      <c r="K310" s="192">
        <v>0</v>
      </c>
      <c r="L310" s="125">
        <f>ROUND(K310*Valores!$C$2,2)</f>
        <v>0</v>
      </c>
      <c r="M310" s="125">
        <f>ROUND(IF($H$2=0,IF(AND(A310&lt;&gt;"13-930",A310&lt;&gt;"13-940"),(SUM(F310,H310,J310,L310,X310,T310,R310)*Valores!$C$4),0),0),2)</f>
        <v>14118.53</v>
      </c>
      <c r="N310" s="125">
        <f t="shared" si="42"/>
        <v>0</v>
      </c>
      <c r="O310" s="125">
        <v>0</v>
      </c>
      <c r="P310" s="125">
        <v>0</v>
      </c>
      <c r="Q310" s="125">
        <v>0</v>
      </c>
      <c r="R310" s="125">
        <f>IF($F$4="NO",IF(Valores!$C$49*B310&gt;Valores!$C$46,Valores!$C$46,Valores!$C$49*B310),IF(Valores!$C$49*B310&gt;Valores!$C$46,Valores!$C$46,Valores!$C$49*B310)/2)</f>
        <v>5835.6</v>
      </c>
      <c r="S310" s="125">
        <v>0</v>
      </c>
      <c r="T310" s="125">
        <f t="shared" si="51"/>
        <v>0</v>
      </c>
      <c r="U310" s="125">
        <v>0</v>
      </c>
      <c r="V310" s="125">
        <v>0</v>
      </c>
      <c r="W310" s="192">
        <v>0</v>
      </c>
      <c r="X310" s="125">
        <f>ROUND(W310*Valores!$C$2,2)</f>
        <v>0</v>
      </c>
      <c r="Y310" s="125">
        <v>0</v>
      </c>
      <c r="Z310" s="125">
        <v>0</v>
      </c>
      <c r="AA310" s="125">
        <v>0</v>
      </c>
      <c r="AB310" s="214">
        <v>0</v>
      </c>
      <c r="AC310" s="125">
        <f t="shared" si="43"/>
        <v>0</v>
      </c>
      <c r="AD310" s="125">
        <v>0</v>
      </c>
      <c r="AE310" s="192">
        <v>0</v>
      </c>
      <c r="AF310" s="125">
        <f>ROUND(AE310*Valores!$C$2,2)</f>
        <v>0</v>
      </c>
      <c r="AG310" s="125">
        <v>0</v>
      </c>
      <c r="AH310" s="125">
        <f t="shared" si="46"/>
        <v>70592.63</v>
      </c>
      <c r="AI310" s="125">
        <v>0</v>
      </c>
      <c r="AJ310" s="125">
        <v>0</v>
      </c>
      <c r="AK310" s="125">
        <v>0</v>
      </c>
      <c r="AL310" s="125">
        <v>0</v>
      </c>
      <c r="AM310" s="125">
        <f t="shared" si="44"/>
        <v>0</v>
      </c>
      <c r="AN310" s="125">
        <f>AH310*Valores!$C$71</f>
        <v>-7765.189300000001</v>
      </c>
      <c r="AO310" s="125">
        <f>AH310*-Valores!$C$72</f>
        <v>0</v>
      </c>
      <c r="AP310" s="125">
        <f>AH310*Valores!$C$73</f>
        <v>-3176.66835</v>
      </c>
      <c r="AQ310" s="125">
        <v>0</v>
      </c>
      <c r="AR310" s="125">
        <v>0</v>
      </c>
      <c r="AS310" s="125">
        <f t="shared" si="47"/>
        <v>59650.77235</v>
      </c>
      <c r="AT310" s="125">
        <f t="shared" si="41"/>
        <v>-7765.189300000001</v>
      </c>
      <c r="AU310" s="125">
        <f>AH310*Valores!$C$74</f>
        <v>-1906.0010100000002</v>
      </c>
      <c r="AV310" s="125">
        <f>AH310*Valores!$C$75</f>
        <v>-211.77789</v>
      </c>
      <c r="AW310" s="125">
        <f t="shared" si="45"/>
        <v>60709.6618</v>
      </c>
      <c r="AX310" s="126"/>
      <c r="AY310" s="126"/>
      <c r="AZ310" s="123"/>
      <c r="BA310" s="110"/>
      <c r="BB310" s="110"/>
      <c r="BC310" s="110"/>
      <c r="BD310" s="110"/>
      <c r="BE310" s="110"/>
      <c r="BF310" s="110"/>
      <c r="BG310" s="110"/>
      <c r="BH310" s="110"/>
      <c r="BI310" s="110"/>
      <c r="BJ310" s="110"/>
      <c r="BK310" s="110"/>
      <c r="BL310" s="110"/>
      <c r="BM310" s="110"/>
      <c r="BN310" s="110"/>
      <c r="BO310" s="110"/>
      <c r="BP310" s="110"/>
      <c r="BQ310" s="110"/>
      <c r="BR310" s="110"/>
      <c r="BS310" s="110"/>
      <c r="BT310" s="110"/>
      <c r="BU310" s="110"/>
      <c r="BV310" s="110"/>
      <c r="BW310" s="110"/>
      <c r="BX310" s="110"/>
      <c r="BY310" s="110"/>
      <c r="BZ310" s="110"/>
      <c r="CA310" s="110"/>
      <c r="CB310" s="110"/>
      <c r="CC310" s="110"/>
      <c r="CD310" s="110"/>
      <c r="CE310" s="110"/>
      <c r="CF310" s="110"/>
      <c r="CG310" s="110"/>
      <c r="CH310" s="110"/>
      <c r="CI310" s="110"/>
      <c r="CJ310" s="110"/>
      <c r="CK310" s="110"/>
      <c r="CL310" s="110"/>
      <c r="CM310" s="110"/>
      <c r="CN310" s="110"/>
      <c r="CO310" s="110"/>
      <c r="CP310" s="110"/>
      <c r="CQ310" s="110"/>
      <c r="CR310" s="110"/>
      <c r="CS310" s="110"/>
      <c r="CT310" s="110"/>
      <c r="CU310" s="110"/>
      <c r="CV310" s="110"/>
      <c r="CW310" s="110"/>
      <c r="CX310" s="110"/>
      <c r="CY310" s="110"/>
      <c r="CZ310" s="110"/>
      <c r="DA310" s="110"/>
      <c r="DB310" s="110"/>
      <c r="DC310" s="110"/>
      <c r="DD310" s="110"/>
      <c r="DE310" s="110"/>
      <c r="DF310" s="110"/>
      <c r="DG310" s="110"/>
      <c r="DH310" s="110"/>
      <c r="DI310" s="110"/>
      <c r="DJ310" s="110"/>
      <c r="DK310" s="110"/>
      <c r="DL310" s="110"/>
      <c r="DM310" s="110"/>
      <c r="DN310" s="110"/>
      <c r="DO310" s="110"/>
      <c r="DP310" s="110"/>
      <c r="DQ310" s="110"/>
      <c r="DR310" s="110"/>
      <c r="DS310" s="110"/>
      <c r="DT310" s="110"/>
      <c r="DU310" s="110"/>
      <c r="DV310" s="110"/>
      <c r="DW310" s="110"/>
      <c r="DX310" s="110"/>
      <c r="DY310" s="110"/>
      <c r="DZ310" s="110"/>
      <c r="EA310" s="110"/>
      <c r="EB310" s="110"/>
      <c r="EC310" s="110"/>
      <c r="ED310" s="110"/>
      <c r="EE310" s="110"/>
      <c r="EF310" s="110"/>
      <c r="EG310" s="110"/>
      <c r="EH310" s="110"/>
      <c r="EI310" s="110"/>
      <c r="EJ310" s="110"/>
      <c r="EK310" s="110"/>
      <c r="EL310" s="110"/>
      <c r="EM310" s="110"/>
      <c r="EN310" s="110"/>
      <c r="EO310" s="110"/>
      <c r="EP310" s="110"/>
      <c r="EQ310" s="110"/>
      <c r="ER310" s="110"/>
      <c r="ES310" s="110"/>
      <c r="ET310" s="110"/>
      <c r="EU310" s="110"/>
      <c r="EV310" s="110"/>
      <c r="EW310" s="110"/>
      <c r="EX310" s="110"/>
      <c r="EY310" s="110"/>
      <c r="EZ310" s="110"/>
      <c r="FA310" s="110"/>
      <c r="FB310" s="110"/>
      <c r="FC310" s="110"/>
      <c r="FD310" s="110"/>
      <c r="FE310" s="110"/>
      <c r="FF310" s="110"/>
      <c r="FG310" s="110"/>
      <c r="FH310" s="110"/>
      <c r="FI310" s="110"/>
      <c r="FJ310" s="110"/>
      <c r="FK310" s="110"/>
      <c r="FL310" s="110"/>
      <c r="FM310" s="110"/>
      <c r="FN310" s="110"/>
      <c r="FO310" s="110"/>
      <c r="FP310" s="110"/>
      <c r="FQ310" s="110"/>
      <c r="FR310" s="110"/>
      <c r="FS310" s="110"/>
      <c r="FT310" s="110"/>
      <c r="FU310" s="110"/>
      <c r="FV310" s="110"/>
      <c r="FW310" s="110"/>
      <c r="FX310" s="110"/>
      <c r="FY310" s="110"/>
      <c r="FZ310" s="110"/>
      <c r="GA310" s="110"/>
      <c r="GB310" s="110"/>
      <c r="GC310" s="110"/>
      <c r="GD310" s="110"/>
      <c r="GE310" s="110"/>
      <c r="GF310" s="110"/>
      <c r="GG310" s="110"/>
      <c r="GH310" s="110"/>
      <c r="GI310" s="110"/>
      <c r="GJ310" s="110"/>
      <c r="GK310" s="110"/>
      <c r="GL310" s="110"/>
      <c r="GM310" s="110"/>
      <c r="GN310" s="110"/>
      <c r="GO310" s="110"/>
      <c r="GP310" s="110"/>
      <c r="GQ310" s="110"/>
      <c r="GR310" s="110"/>
      <c r="GS310" s="110"/>
      <c r="GT310" s="110"/>
      <c r="GU310" s="110"/>
      <c r="GV310" s="110"/>
      <c r="GW310" s="110"/>
      <c r="GX310" s="110"/>
      <c r="GY310" s="110"/>
      <c r="GZ310" s="110"/>
      <c r="HA310" s="110"/>
      <c r="HB310" s="110"/>
      <c r="HC310" s="110"/>
      <c r="HD310" s="110"/>
      <c r="HE310" s="110"/>
      <c r="HF310" s="110"/>
      <c r="HG310" s="110"/>
      <c r="HH310" s="110"/>
      <c r="HI310" s="110"/>
      <c r="HJ310" s="110"/>
      <c r="HK310" s="110"/>
      <c r="HL310" s="110"/>
      <c r="HM310" s="110"/>
      <c r="HN310" s="110"/>
      <c r="HO310" s="110"/>
      <c r="HP310" s="110"/>
      <c r="HQ310" s="110"/>
      <c r="HR310" s="110"/>
      <c r="HS310" s="110"/>
      <c r="HT310" s="110"/>
      <c r="HU310" s="110"/>
      <c r="HV310" s="110"/>
      <c r="HW310" s="110"/>
      <c r="HX310" s="110"/>
      <c r="HY310" s="110"/>
      <c r="HZ310" s="110"/>
      <c r="IA310" s="110"/>
      <c r="IB310" s="110"/>
      <c r="IC310" s="110"/>
      <c r="ID310" s="110"/>
      <c r="IE310" s="110"/>
      <c r="IF310" s="110"/>
      <c r="IG310" s="110"/>
      <c r="IH310" s="110"/>
      <c r="II310" s="110"/>
      <c r="IJ310" s="110"/>
      <c r="IK310" s="110"/>
      <c r="IL310" s="110"/>
      <c r="IM310" s="110"/>
      <c r="IN310" s="110"/>
      <c r="IO310" s="110"/>
      <c r="IP310" s="110"/>
      <c r="IQ310" s="110"/>
      <c r="IR310" s="110"/>
      <c r="IS310" s="110"/>
      <c r="IT310" s="110"/>
      <c r="IU310" s="110"/>
      <c r="IV310" s="110"/>
      <c r="IW310" s="110"/>
      <c r="IX310" s="110"/>
      <c r="IY310" s="110"/>
      <c r="IZ310" s="110"/>
      <c r="JA310" s="110"/>
      <c r="JB310" s="110"/>
      <c r="JC310" s="110"/>
      <c r="JD310" s="110"/>
      <c r="JE310" s="110"/>
      <c r="JF310" s="110"/>
      <c r="JG310" s="110"/>
      <c r="JH310" s="110"/>
      <c r="JI310" s="110"/>
      <c r="JJ310" s="110"/>
      <c r="JK310" s="110"/>
      <c r="JL310" s="110"/>
      <c r="JM310" s="110"/>
      <c r="JN310" s="110"/>
      <c r="JO310" s="110"/>
      <c r="JP310" s="110"/>
      <c r="JQ310" s="110"/>
      <c r="JR310" s="110"/>
      <c r="JS310" s="110"/>
      <c r="JT310" s="110"/>
      <c r="JU310" s="110"/>
      <c r="JV310" s="110"/>
      <c r="JW310" s="110"/>
      <c r="JX310" s="110"/>
      <c r="JY310" s="110"/>
      <c r="JZ310" s="110"/>
      <c r="KA310" s="110"/>
      <c r="KB310" s="110"/>
      <c r="KC310" s="110"/>
      <c r="KD310" s="110"/>
      <c r="KE310" s="110"/>
      <c r="KF310" s="110"/>
      <c r="KG310" s="110"/>
      <c r="KH310" s="110"/>
      <c r="KI310" s="110"/>
      <c r="KJ310" s="110"/>
      <c r="KK310" s="110"/>
      <c r="KL310" s="110"/>
      <c r="KM310" s="110"/>
      <c r="KN310" s="110"/>
      <c r="KO310" s="110"/>
      <c r="KP310" s="110"/>
      <c r="KQ310" s="110"/>
      <c r="KR310" s="110"/>
      <c r="KS310" s="110"/>
      <c r="KT310" s="110"/>
      <c r="KU310" s="110"/>
      <c r="KV310" s="110"/>
      <c r="KW310" s="110"/>
      <c r="KX310" s="110"/>
      <c r="KY310" s="110"/>
      <c r="KZ310" s="110"/>
      <c r="LA310" s="110"/>
      <c r="LB310" s="110"/>
      <c r="LC310" s="110"/>
      <c r="LD310" s="110"/>
      <c r="LE310" s="110"/>
      <c r="LF310" s="110"/>
      <c r="LG310" s="110"/>
      <c r="LH310" s="110"/>
      <c r="LI310" s="110"/>
      <c r="LJ310" s="110"/>
      <c r="LK310" s="110"/>
      <c r="LL310" s="110"/>
      <c r="LM310" s="110"/>
      <c r="LN310" s="110"/>
      <c r="LO310" s="110"/>
      <c r="LP310" s="110"/>
      <c r="LQ310" s="110"/>
      <c r="LR310" s="110"/>
      <c r="LS310" s="110"/>
      <c r="LT310" s="110"/>
      <c r="LU310" s="110"/>
      <c r="LV310" s="110"/>
      <c r="LW310" s="110"/>
      <c r="LX310" s="110"/>
      <c r="LY310" s="110"/>
      <c r="LZ310" s="110"/>
      <c r="MA310" s="110"/>
      <c r="MB310" s="110"/>
      <c r="MC310" s="110"/>
      <c r="MD310" s="110"/>
      <c r="ME310" s="110"/>
      <c r="MF310" s="110"/>
      <c r="MG310" s="110"/>
      <c r="MH310" s="110"/>
      <c r="MI310" s="110"/>
      <c r="MJ310" s="110"/>
      <c r="MK310" s="110"/>
      <c r="ML310" s="110"/>
      <c r="MM310" s="110"/>
      <c r="MN310" s="110"/>
      <c r="MO310" s="110"/>
      <c r="MP310" s="110"/>
      <c r="MQ310" s="110"/>
      <c r="MR310" s="110"/>
      <c r="MS310" s="110"/>
      <c r="MT310" s="110"/>
      <c r="MU310" s="110"/>
      <c r="MV310" s="110"/>
      <c r="MW310" s="110"/>
      <c r="MX310" s="110"/>
      <c r="MY310" s="110"/>
      <c r="MZ310" s="110"/>
      <c r="NA310" s="110"/>
      <c r="NB310" s="110"/>
      <c r="NC310" s="110"/>
      <c r="ND310" s="110"/>
      <c r="NE310" s="110"/>
      <c r="NF310" s="110"/>
      <c r="NG310" s="110"/>
      <c r="NH310" s="110"/>
      <c r="NI310" s="110"/>
      <c r="NJ310" s="110"/>
      <c r="NK310" s="110"/>
      <c r="NL310" s="110"/>
      <c r="NM310" s="110"/>
      <c r="NN310" s="110"/>
      <c r="NO310" s="110"/>
      <c r="NP310" s="110"/>
      <c r="NQ310" s="110"/>
      <c r="NR310" s="110"/>
      <c r="NS310" s="110"/>
      <c r="NT310" s="110"/>
      <c r="NU310" s="110"/>
      <c r="NV310" s="110"/>
      <c r="NW310" s="110"/>
      <c r="NX310" s="110"/>
      <c r="NY310" s="110"/>
      <c r="NZ310" s="110"/>
      <c r="OA310" s="110"/>
      <c r="OB310" s="110"/>
      <c r="OC310" s="110"/>
      <c r="OD310" s="110"/>
      <c r="OE310" s="110"/>
      <c r="OF310" s="110"/>
      <c r="OG310" s="110"/>
      <c r="OH310" s="110"/>
      <c r="OI310" s="110"/>
      <c r="OJ310" s="110"/>
      <c r="OK310" s="110"/>
      <c r="OL310" s="110"/>
      <c r="OM310" s="110"/>
      <c r="ON310" s="110"/>
      <c r="OO310" s="110"/>
      <c r="OP310" s="110"/>
      <c r="OQ310" s="110"/>
      <c r="OR310" s="110"/>
      <c r="OS310" s="110"/>
      <c r="OT310" s="110"/>
      <c r="OU310" s="110"/>
      <c r="OV310" s="110"/>
      <c r="OW310" s="110"/>
      <c r="OX310" s="110"/>
      <c r="OY310" s="110"/>
      <c r="OZ310" s="110"/>
      <c r="PA310" s="110"/>
      <c r="PB310" s="110"/>
      <c r="PC310" s="110"/>
      <c r="PD310" s="110"/>
      <c r="PE310" s="110"/>
      <c r="PF310" s="110"/>
      <c r="PG310" s="110"/>
      <c r="PH310" s="110"/>
      <c r="PI310" s="110"/>
      <c r="PJ310" s="110"/>
      <c r="PK310" s="110"/>
      <c r="PL310" s="110"/>
      <c r="PM310" s="110"/>
      <c r="PN310" s="110"/>
      <c r="PO310" s="110"/>
      <c r="PP310" s="110"/>
      <c r="PQ310" s="110"/>
      <c r="PR310" s="110"/>
      <c r="PS310" s="110"/>
      <c r="PT310" s="110"/>
      <c r="PU310" s="110"/>
      <c r="PV310" s="110"/>
      <c r="PW310" s="110"/>
      <c r="PX310" s="110"/>
      <c r="PY310" s="110"/>
      <c r="PZ310" s="110"/>
      <c r="QA310" s="110"/>
      <c r="QB310" s="110"/>
      <c r="QC310" s="110"/>
      <c r="QD310" s="110"/>
      <c r="QE310" s="110"/>
      <c r="QF310" s="110"/>
      <c r="QG310" s="110"/>
      <c r="QH310" s="110"/>
      <c r="QI310" s="110"/>
      <c r="QJ310" s="110"/>
      <c r="QK310" s="110"/>
      <c r="QL310" s="110"/>
      <c r="QM310" s="110"/>
      <c r="QN310" s="110"/>
      <c r="QO310" s="110"/>
      <c r="QP310" s="110"/>
      <c r="QQ310" s="110"/>
      <c r="QR310" s="110"/>
      <c r="QS310" s="110"/>
      <c r="QT310" s="110"/>
      <c r="QU310" s="110"/>
      <c r="QV310" s="110"/>
      <c r="QW310" s="110"/>
      <c r="QX310" s="110"/>
      <c r="QY310" s="110"/>
      <c r="QZ310" s="110"/>
      <c r="RA310" s="110"/>
      <c r="RB310" s="110"/>
      <c r="RC310" s="110"/>
      <c r="RD310" s="110"/>
      <c r="RE310" s="110"/>
      <c r="RF310" s="110"/>
      <c r="RG310" s="110"/>
      <c r="RH310" s="110"/>
      <c r="RI310" s="110"/>
      <c r="RJ310" s="110"/>
      <c r="RK310" s="110"/>
      <c r="RL310" s="110"/>
      <c r="RM310" s="110"/>
      <c r="RN310" s="110"/>
      <c r="RO310" s="110"/>
      <c r="RP310" s="110"/>
      <c r="RQ310" s="110"/>
      <c r="RR310" s="110"/>
      <c r="RS310" s="110"/>
      <c r="RT310" s="110"/>
      <c r="RU310" s="110"/>
      <c r="RV310" s="110"/>
      <c r="RW310" s="110"/>
      <c r="RX310" s="110"/>
      <c r="RY310" s="110"/>
      <c r="RZ310" s="110"/>
      <c r="SA310" s="110"/>
      <c r="SB310" s="110"/>
      <c r="SC310" s="110"/>
      <c r="SD310" s="110"/>
      <c r="SE310" s="110"/>
      <c r="SF310" s="110"/>
      <c r="SG310" s="110"/>
      <c r="SH310" s="110"/>
      <c r="SI310" s="110"/>
      <c r="SJ310" s="110"/>
      <c r="SK310" s="110"/>
      <c r="SL310" s="110"/>
      <c r="SM310" s="110"/>
      <c r="SN310" s="110"/>
      <c r="SO310" s="110"/>
      <c r="SP310" s="110"/>
      <c r="SQ310" s="110"/>
      <c r="SR310" s="110"/>
      <c r="SS310" s="110"/>
      <c r="ST310" s="110"/>
      <c r="SU310" s="110"/>
      <c r="SV310" s="110"/>
      <c r="SW310" s="110"/>
      <c r="SX310" s="110"/>
      <c r="SY310" s="110"/>
      <c r="SZ310" s="110"/>
      <c r="TA310" s="110"/>
      <c r="TB310" s="110"/>
      <c r="TC310" s="110"/>
      <c r="TD310" s="110"/>
      <c r="TE310" s="110"/>
      <c r="TF310" s="110"/>
      <c r="TG310" s="110"/>
      <c r="TH310" s="110"/>
      <c r="TI310" s="110"/>
      <c r="TJ310" s="110"/>
      <c r="TK310" s="110"/>
      <c r="TL310" s="110"/>
      <c r="TM310" s="110"/>
      <c r="TN310" s="110"/>
      <c r="TO310" s="110"/>
      <c r="TP310" s="110"/>
      <c r="TQ310" s="110"/>
      <c r="TR310" s="110"/>
      <c r="TS310" s="110"/>
      <c r="TT310" s="110"/>
      <c r="TU310" s="110"/>
      <c r="TV310" s="110"/>
      <c r="TW310" s="110"/>
      <c r="TX310" s="110"/>
      <c r="TY310" s="110"/>
      <c r="TZ310" s="110"/>
      <c r="UA310" s="110"/>
      <c r="UB310" s="110"/>
      <c r="UC310" s="110"/>
      <c r="UD310" s="110"/>
      <c r="UE310" s="110"/>
      <c r="UF310" s="110"/>
      <c r="UG310" s="110"/>
      <c r="UH310" s="110"/>
      <c r="UI310" s="110"/>
      <c r="UJ310" s="110"/>
      <c r="UK310" s="110"/>
      <c r="UL310" s="110"/>
      <c r="UM310" s="110"/>
      <c r="UN310" s="110"/>
      <c r="UO310" s="110"/>
      <c r="UP310" s="110"/>
      <c r="UQ310" s="110"/>
      <c r="UR310" s="110"/>
      <c r="US310" s="110"/>
      <c r="UT310" s="110"/>
      <c r="UU310" s="110"/>
      <c r="UV310" s="110"/>
      <c r="UW310" s="110"/>
      <c r="UX310" s="110"/>
      <c r="UY310" s="110"/>
      <c r="UZ310" s="110"/>
      <c r="VA310" s="110"/>
      <c r="VB310" s="110"/>
      <c r="VC310" s="110"/>
      <c r="VD310" s="110"/>
      <c r="VE310" s="110"/>
      <c r="VF310" s="110"/>
      <c r="VG310" s="110"/>
      <c r="VH310" s="110"/>
      <c r="VI310" s="110"/>
      <c r="VJ310" s="110"/>
      <c r="VK310" s="110"/>
      <c r="VL310" s="110"/>
      <c r="VM310" s="110"/>
      <c r="VN310" s="110"/>
      <c r="VO310" s="110"/>
      <c r="VP310" s="110"/>
      <c r="VQ310" s="110"/>
      <c r="VR310" s="110"/>
      <c r="VS310" s="110"/>
      <c r="VT310" s="110"/>
      <c r="VU310" s="110"/>
      <c r="VV310" s="110"/>
      <c r="VW310" s="110"/>
      <c r="VX310" s="110"/>
      <c r="VY310" s="110"/>
      <c r="VZ310" s="110"/>
      <c r="WA310" s="110"/>
      <c r="WB310" s="110"/>
      <c r="WC310" s="110"/>
      <c r="WD310" s="110"/>
      <c r="WE310" s="110"/>
      <c r="WF310" s="110"/>
      <c r="WG310" s="110"/>
      <c r="WH310" s="110"/>
      <c r="WI310" s="110"/>
      <c r="WJ310" s="110"/>
      <c r="WK310" s="110"/>
      <c r="WL310" s="110"/>
      <c r="WM310" s="110"/>
      <c r="WN310" s="110"/>
      <c r="WO310" s="110"/>
      <c r="WP310" s="110"/>
      <c r="WQ310" s="110"/>
      <c r="WR310" s="110"/>
      <c r="WS310" s="110"/>
      <c r="WT310" s="110"/>
      <c r="WU310" s="110"/>
      <c r="WV310" s="110"/>
      <c r="WW310" s="110"/>
      <c r="WX310" s="110"/>
      <c r="WY310" s="110"/>
      <c r="WZ310" s="110"/>
      <c r="XA310" s="110"/>
      <c r="XB310" s="110"/>
      <c r="XC310" s="110"/>
      <c r="XD310" s="110"/>
      <c r="XE310" s="110"/>
      <c r="XF310" s="110"/>
      <c r="XG310" s="110"/>
      <c r="XH310" s="110"/>
      <c r="XI310" s="110"/>
      <c r="XJ310" s="110"/>
      <c r="XK310" s="110"/>
      <c r="XL310" s="110"/>
      <c r="XM310" s="110"/>
      <c r="XN310" s="110"/>
      <c r="XO310" s="110"/>
      <c r="XP310" s="110"/>
      <c r="XQ310" s="110"/>
      <c r="XR310" s="110"/>
      <c r="XS310" s="110"/>
      <c r="XT310" s="110"/>
      <c r="XU310" s="110"/>
      <c r="XV310" s="110"/>
      <c r="XW310" s="110"/>
      <c r="XX310" s="110"/>
      <c r="XY310" s="110"/>
      <c r="XZ310" s="110"/>
      <c r="YA310" s="110"/>
      <c r="YB310" s="110"/>
      <c r="YC310" s="110"/>
      <c r="YD310" s="110"/>
      <c r="YE310" s="110"/>
      <c r="YF310" s="110"/>
      <c r="YG310" s="110"/>
      <c r="YH310" s="110"/>
      <c r="YI310" s="110"/>
      <c r="YJ310" s="110"/>
      <c r="YK310" s="110"/>
      <c r="YL310" s="110"/>
      <c r="YM310" s="110"/>
      <c r="YN310" s="110"/>
      <c r="YO310" s="110"/>
      <c r="YP310" s="110"/>
      <c r="YQ310" s="110"/>
      <c r="YR310" s="110"/>
      <c r="YS310" s="110"/>
      <c r="YT310" s="110"/>
      <c r="YU310" s="110"/>
      <c r="YV310" s="110"/>
      <c r="YW310" s="110"/>
      <c r="YX310" s="110"/>
      <c r="YY310" s="110"/>
      <c r="YZ310" s="110"/>
      <c r="ZA310" s="110"/>
      <c r="ZB310" s="110"/>
      <c r="ZC310" s="110"/>
      <c r="ZD310" s="110"/>
      <c r="ZE310" s="110"/>
      <c r="ZF310" s="110"/>
      <c r="ZG310" s="110"/>
      <c r="ZH310" s="110"/>
      <c r="ZI310" s="110"/>
      <c r="ZJ310" s="110"/>
      <c r="ZK310" s="110"/>
      <c r="ZL310" s="110"/>
      <c r="ZM310" s="110"/>
      <c r="ZN310" s="110"/>
      <c r="ZO310" s="110"/>
      <c r="ZP310" s="110"/>
      <c r="ZQ310" s="110"/>
      <c r="ZR310" s="110"/>
      <c r="ZS310" s="110"/>
      <c r="ZT310" s="110"/>
      <c r="ZU310" s="110"/>
      <c r="ZV310" s="110"/>
      <c r="ZW310" s="110"/>
      <c r="ZX310" s="110"/>
      <c r="ZY310" s="110"/>
      <c r="ZZ310" s="110"/>
      <c r="AAA310" s="110"/>
      <c r="AAB310" s="110"/>
      <c r="AAC310" s="110"/>
      <c r="AAD310" s="110"/>
      <c r="AAE310" s="110"/>
      <c r="AAF310" s="110"/>
      <c r="AAG310" s="110"/>
      <c r="AAH310" s="110"/>
      <c r="AAI310" s="110"/>
      <c r="AAJ310" s="110"/>
      <c r="AAK310" s="110"/>
      <c r="AAL310" s="110"/>
      <c r="AAM310" s="110"/>
      <c r="AAN310" s="110"/>
      <c r="AAO310" s="110"/>
      <c r="AAP310" s="110"/>
      <c r="AAQ310" s="110"/>
      <c r="AAR310" s="110"/>
      <c r="AAS310" s="110"/>
      <c r="AAT310" s="110"/>
      <c r="AAU310" s="110"/>
      <c r="AAV310" s="110"/>
      <c r="AAW310" s="110"/>
      <c r="AAX310" s="110"/>
      <c r="AAY310" s="110"/>
      <c r="AAZ310" s="110"/>
      <c r="ABA310" s="110"/>
      <c r="ABB310" s="110"/>
      <c r="ABC310" s="110"/>
      <c r="ABD310" s="110"/>
      <c r="ABE310" s="110"/>
      <c r="ABF310" s="110"/>
      <c r="ABG310" s="110"/>
      <c r="ABH310" s="110"/>
      <c r="ABI310" s="110"/>
      <c r="ABJ310" s="110"/>
      <c r="ABK310" s="110"/>
      <c r="ABL310" s="110"/>
      <c r="ABM310" s="110"/>
      <c r="ABN310" s="110"/>
      <c r="ABO310" s="110"/>
      <c r="ABP310" s="110"/>
      <c r="ABQ310" s="110"/>
      <c r="ABR310" s="110"/>
      <c r="ABS310" s="110"/>
      <c r="ABT310" s="110"/>
      <c r="ABU310" s="110"/>
      <c r="ABV310" s="110"/>
      <c r="ABW310" s="110"/>
      <c r="ABX310" s="110"/>
      <c r="ABY310" s="110"/>
      <c r="ABZ310" s="110"/>
      <c r="ACA310" s="110"/>
      <c r="ACB310" s="110"/>
      <c r="ACC310" s="110"/>
      <c r="ACD310" s="110"/>
      <c r="ACE310" s="110"/>
      <c r="ACF310" s="110"/>
      <c r="ACG310" s="110"/>
      <c r="ACH310" s="110"/>
      <c r="ACI310" s="110"/>
      <c r="ACJ310" s="110"/>
      <c r="ACK310" s="110"/>
      <c r="ACL310" s="110"/>
      <c r="ACM310" s="110"/>
      <c r="ACN310" s="110"/>
      <c r="ACO310" s="110"/>
      <c r="ACP310" s="110"/>
      <c r="ACQ310" s="110"/>
      <c r="ACR310" s="110"/>
      <c r="ACS310" s="110"/>
      <c r="ACT310" s="110"/>
      <c r="ACU310" s="110"/>
      <c r="ACV310" s="110"/>
      <c r="ACW310" s="110"/>
      <c r="ACX310" s="110"/>
      <c r="ACY310" s="110"/>
      <c r="ACZ310" s="110"/>
      <c r="ADA310" s="110"/>
      <c r="ADB310" s="110"/>
      <c r="ADC310" s="110"/>
      <c r="ADD310" s="110"/>
      <c r="ADE310" s="110"/>
      <c r="ADF310" s="110"/>
      <c r="ADG310" s="110"/>
      <c r="ADH310" s="110"/>
      <c r="ADI310" s="110"/>
      <c r="ADJ310" s="110"/>
      <c r="ADK310" s="110"/>
      <c r="ADL310" s="110"/>
      <c r="ADM310" s="110"/>
      <c r="ADN310" s="110"/>
      <c r="ADO310" s="110"/>
      <c r="ADP310" s="110"/>
      <c r="ADQ310" s="110"/>
      <c r="ADR310" s="110"/>
      <c r="ADS310" s="110"/>
      <c r="ADT310" s="110"/>
      <c r="ADU310" s="110"/>
      <c r="ADV310" s="110"/>
      <c r="ADW310" s="110"/>
      <c r="ADX310" s="110"/>
      <c r="ADY310" s="110"/>
      <c r="ADZ310" s="110"/>
      <c r="AEA310" s="110"/>
      <c r="AEB310" s="110"/>
      <c r="AEC310" s="110"/>
      <c r="AED310" s="110"/>
      <c r="AEE310" s="110"/>
      <c r="AEF310" s="110"/>
      <c r="AEG310" s="110"/>
      <c r="AEH310" s="110"/>
      <c r="AEI310" s="110"/>
      <c r="AEJ310" s="110"/>
      <c r="AEK310" s="110"/>
      <c r="AEL310" s="110"/>
      <c r="AEM310" s="110"/>
      <c r="AEN310" s="110"/>
      <c r="AEO310" s="110"/>
      <c r="AEP310" s="110"/>
      <c r="AEQ310" s="110"/>
      <c r="AER310" s="110"/>
      <c r="AES310" s="110"/>
      <c r="AET310" s="110"/>
      <c r="AEU310" s="110"/>
      <c r="AEV310" s="110"/>
      <c r="AEW310" s="110"/>
      <c r="AEX310" s="110"/>
      <c r="AEY310" s="110"/>
      <c r="AEZ310" s="110"/>
      <c r="AFA310" s="110"/>
      <c r="AFB310" s="110"/>
      <c r="AFC310" s="110"/>
      <c r="AFD310" s="110"/>
      <c r="AFE310" s="110"/>
      <c r="AFF310" s="110"/>
      <c r="AFG310" s="110"/>
      <c r="AFH310" s="110"/>
      <c r="AFI310" s="110"/>
      <c r="AFJ310" s="110"/>
      <c r="AFK310" s="110"/>
      <c r="AFL310" s="110"/>
      <c r="AFM310" s="110"/>
      <c r="AFN310" s="110"/>
      <c r="AFO310" s="110"/>
      <c r="AFP310" s="110"/>
      <c r="AFQ310" s="110"/>
      <c r="AFR310" s="110"/>
      <c r="AFS310" s="110"/>
      <c r="AFT310" s="110"/>
      <c r="AFU310" s="110"/>
      <c r="AFV310" s="110"/>
      <c r="AFW310" s="110"/>
      <c r="AFX310" s="110"/>
      <c r="AFY310" s="110"/>
      <c r="AFZ310" s="110"/>
      <c r="AGA310" s="110"/>
      <c r="AGB310" s="110"/>
      <c r="AGC310" s="110"/>
      <c r="AGD310" s="110"/>
      <c r="AGE310" s="110"/>
      <c r="AGF310" s="110"/>
      <c r="AGG310" s="110"/>
      <c r="AGH310" s="110"/>
      <c r="AGI310" s="110"/>
      <c r="AGJ310" s="110"/>
      <c r="AGK310" s="110"/>
      <c r="AGL310" s="110"/>
      <c r="AGM310" s="110"/>
      <c r="AGN310" s="110"/>
      <c r="AGO310" s="110"/>
      <c r="AGP310" s="110"/>
      <c r="AGQ310" s="110"/>
      <c r="AGR310" s="110"/>
      <c r="AGS310" s="110"/>
      <c r="AGT310" s="110"/>
      <c r="AGU310" s="110"/>
      <c r="AGV310" s="110"/>
      <c r="AGW310" s="110"/>
      <c r="AGX310" s="110"/>
      <c r="AGY310" s="110"/>
      <c r="AGZ310" s="110"/>
      <c r="AHA310" s="110"/>
      <c r="AHB310" s="110"/>
      <c r="AHC310" s="110"/>
      <c r="AHD310" s="110"/>
      <c r="AHE310" s="110"/>
      <c r="AHF310" s="110"/>
      <c r="AHG310" s="110"/>
      <c r="AHH310" s="110"/>
      <c r="AHI310" s="110"/>
      <c r="AHJ310" s="110"/>
      <c r="AHK310" s="110"/>
      <c r="AHL310" s="110"/>
      <c r="AHM310" s="110"/>
      <c r="AHN310" s="110"/>
      <c r="AHO310" s="110"/>
      <c r="AHP310" s="110"/>
      <c r="AHQ310" s="110"/>
      <c r="AHR310" s="110"/>
      <c r="AHS310" s="110"/>
      <c r="AHT310" s="110"/>
      <c r="AHU310" s="110"/>
      <c r="AHV310" s="110"/>
      <c r="AHW310" s="110"/>
      <c r="AHX310" s="110"/>
      <c r="AHY310" s="110"/>
      <c r="AHZ310" s="110"/>
      <c r="AIA310" s="110"/>
      <c r="AIB310" s="110"/>
      <c r="AIC310" s="110"/>
      <c r="AID310" s="110"/>
      <c r="AIE310" s="110"/>
      <c r="AIF310" s="110"/>
      <c r="AIG310" s="110"/>
      <c r="AIH310" s="110"/>
      <c r="AII310" s="110"/>
      <c r="AIJ310" s="110"/>
      <c r="AIK310" s="110"/>
      <c r="AIL310" s="110"/>
      <c r="AIM310" s="110"/>
      <c r="AIN310" s="110"/>
      <c r="AIO310" s="110"/>
      <c r="AIP310" s="110"/>
      <c r="AIQ310" s="110"/>
      <c r="AIR310" s="110"/>
      <c r="AIS310" s="110"/>
      <c r="AIT310" s="110"/>
      <c r="AIU310" s="110"/>
      <c r="AIV310" s="110"/>
      <c r="AIW310" s="110"/>
      <c r="AIX310" s="110"/>
      <c r="AIY310" s="110"/>
      <c r="AIZ310" s="110"/>
      <c r="AJA310" s="110"/>
      <c r="AJB310" s="110"/>
      <c r="AJC310" s="110"/>
      <c r="AJD310" s="110"/>
      <c r="AJE310" s="110"/>
      <c r="AJF310" s="110"/>
      <c r="AJG310" s="110"/>
      <c r="AJH310" s="110"/>
      <c r="AJI310" s="110"/>
      <c r="AJJ310" s="110"/>
      <c r="AJK310" s="110"/>
      <c r="AJL310" s="110"/>
      <c r="AJM310" s="110"/>
      <c r="AJN310" s="110"/>
      <c r="AJO310" s="110"/>
      <c r="AJP310" s="110"/>
      <c r="AJQ310" s="110"/>
      <c r="AJR310" s="110"/>
      <c r="AJS310" s="110"/>
      <c r="AJT310" s="110"/>
      <c r="AJU310" s="110"/>
      <c r="AJV310" s="110"/>
      <c r="AJW310" s="110"/>
      <c r="AJX310" s="110"/>
      <c r="AJY310" s="110"/>
      <c r="AJZ310" s="110"/>
      <c r="AKA310" s="110"/>
      <c r="AKB310" s="110"/>
      <c r="AKC310" s="110"/>
      <c r="AKD310" s="110"/>
      <c r="AKE310" s="110"/>
      <c r="AKF310" s="110"/>
      <c r="AKG310" s="110"/>
      <c r="AKH310" s="110"/>
      <c r="AKI310" s="110"/>
      <c r="AKJ310" s="110"/>
      <c r="AKK310" s="110"/>
      <c r="AKL310" s="110"/>
      <c r="AKM310" s="110"/>
      <c r="AKN310" s="110"/>
      <c r="AKO310" s="110"/>
      <c r="AKP310" s="110"/>
      <c r="AKQ310" s="110"/>
      <c r="AKR310" s="110"/>
      <c r="AKS310" s="110"/>
      <c r="AKT310" s="110"/>
      <c r="AKU310" s="110"/>
      <c r="AKV310" s="110"/>
      <c r="AKW310" s="110"/>
      <c r="AKX310" s="110"/>
      <c r="AKY310" s="110"/>
      <c r="AKZ310" s="110"/>
      <c r="ALA310" s="110"/>
      <c r="ALB310" s="110"/>
      <c r="ALC310" s="110"/>
      <c r="ALD310" s="110"/>
      <c r="ALE310" s="110"/>
      <c r="ALF310" s="110"/>
      <c r="ALG310" s="110"/>
      <c r="ALH310" s="110"/>
      <c r="ALI310" s="110"/>
      <c r="ALJ310" s="110"/>
      <c r="ALK310" s="110"/>
      <c r="ALL310" s="110"/>
      <c r="ALM310" s="110"/>
      <c r="ALN310" s="110"/>
      <c r="ALO310" s="110"/>
      <c r="ALP310" s="110"/>
      <c r="ALQ310" s="110"/>
      <c r="ALR310" s="110"/>
      <c r="ALS310" s="110"/>
      <c r="ALT310" s="110"/>
      <c r="ALU310" s="110"/>
      <c r="ALV310" s="110"/>
      <c r="ALW310" s="110"/>
      <c r="ALX310" s="110"/>
      <c r="ALY310" s="110"/>
      <c r="ALZ310" s="110"/>
      <c r="AMA310" s="110"/>
      <c r="AMB310" s="110"/>
      <c r="AMC310" s="110"/>
      <c r="AMD310" s="110"/>
      <c r="AME310" s="110"/>
      <c r="AMF310" s="110"/>
    </row>
    <row r="311" spans="1:1020" s="142" customFormat="1" ht="11.25" customHeight="1">
      <c r="A311" s="123"/>
      <c r="B311" s="141">
        <v>7</v>
      </c>
      <c r="C311" s="126">
        <v>304</v>
      </c>
      <c r="D311" s="127" t="s">
        <v>485</v>
      </c>
      <c r="E311" s="194">
        <f t="shared" si="52"/>
        <v>1085</v>
      </c>
      <c r="F311" s="125">
        <f>ROUND(E311*Valores!$C$2,2)</f>
        <v>59078.25</v>
      </c>
      <c r="G311" s="192">
        <v>0</v>
      </c>
      <c r="H311" s="125">
        <f>ROUND(G311*Valores!$C$2,2)</f>
        <v>0</v>
      </c>
      <c r="I311" s="192">
        <v>0</v>
      </c>
      <c r="J311" s="125">
        <f>ROUND(I311*Valores!$C$2,2)</f>
        <v>0</v>
      </c>
      <c r="K311" s="192">
        <v>0</v>
      </c>
      <c r="L311" s="125">
        <f>ROUND(K311*Valores!$C$2,2)</f>
        <v>0</v>
      </c>
      <c r="M311" s="125">
        <f>ROUND(IF($H$2=0,IF(AND(A311&lt;&gt;"13-930",A311&lt;&gt;"13-940"),(SUM(F311,H311,J311,L311,X311,T311,R311)*Valores!$C$4),0),0),2)</f>
        <v>16471.61</v>
      </c>
      <c r="N311" s="125">
        <f t="shared" si="42"/>
        <v>0</v>
      </c>
      <c r="O311" s="125">
        <v>0</v>
      </c>
      <c r="P311" s="125">
        <v>0</v>
      </c>
      <c r="Q311" s="125">
        <v>0</v>
      </c>
      <c r="R311" s="125">
        <f>IF($F$4="NO",IF(Valores!$C$49*B311&gt;Valores!$C$46,Valores!$C$46,Valores!$C$49*B311),IF(Valores!$C$49*B311&gt;Valores!$C$46,Valores!$C$46,Valores!$C$49*B311)/2)</f>
        <v>6808.2</v>
      </c>
      <c r="S311" s="125">
        <v>0</v>
      </c>
      <c r="T311" s="125">
        <f t="shared" si="51"/>
        <v>0</v>
      </c>
      <c r="U311" s="125">
        <v>0</v>
      </c>
      <c r="V311" s="125">
        <v>0</v>
      </c>
      <c r="W311" s="192">
        <v>0</v>
      </c>
      <c r="X311" s="125">
        <f>ROUND(W311*Valores!$C$2,2)</f>
        <v>0</v>
      </c>
      <c r="Y311" s="125">
        <v>0</v>
      </c>
      <c r="Z311" s="125">
        <v>0</v>
      </c>
      <c r="AA311" s="125">
        <v>0</v>
      </c>
      <c r="AB311" s="214">
        <v>0</v>
      </c>
      <c r="AC311" s="125">
        <f t="shared" si="43"/>
        <v>0</v>
      </c>
      <c r="AD311" s="125">
        <v>0</v>
      </c>
      <c r="AE311" s="192">
        <v>0</v>
      </c>
      <c r="AF311" s="125">
        <f>ROUND(AE311*Valores!$C$2,2)</f>
        <v>0</v>
      </c>
      <c r="AG311" s="125">
        <v>0</v>
      </c>
      <c r="AH311" s="125">
        <f t="shared" si="46"/>
        <v>82358.06</v>
      </c>
      <c r="AI311" s="125">
        <v>0</v>
      </c>
      <c r="AJ311" s="125">
        <v>0</v>
      </c>
      <c r="AK311" s="125">
        <v>0</v>
      </c>
      <c r="AL311" s="125">
        <v>0</v>
      </c>
      <c r="AM311" s="125">
        <f t="shared" si="44"/>
        <v>0</v>
      </c>
      <c r="AN311" s="125">
        <f>AH311*Valores!$C$71</f>
        <v>-9059.3866</v>
      </c>
      <c r="AO311" s="125">
        <f>AH311*-Valores!$C$72</f>
        <v>0</v>
      </c>
      <c r="AP311" s="125">
        <f>AH311*Valores!$C$73</f>
        <v>-3706.1126999999997</v>
      </c>
      <c r="AQ311" s="125">
        <v>0</v>
      </c>
      <c r="AR311" s="125">
        <v>0</v>
      </c>
      <c r="AS311" s="125">
        <f t="shared" si="47"/>
        <v>69592.5607</v>
      </c>
      <c r="AT311" s="125">
        <f t="shared" si="41"/>
        <v>-9059.3866</v>
      </c>
      <c r="AU311" s="125">
        <f>AH311*Valores!$C$74</f>
        <v>-2223.6676199999997</v>
      </c>
      <c r="AV311" s="125">
        <f>AH311*Valores!$C$75</f>
        <v>-247.07417999999998</v>
      </c>
      <c r="AW311" s="125">
        <f t="shared" si="45"/>
        <v>70827.9316</v>
      </c>
      <c r="AX311" s="126"/>
      <c r="AY311" s="126"/>
      <c r="AZ311" s="123"/>
      <c r="BA311" s="110"/>
      <c r="BB311" s="110"/>
      <c r="BC311" s="110"/>
      <c r="BD311" s="110"/>
      <c r="BE311" s="110"/>
      <c r="BF311" s="110"/>
      <c r="BG311" s="110"/>
      <c r="BH311" s="110"/>
      <c r="BI311" s="110"/>
      <c r="BJ311" s="110"/>
      <c r="BK311" s="110"/>
      <c r="BL311" s="110"/>
      <c r="BM311" s="110"/>
      <c r="BN311" s="110"/>
      <c r="BO311" s="110"/>
      <c r="BP311" s="110"/>
      <c r="BQ311" s="110"/>
      <c r="BR311" s="110"/>
      <c r="BS311" s="110"/>
      <c r="BT311" s="110"/>
      <c r="BU311" s="110"/>
      <c r="BV311" s="110"/>
      <c r="BW311" s="110"/>
      <c r="BX311" s="110"/>
      <c r="BY311" s="110"/>
      <c r="BZ311" s="110"/>
      <c r="CA311" s="110"/>
      <c r="CB311" s="110"/>
      <c r="CC311" s="110"/>
      <c r="CD311" s="110"/>
      <c r="CE311" s="110"/>
      <c r="CF311" s="110"/>
      <c r="CG311" s="110"/>
      <c r="CH311" s="110"/>
      <c r="CI311" s="110"/>
      <c r="CJ311" s="110"/>
      <c r="CK311" s="110"/>
      <c r="CL311" s="110"/>
      <c r="CM311" s="110"/>
      <c r="CN311" s="110"/>
      <c r="CO311" s="110"/>
      <c r="CP311" s="110"/>
      <c r="CQ311" s="110"/>
      <c r="CR311" s="110"/>
      <c r="CS311" s="110"/>
      <c r="CT311" s="110"/>
      <c r="CU311" s="110"/>
      <c r="CV311" s="110"/>
      <c r="CW311" s="110"/>
      <c r="CX311" s="110"/>
      <c r="CY311" s="110"/>
      <c r="CZ311" s="110"/>
      <c r="DA311" s="110"/>
      <c r="DB311" s="110"/>
      <c r="DC311" s="110"/>
      <c r="DD311" s="110"/>
      <c r="DE311" s="110"/>
      <c r="DF311" s="110"/>
      <c r="DG311" s="110"/>
      <c r="DH311" s="110"/>
      <c r="DI311" s="110"/>
      <c r="DJ311" s="110"/>
      <c r="DK311" s="110"/>
      <c r="DL311" s="110"/>
      <c r="DM311" s="110"/>
      <c r="DN311" s="110"/>
      <c r="DO311" s="110"/>
      <c r="DP311" s="110"/>
      <c r="DQ311" s="110"/>
      <c r="DR311" s="110"/>
      <c r="DS311" s="110"/>
      <c r="DT311" s="110"/>
      <c r="DU311" s="110"/>
      <c r="DV311" s="110"/>
      <c r="DW311" s="110"/>
      <c r="DX311" s="110"/>
      <c r="DY311" s="110"/>
      <c r="DZ311" s="110"/>
      <c r="EA311" s="110"/>
      <c r="EB311" s="110"/>
      <c r="EC311" s="110"/>
      <c r="ED311" s="110"/>
      <c r="EE311" s="110"/>
      <c r="EF311" s="110"/>
      <c r="EG311" s="110"/>
      <c r="EH311" s="110"/>
      <c r="EI311" s="110"/>
      <c r="EJ311" s="110"/>
      <c r="EK311" s="110"/>
      <c r="EL311" s="110"/>
      <c r="EM311" s="110"/>
      <c r="EN311" s="110"/>
      <c r="EO311" s="110"/>
      <c r="EP311" s="110"/>
      <c r="EQ311" s="110"/>
      <c r="ER311" s="110"/>
      <c r="ES311" s="110"/>
      <c r="ET311" s="110"/>
      <c r="EU311" s="110"/>
      <c r="EV311" s="110"/>
      <c r="EW311" s="110"/>
      <c r="EX311" s="110"/>
      <c r="EY311" s="110"/>
      <c r="EZ311" s="110"/>
      <c r="FA311" s="110"/>
      <c r="FB311" s="110"/>
      <c r="FC311" s="110"/>
      <c r="FD311" s="110"/>
      <c r="FE311" s="110"/>
      <c r="FF311" s="110"/>
      <c r="FG311" s="110"/>
      <c r="FH311" s="110"/>
      <c r="FI311" s="110"/>
      <c r="FJ311" s="110"/>
      <c r="FK311" s="110"/>
      <c r="FL311" s="110"/>
      <c r="FM311" s="110"/>
      <c r="FN311" s="110"/>
      <c r="FO311" s="110"/>
      <c r="FP311" s="110"/>
      <c r="FQ311" s="110"/>
      <c r="FR311" s="110"/>
      <c r="FS311" s="110"/>
      <c r="FT311" s="110"/>
      <c r="FU311" s="110"/>
      <c r="FV311" s="110"/>
      <c r="FW311" s="110"/>
      <c r="FX311" s="110"/>
      <c r="FY311" s="110"/>
      <c r="FZ311" s="110"/>
      <c r="GA311" s="110"/>
      <c r="GB311" s="110"/>
      <c r="GC311" s="110"/>
      <c r="GD311" s="110"/>
      <c r="GE311" s="110"/>
      <c r="GF311" s="110"/>
      <c r="GG311" s="110"/>
      <c r="GH311" s="110"/>
      <c r="GI311" s="110"/>
      <c r="GJ311" s="110"/>
      <c r="GK311" s="110"/>
      <c r="GL311" s="110"/>
      <c r="GM311" s="110"/>
      <c r="GN311" s="110"/>
      <c r="GO311" s="110"/>
      <c r="GP311" s="110"/>
      <c r="GQ311" s="110"/>
      <c r="GR311" s="110"/>
      <c r="GS311" s="110"/>
      <c r="GT311" s="110"/>
      <c r="GU311" s="110"/>
      <c r="GV311" s="110"/>
      <c r="GW311" s="110"/>
      <c r="GX311" s="110"/>
      <c r="GY311" s="110"/>
      <c r="GZ311" s="110"/>
      <c r="HA311" s="110"/>
      <c r="HB311" s="110"/>
      <c r="HC311" s="110"/>
      <c r="HD311" s="110"/>
      <c r="HE311" s="110"/>
      <c r="HF311" s="110"/>
      <c r="HG311" s="110"/>
      <c r="HH311" s="110"/>
      <c r="HI311" s="110"/>
      <c r="HJ311" s="110"/>
      <c r="HK311" s="110"/>
      <c r="HL311" s="110"/>
      <c r="HM311" s="110"/>
      <c r="HN311" s="110"/>
      <c r="HO311" s="110"/>
      <c r="HP311" s="110"/>
      <c r="HQ311" s="110"/>
      <c r="HR311" s="110"/>
      <c r="HS311" s="110"/>
      <c r="HT311" s="110"/>
      <c r="HU311" s="110"/>
      <c r="HV311" s="110"/>
      <c r="HW311" s="110"/>
      <c r="HX311" s="110"/>
      <c r="HY311" s="110"/>
      <c r="HZ311" s="110"/>
      <c r="IA311" s="110"/>
      <c r="IB311" s="110"/>
      <c r="IC311" s="110"/>
      <c r="ID311" s="110"/>
      <c r="IE311" s="110"/>
      <c r="IF311" s="110"/>
      <c r="IG311" s="110"/>
      <c r="IH311" s="110"/>
      <c r="II311" s="110"/>
      <c r="IJ311" s="110"/>
      <c r="IK311" s="110"/>
      <c r="IL311" s="110"/>
      <c r="IM311" s="110"/>
      <c r="IN311" s="110"/>
      <c r="IO311" s="110"/>
      <c r="IP311" s="110"/>
      <c r="IQ311" s="110"/>
      <c r="IR311" s="110"/>
      <c r="IS311" s="110"/>
      <c r="IT311" s="110"/>
      <c r="IU311" s="110"/>
      <c r="IV311" s="110"/>
      <c r="IW311" s="110"/>
      <c r="IX311" s="110"/>
      <c r="IY311" s="110"/>
      <c r="IZ311" s="110"/>
      <c r="JA311" s="110"/>
      <c r="JB311" s="110"/>
      <c r="JC311" s="110"/>
      <c r="JD311" s="110"/>
      <c r="JE311" s="110"/>
      <c r="JF311" s="110"/>
      <c r="JG311" s="110"/>
      <c r="JH311" s="110"/>
      <c r="JI311" s="110"/>
      <c r="JJ311" s="110"/>
      <c r="JK311" s="110"/>
      <c r="JL311" s="110"/>
      <c r="JM311" s="110"/>
      <c r="JN311" s="110"/>
      <c r="JO311" s="110"/>
      <c r="JP311" s="110"/>
      <c r="JQ311" s="110"/>
      <c r="JR311" s="110"/>
      <c r="JS311" s="110"/>
      <c r="JT311" s="110"/>
      <c r="JU311" s="110"/>
      <c r="JV311" s="110"/>
      <c r="JW311" s="110"/>
      <c r="JX311" s="110"/>
      <c r="JY311" s="110"/>
      <c r="JZ311" s="110"/>
      <c r="KA311" s="110"/>
      <c r="KB311" s="110"/>
      <c r="KC311" s="110"/>
      <c r="KD311" s="110"/>
      <c r="KE311" s="110"/>
      <c r="KF311" s="110"/>
      <c r="KG311" s="110"/>
      <c r="KH311" s="110"/>
      <c r="KI311" s="110"/>
      <c r="KJ311" s="110"/>
      <c r="KK311" s="110"/>
      <c r="KL311" s="110"/>
      <c r="KM311" s="110"/>
      <c r="KN311" s="110"/>
      <c r="KO311" s="110"/>
      <c r="KP311" s="110"/>
      <c r="KQ311" s="110"/>
      <c r="KR311" s="110"/>
      <c r="KS311" s="110"/>
      <c r="KT311" s="110"/>
      <c r="KU311" s="110"/>
      <c r="KV311" s="110"/>
      <c r="KW311" s="110"/>
      <c r="KX311" s="110"/>
      <c r="KY311" s="110"/>
      <c r="KZ311" s="110"/>
      <c r="LA311" s="110"/>
      <c r="LB311" s="110"/>
      <c r="LC311" s="110"/>
      <c r="LD311" s="110"/>
      <c r="LE311" s="110"/>
      <c r="LF311" s="110"/>
      <c r="LG311" s="110"/>
      <c r="LH311" s="110"/>
      <c r="LI311" s="110"/>
      <c r="LJ311" s="110"/>
      <c r="LK311" s="110"/>
      <c r="LL311" s="110"/>
      <c r="LM311" s="110"/>
      <c r="LN311" s="110"/>
      <c r="LO311" s="110"/>
      <c r="LP311" s="110"/>
      <c r="LQ311" s="110"/>
      <c r="LR311" s="110"/>
      <c r="LS311" s="110"/>
      <c r="LT311" s="110"/>
      <c r="LU311" s="110"/>
      <c r="LV311" s="110"/>
      <c r="LW311" s="110"/>
      <c r="LX311" s="110"/>
      <c r="LY311" s="110"/>
      <c r="LZ311" s="110"/>
      <c r="MA311" s="110"/>
      <c r="MB311" s="110"/>
      <c r="MC311" s="110"/>
      <c r="MD311" s="110"/>
      <c r="ME311" s="110"/>
      <c r="MF311" s="110"/>
      <c r="MG311" s="110"/>
      <c r="MH311" s="110"/>
      <c r="MI311" s="110"/>
      <c r="MJ311" s="110"/>
      <c r="MK311" s="110"/>
      <c r="ML311" s="110"/>
      <c r="MM311" s="110"/>
      <c r="MN311" s="110"/>
      <c r="MO311" s="110"/>
      <c r="MP311" s="110"/>
      <c r="MQ311" s="110"/>
      <c r="MR311" s="110"/>
      <c r="MS311" s="110"/>
      <c r="MT311" s="110"/>
      <c r="MU311" s="110"/>
      <c r="MV311" s="110"/>
      <c r="MW311" s="110"/>
      <c r="MX311" s="110"/>
      <c r="MY311" s="110"/>
      <c r="MZ311" s="110"/>
      <c r="NA311" s="110"/>
      <c r="NB311" s="110"/>
      <c r="NC311" s="110"/>
      <c r="ND311" s="110"/>
      <c r="NE311" s="110"/>
      <c r="NF311" s="110"/>
      <c r="NG311" s="110"/>
      <c r="NH311" s="110"/>
      <c r="NI311" s="110"/>
      <c r="NJ311" s="110"/>
      <c r="NK311" s="110"/>
      <c r="NL311" s="110"/>
      <c r="NM311" s="110"/>
      <c r="NN311" s="110"/>
      <c r="NO311" s="110"/>
      <c r="NP311" s="110"/>
      <c r="NQ311" s="110"/>
      <c r="NR311" s="110"/>
      <c r="NS311" s="110"/>
      <c r="NT311" s="110"/>
      <c r="NU311" s="110"/>
      <c r="NV311" s="110"/>
      <c r="NW311" s="110"/>
      <c r="NX311" s="110"/>
      <c r="NY311" s="110"/>
      <c r="NZ311" s="110"/>
      <c r="OA311" s="110"/>
      <c r="OB311" s="110"/>
      <c r="OC311" s="110"/>
      <c r="OD311" s="110"/>
      <c r="OE311" s="110"/>
      <c r="OF311" s="110"/>
      <c r="OG311" s="110"/>
      <c r="OH311" s="110"/>
      <c r="OI311" s="110"/>
      <c r="OJ311" s="110"/>
      <c r="OK311" s="110"/>
      <c r="OL311" s="110"/>
      <c r="OM311" s="110"/>
      <c r="ON311" s="110"/>
      <c r="OO311" s="110"/>
      <c r="OP311" s="110"/>
      <c r="OQ311" s="110"/>
      <c r="OR311" s="110"/>
      <c r="OS311" s="110"/>
      <c r="OT311" s="110"/>
      <c r="OU311" s="110"/>
      <c r="OV311" s="110"/>
      <c r="OW311" s="110"/>
      <c r="OX311" s="110"/>
      <c r="OY311" s="110"/>
      <c r="OZ311" s="110"/>
      <c r="PA311" s="110"/>
      <c r="PB311" s="110"/>
      <c r="PC311" s="110"/>
      <c r="PD311" s="110"/>
      <c r="PE311" s="110"/>
      <c r="PF311" s="110"/>
      <c r="PG311" s="110"/>
      <c r="PH311" s="110"/>
      <c r="PI311" s="110"/>
      <c r="PJ311" s="110"/>
      <c r="PK311" s="110"/>
      <c r="PL311" s="110"/>
      <c r="PM311" s="110"/>
      <c r="PN311" s="110"/>
      <c r="PO311" s="110"/>
      <c r="PP311" s="110"/>
      <c r="PQ311" s="110"/>
      <c r="PR311" s="110"/>
      <c r="PS311" s="110"/>
      <c r="PT311" s="110"/>
      <c r="PU311" s="110"/>
      <c r="PV311" s="110"/>
      <c r="PW311" s="110"/>
      <c r="PX311" s="110"/>
      <c r="PY311" s="110"/>
      <c r="PZ311" s="110"/>
      <c r="QA311" s="110"/>
      <c r="QB311" s="110"/>
      <c r="QC311" s="110"/>
      <c r="QD311" s="110"/>
      <c r="QE311" s="110"/>
      <c r="QF311" s="110"/>
      <c r="QG311" s="110"/>
      <c r="QH311" s="110"/>
      <c r="QI311" s="110"/>
      <c r="QJ311" s="110"/>
      <c r="QK311" s="110"/>
      <c r="QL311" s="110"/>
      <c r="QM311" s="110"/>
      <c r="QN311" s="110"/>
      <c r="QO311" s="110"/>
      <c r="QP311" s="110"/>
      <c r="QQ311" s="110"/>
      <c r="QR311" s="110"/>
      <c r="QS311" s="110"/>
      <c r="QT311" s="110"/>
      <c r="QU311" s="110"/>
      <c r="QV311" s="110"/>
      <c r="QW311" s="110"/>
      <c r="QX311" s="110"/>
      <c r="QY311" s="110"/>
      <c r="QZ311" s="110"/>
      <c r="RA311" s="110"/>
      <c r="RB311" s="110"/>
      <c r="RC311" s="110"/>
      <c r="RD311" s="110"/>
      <c r="RE311" s="110"/>
      <c r="RF311" s="110"/>
      <c r="RG311" s="110"/>
      <c r="RH311" s="110"/>
      <c r="RI311" s="110"/>
      <c r="RJ311" s="110"/>
      <c r="RK311" s="110"/>
      <c r="RL311" s="110"/>
      <c r="RM311" s="110"/>
      <c r="RN311" s="110"/>
      <c r="RO311" s="110"/>
      <c r="RP311" s="110"/>
      <c r="RQ311" s="110"/>
      <c r="RR311" s="110"/>
      <c r="RS311" s="110"/>
      <c r="RT311" s="110"/>
      <c r="RU311" s="110"/>
      <c r="RV311" s="110"/>
      <c r="RW311" s="110"/>
      <c r="RX311" s="110"/>
      <c r="RY311" s="110"/>
      <c r="RZ311" s="110"/>
      <c r="SA311" s="110"/>
      <c r="SB311" s="110"/>
      <c r="SC311" s="110"/>
      <c r="SD311" s="110"/>
      <c r="SE311" s="110"/>
      <c r="SF311" s="110"/>
      <c r="SG311" s="110"/>
      <c r="SH311" s="110"/>
      <c r="SI311" s="110"/>
      <c r="SJ311" s="110"/>
      <c r="SK311" s="110"/>
      <c r="SL311" s="110"/>
      <c r="SM311" s="110"/>
      <c r="SN311" s="110"/>
      <c r="SO311" s="110"/>
      <c r="SP311" s="110"/>
      <c r="SQ311" s="110"/>
      <c r="SR311" s="110"/>
      <c r="SS311" s="110"/>
      <c r="ST311" s="110"/>
      <c r="SU311" s="110"/>
      <c r="SV311" s="110"/>
      <c r="SW311" s="110"/>
      <c r="SX311" s="110"/>
      <c r="SY311" s="110"/>
      <c r="SZ311" s="110"/>
      <c r="TA311" s="110"/>
      <c r="TB311" s="110"/>
      <c r="TC311" s="110"/>
      <c r="TD311" s="110"/>
      <c r="TE311" s="110"/>
      <c r="TF311" s="110"/>
      <c r="TG311" s="110"/>
      <c r="TH311" s="110"/>
      <c r="TI311" s="110"/>
      <c r="TJ311" s="110"/>
      <c r="TK311" s="110"/>
      <c r="TL311" s="110"/>
      <c r="TM311" s="110"/>
      <c r="TN311" s="110"/>
      <c r="TO311" s="110"/>
      <c r="TP311" s="110"/>
      <c r="TQ311" s="110"/>
      <c r="TR311" s="110"/>
      <c r="TS311" s="110"/>
      <c r="TT311" s="110"/>
      <c r="TU311" s="110"/>
      <c r="TV311" s="110"/>
      <c r="TW311" s="110"/>
      <c r="TX311" s="110"/>
      <c r="TY311" s="110"/>
      <c r="TZ311" s="110"/>
      <c r="UA311" s="110"/>
      <c r="UB311" s="110"/>
      <c r="UC311" s="110"/>
      <c r="UD311" s="110"/>
      <c r="UE311" s="110"/>
      <c r="UF311" s="110"/>
      <c r="UG311" s="110"/>
      <c r="UH311" s="110"/>
      <c r="UI311" s="110"/>
      <c r="UJ311" s="110"/>
      <c r="UK311" s="110"/>
      <c r="UL311" s="110"/>
      <c r="UM311" s="110"/>
      <c r="UN311" s="110"/>
      <c r="UO311" s="110"/>
      <c r="UP311" s="110"/>
      <c r="UQ311" s="110"/>
      <c r="UR311" s="110"/>
      <c r="US311" s="110"/>
      <c r="UT311" s="110"/>
      <c r="UU311" s="110"/>
      <c r="UV311" s="110"/>
      <c r="UW311" s="110"/>
      <c r="UX311" s="110"/>
      <c r="UY311" s="110"/>
      <c r="UZ311" s="110"/>
      <c r="VA311" s="110"/>
      <c r="VB311" s="110"/>
      <c r="VC311" s="110"/>
      <c r="VD311" s="110"/>
      <c r="VE311" s="110"/>
      <c r="VF311" s="110"/>
      <c r="VG311" s="110"/>
      <c r="VH311" s="110"/>
      <c r="VI311" s="110"/>
      <c r="VJ311" s="110"/>
      <c r="VK311" s="110"/>
      <c r="VL311" s="110"/>
      <c r="VM311" s="110"/>
      <c r="VN311" s="110"/>
      <c r="VO311" s="110"/>
      <c r="VP311" s="110"/>
      <c r="VQ311" s="110"/>
      <c r="VR311" s="110"/>
      <c r="VS311" s="110"/>
      <c r="VT311" s="110"/>
      <c r="VU311" s="110"/>
      <c r="VV311" s="110"/>
      <c r="VW311" s="110"/>
      <c r="VX311" s="110"/>
      <c r="VY311" s="110"/>
      <c r="VZ311" s="110"/>
      <c r="WA311" s="110"/>
      <c r="WB311" s="110"/>
      <c r="WC311" s="110"/>
      <c r="WD311" s="110"/>
      <c r="WE311" s="110"/>
      <c r="WF311" s="110"/>
      <c r="WG311" s="110"/>
      <c r="WH311" s="110"/>
      <c r="WI311" s="110"/>
      <c r="WJ311" s="110"/>
      <c r="WK311" s="110"/>
      <c r="WL311" s="110"/>
      <c r="WM311" s="110"/>
      <c r="WN311" s="110"/>
      <c r="WO311" s="110"/>
      <c r="WP311" s="110"/>
      <c r="WQ311" s="110"/>
      <c r="WR311" s="110"/>
      <c r="WS311" s="110"/>
      <c r="WT311" s="110"/>
      <c r="WU311" s="110"/>
      <c r="WV311" s="110"/>
      <c r="WW311" s="110"/>
      <c r="WX311" s="110"/>
      <c r="WY311" s="110"/>
      <c r="WZ311" s="110"/>
      <c r="XA311" s="110"/>
      <c r="XB311" s="110"/>
      <c r="XC311" s="110"/>
      <c r="XD311" s="110"/>
      <c r="XE311" s="110"/>
      <c r="XF311" s="110"/>
      <c r="XG311" s="110"/>
      <c r="XH311" s="110"/>
      <c r="XI311" s="110"/>
      <c r="XJ311" s="110"/>
      <c r="XK311" s="110"/>
      <c r="XL311" s="110"/>
      <c r="XM311" s="110"/>
      <c r="XN311" s="110"/>
      <c r="XO311" s="110"/>
      <c r="XP311" s="110"/>
      <c r="XQ311" s="110"/>
      <c r="XR311" s="110"/>
      <c r="XS311" s="110"/>
      <c r="XT311" s="110"/>
      <c r="XU311" s="110"/>
      <c r="XV311" s="110"/>
      <c r="XW311" s="110"/>
      <c r="XX311" s="110"/>
      <c r="XY311" s="110"/>
      <c r="XZ311" s="110"/>
      <c r="YA311" s="110"/>
      <c r="YB311" s="110"/>
      <c r="YC311" s="110"/>
      <c r="YD311" s="110"/>
      <c r="YE311" s="110"/>
      <c r="YF311" s="110"/>
      <c r="YG311" s="110"/>
      <c r="YH311" s="110"/>
      <c r="YI311" s="110"/>
      <c r="YJ311" s="110"/>
      <c r="YK311" s="110"/>
      <c r="YL311" s="110"/>
      <c r="YM311" s="110"/>
      <c r="YN311" s="110"/>
      <c r="YO311" s="110"/>
      <c r="YP311" s="110"/>
      <c r="YQ311" s="110"/>
      <c r="YR311" s="110"/>
      <c r="YS311" s="110"/>
      <c r="YT311" s="110"/>
      <c r="YU311" s="110"/>
      <c r="YV311" s="110"/>
      <c r="YW311" s="110"/>
      <c r="YX311" s="110"/>
      <c r="YY311" s="110"/>
      <c r="YZ311" s="110"/>
      <c r="ZA311" s="110"/>
      <c r="ZB311" s="110"/>
      <c r="ZC311" s="110"/>
      <c r="ZD311" s="110"/>
      <c r="ZE311" s="110"/>
      <c r="ZF311" s="110"/>
      <c r="ZG311" s="110"/>
      <c r="ZH311" s="110"/>
      <c r="ZI311" s="110"/>
      <c r="ZJ311" s="110"/>
      <c r="ZK311" s="110"/>
      <c r="ZL311" s="110"/>
      <c r="ZM311" s="110"/>
      <c r="ZN311" s="110"/>
      <c r="ZO311" s="110"/>
      <c r="ZP311" s="110"/>
      <c r="ZQ311" s="110"/>
      <c r="ZR311" s="110"/>
      <c r="ZS311" s="110"/>
      <c r="ZT311" s="110"/>
      <c r="ZU311" s="110"/>
      <c r="ZV311" s="110"/>
      <c r="ZW311" s="110"/>
      <c r="ZX311" s="110"/>
      <c r="ZY311" s="110"/>
      <c r="ZZ311" s="110"/>
      <c r="AAA311" s="110"/>
      <c r="AAB311" s="110"/>
      <c r="AAC311" s="110"/>
      <c r="AAD311" s="110"/>
      <c r="AAE311" s="110"/>
      <c r="AAF311" s="110"/>
      <c r="AAG311" s="110"/>
      <c r="AAH311" s="110"/>
      <c r="AAI311" s="110"/>
      <c r="AAJ311" s="110"/>
      <c r="AAK311" s="110"/>
      <c r="AAL311" s="110"/>
      <c r="AAM311" s="110"/>
      <c r="AAN311" s="110"/>
      <c r="AAO311" s="110"/>
      <c r="AAP311" s="110"/>
      <c r="AAQ311" s="110"/>
      <c r="AAR311" s="110"/>
      <c r="AAS311" s="110"/>
      <c r="AAT311" s="110"/>
      <c r="AAU311" s="110"/>
      <c r="AAV311" s="110"/>
      <c r="AAW311" s="110"/>
      <c r="AAX311" s="110"/>
      <c r="AAY311" s="110"/>
      <c r="AAZ311" s="110"/>
      <c r="ABA311" s="110"/>
      <c r="ABB311" s="110"/>
      <c r="ABC311" s="110"/>
      <c r="ABD311" s="110"/>
      <c r="ABE311" s="110"/>
      <c r="ABF311" s="110"/>
      <c r="ABG311" s="110"/>
      <c r="ABH311" s="110"/>
      <c r="ABI311" s="110"/>
      <c r="ABJ311" s="110"/>
      <c r="ABK311" s="110"/>
      <c r="ABL311" s="110"/>
      <c r="ABM311" s="110"/>
      <c r="ABN311" s="110"/>
      <c r="ABO311" s="110"/>
      <c r="ABP311" s="110"/>
      <c r="ABQ311" s="110"/>
      <c r="ABR311" s="110"/>
      <c r="ABS311" s="110"/>
      <c r="ABT311" s="110"/>
      <c r="ABU311" s="110"/>
      <c r="ABV311" s="110"/>
      <c r="ABW311" s="110"/>
      <c r="ABX311" s="110"/>
      <c r="ABY311" s="110"/>
      <c r="ABZ311" s="110"/>
      <c r="ACA311" s="110"/>
      <c r="ACB311" s="110"/>
      <c r="ACC311" s="110"/>
      <c r="ACD311" s="110"/>
      <c r="ACE311" s="110"/>
      <c r="ACF311" s="110"/>
      <c r="ACG311" s="110"/>
      <c r="ACH311" s="110"/>
      <c r="ACI311" s="110"/>
      <c r="ACJ311" s="110"/>
      <c r="ACK311" s="110"/>
      <c r="ACL311" s="110"/>
      <c r="ACM311" s="110"/>
      <c r="ACN311" s="110"/>
      <c r="ACO311" s="110"/>
      <c r="ACP311" s="110"/>
      <c r="ACQ311" s="110"/>
      <c r="ACR311" s="110"/>
      <c r="ACS311" s="110"/>
      <c r="ACT311" s="110"/>
      <c r="ACU311" s="110"/>
      <c r="ACV311" s="110"/>
      <c r="ACW311" s="110"/>
      <c r="ACX311" s="110"/>
      <c r="ACY311" s="110"/>
      <c r="ACZ311" s="110"/>
      <c r="ADA311" s="110"/>
      <c r="ADB311" s="110"/>
      <c r="ADC311" s="110"/>
      <c r="ADD311" s="110"/>
      <c r="ADE311" s="110"/>
      <c r="ADF311" s="110"/>
      <c r="ADG311" s="110"/>
      <c r="ADH311" s="110"/>
      <c r="ADI311" s="110"/>
      <c r="ADJ311" s="110"/>
      <c r="ADK311" s="110"/>
      <c r="ADL311" s="110"/>
      <c r="ADM311" s="110"/>
      <c r="ADN311" s="110"/>
      <c r="ADO311" s="110"/>
      <c r="ADP311" s="110"/>
      <c r="ADQ311" s="110"/>
      <c r="ADR311" s="110"/>
      <c r="ADS311" s="110"/>
      <c r="ADT311" s="110"/>
      <c r="ADU311" s="110"/>
      <c r="ADV311" s="110"/>
      <c r="ADW311" s="110"/>
      <c r="ADX311" s="110"/>
      <c r="ADY311" s="110"/>
      <c r="ADZ311" s="110"/>
      <c r="AEA311" s="110"/>
      <c r="AEB311" s="110"/>
      <c r="AEC311" s="110"/>
      <c r="AED311" s="110"/>
      <c r="AEE311" s="110"/>
      <c r="AEF311" s="110"/>
      <c r="AEG311" s="110"/>
      <c r="AEH311" s="110"/>
      <c r="AEI311" s="110"/>
      <c r="AEJ311" s="110"/>
      <c r="AEK311" s="110"/>
      <c r="AEL311" s="110"/>
      <c r="AEM311" s="110"/>
      <c r="AEN311" s="110"/>
      <c r="AEO311" s="110"/>
      <c r="AEP311" s="110"/>
      <c r="AEQ311" s="110"/>
      <c r="AER311" s="110"/>
      <c r="AES311" s="110"/>
      <c r="AET311" s="110"/>
      <c r="AEU311" s="110"/>
      <c r="AEV311" s="110"/>
      <c r="AEW311" s="110"/>
      <c r="AEX311" s="110"/>
      <c r="AEY311" s="110"/>
      <c r="AEZ311" s="110"/>
      <c r="AFA311" s="110"/>
      <c r="AFB311" s="110"/>
      <c r="AFC311" s="110"/>
      <c r="AFD311" s="110"/>
      <c r="AFE311" s="110"/>
      <c r="AFF311" s="110"/>
      <c r="AFG311" s="110"/>
      <c r="AFH311" s="110"/>
      <c r="AFI311" s="110"/>
      <c r="AFJ311" s="110"/>
      <c r="AFK311" s="110"/>
      <c r="AFL311" s="110"/>
      <c r="AFM311" s="110"/>
      <c r="AFN311" s="110"/>
      <c r="AFO311" s="110"/>
      <c r="AFP311" s="110"/>
      <c r="AFQ311" s="110"/>
      <c r="AFR311" s="110"/>
      <c r="AFS311" s="110"/>
      <c r="AFT311" s="110"/>
      <c r="AFU311" s="110"/>
      <c r="AFV311" s="110"/>
      <c r="AFW311" s="110"/>
      <c r="AFX311" s="110"/>
      <c r="AFY311" s="110"/>
      <c r="AFZ311" s="110"/>
      <c r="AGA311" s="110"/>
      <c r="AGB311" s="110"/>
      <c r="AGC311" s="110"/>
      <c r="AGD311" s="110"/>
      <c r="AGE311" s="110"/>
      <c r="AGF311" s="110"/>
      <c r="AGG311" s="110"/>
      <c r="AGH311" s="110"/>
      <c r="AGI311" s="110"/>
      <c r="AGJ311" s="110"/>
      <c r="AGK311" s="110"/>
      <c r="AGL311" s="110"/>
      <c r="AGM311" s="110"/>
      <c r="AGN311" s="110"/>
      <c r="AGO311" s="110"/>
      <c r="AGP311" s="110"/>
      <c r="AGQ311" s="110"/>
      <c r="AGR311" s="110"/>
      <c r="AGS311" s="110"/>
      <c r="AGT311" s="110"/>
      <c r="AGU311" s="110"/>
      <c r="AGV311" s="110"/>
      <c r="AGW311" s="110"/>
      <c r="AGX311" s="110"/>
      <c r="AGY311" s="110"/>
      <c r="AGZ311" s="110"/>
      <c r="AHA311" s="110"/>
      <c r="AHB311" s="110"/>
      <c r="AHC311" s="110"/>
      <c r="AHD311" s="110"/>
      <c r="AHE311" s="110"/>
      <c r="AHF311" s="110"/>
      <c r="AHG311" s="110"/>
      <c r="AHH311" s="110"/>
      <c r="AHI311" s="110"/>
      <c r="AHJ311" s="110"/>
      <c r="AHK311" s="110"/>
      <c r="AHL311" s="110"/>
      <c r="AHM311" s="110"/>
      <c r="AHN311" s="110"/>
      <c r="AHO311" s="110"/>
      <c r="AHP311" s="110"/>
      <c r="AHQ311" s="110"/>
      <c r="AHR311" s="110"/>
      <c r="AHS311" s="110"/>
      <c r="AHT311" s="110"/>
      <c r="AHU311" s="110"/>
      <c r="AHV311" s="110"/>
      <c r="AHW311" s="110"/>
      <c r="AHX311" s="110"/>
      <c r="AHY311" s="110"/>
      <c r="AHZ311" s="110"/>
      <c r="AIA311" s="110"/>
      <c r="AIB311" s="110"/>
      <c r="AIC311" s="110"/>
      <c r="AID311" s="110"/>
      <c r="AIE311" s="110"/>
      <c r="AIF311" s="110"/>
      <c r="AIG311" s="110"/>
      <c r="AIH311" s="110"/>
      <c r="AII311" s="110"/>
      <c r="AIJ311" s="110"/>
      <c r="AIK311" s="110"/>
      <c r="AIL311" s="110"/>
      <c r="AIM311" s="110"/>
      <c r="AIN311" s="110"/>
      <c r="AIO311" s="110"/>
      <c r="AIP311" s="110"/>
      <c r="AIQ311" s="110"/>
      <c r="AIR311" s="110"/>
      <c r="AIS311" s="110"/>
      <c r="AIT311" s="110"/>
      <c r="AIU311" s="110"/>
      <c r="AIV311" s="110"/>
      <c r="AIW311" s="110"/>
      <c r="AIX311" s="110"/>
      <c r="AIY311" s="110"/>
      <c r="AIZ311" s="110"/>
      <c r="AJA311" s="110"/>
      <c r="AJB311" s="110"/>
      <c r="AJC311" s="110"/>
      <c r="AJD311" s="110"/>
      <c r="AJE311" s="110"/>
      <c r="AJF311" s="110"/>
      <c r="AJG311" s="110"/>
      <c r="AJH311" s="110"/>
      <c r="AJI311" s="110"/>
      <c r="AJJ311" s="110"/>
      <c r="AJK311" s="110"/>
      <c r="AJL311" s="110"/>
      <c r="AJM311" s="110"/>
      <c r="AJN311" s="110"/>
      <c r="AJO311" s="110"/>
      <c r="AJP311" s="110"/>
      <c r="AJQ311" s="110"/>
      <c r="AJR311" s="110"/>
      <c r="AJS311" s="110"/>
      <c r="AJT311" s="110"/>
      <c r="AJU311" s="110"/>
      <c r="AJV311" s="110"/>
      <c r="AJW311" s="110"/>
      <c r="AJX311" s="110"/>
      <c r="AJY311" s="110"/>
      <c r="AJZ311" s="110"/>
      <c r="AKA311" s="110"/>
      <c r="AKB311" s="110"/>
      <c r="AKC311" s="110"/>
      <c r="AKD311" s="110"/>
      <c r="AKE311" s="110"/>
      <c r="AKF311" s="110"/>
      <c r="AKG311" s="110"/>
      <c r="AKH311" s="110"/>
      <c r="AKI311" s="110"/>
      <c r="AKJ311" s="110"/>
      <c r="AKK311" s="110"/>
      <c r="AKL311" s="110"/>
      <c r="AKM311" s="110"/>
      <c r="AKN311" s="110"/>
      <c r="AKO311" s="110"/>
      <c r="AKP311" s="110"/>
      <c r="AKQ311" s="110"/>
      <c r="AKR311" s="110"/>
      <c r="AKS311" s="110"/>
      <c r="AKT311" s="110"/>
      <c r="AKU311" s="110"/>
      <c r="AKV311" s="110"/>
      <c r="AKW311" s="110"/>
      <c r="AKX311" s="110"/>
      <c r="AKY311" s="110"/>
      <c r="AKZ311" s="110"/>
      <c r="ALA311" s="110"/>
      <c r="ALB311" s="110"/>
      <c r="ALC311" s="110"/>
      <c r="ALD311" s="110"/>
      <c r="ALE311" s="110"/>
      <c r="ALF311" s="110"/>
      <c r="ALG311" s="110"/>
      <c r="ALH311" s="110"/>
      <c r="ALI311" s="110"/>
      <c r="ALJ311" s="110"/>
      <c r="ALK311" s="110"/>
      <c r="ALL311" s="110"/>
      <c r="ALM311" s="110"/>
      <c r="ALN311" s="110"/>
      <c r="ALO311" s="110"/>
      <c r="ALP311" s="110"/>
      <c r="ALQ311" s="110"/>
      <c r="ALR311" s="110"/>
      <c r="ALS311" s="110"/>
      <c r="ALT311" s="110"/>
      <c r="ALU311" s="110"/>
      <c r="ALV311" s="110"/>
      <c r="ALW311" s="110"/>
      <c r="ALX311" s="110"/>
      <c r="ALY311" s="110"/>
      <c r="ALZ311" s="110"/>
      <c r="AMA311" s="110"/>
      <c r="AMB311" s="110"/>
      <c r="AMC311" s="110"/>
      <c r="AMD311" s="110"/>
      <c r="AME311" s="110"/>
      <c r="AMF311" s="110"/>
    </row>
    <row r="312" spans="1:1020" s="142" customFormat="1" ht="11.25" customHeight="1">
      <c r="A312" s="123"/>
      <c r="B312" s="141">
        <v>8</v>
      </c>
      <c r="C312" s="126">
        <v>305</v>
      </c>
      <c r="D312" s="127" t="s">
        <v>486</v>
      </c>
      <c r="E312" s="194">
        <f t="shared" si="52"/>
        <v>1240</v>
      </c>
      <c r="F312" s="125">
        <f>ROUND(E312*Valores!$C$2,2)</f>
        <v>67518</v>
      </c>
      <c r="G312" s="192">
        <v>0</v>
      </c>
      <c r="H312" s="125">
        <f>ROUND(G312*Valores!$C$2,2)</f>
        <v>0</v>
      </c>
      <c r="I312" s="192">
        <v>0</v>
      </c>
      <c r="J312" s="125">
        <f>ROUND(I312*Valores!$C$2,2)</f>
        <v>0</v>
      </c>
      <c r="K312" s="192">
        <v>0</v>
      </c>
      <c r="L312" s="125">
        <f>ROUND(K312*Valores!$C$2,2)</f>
        <v>0</v>
      </c>
      <c r="M312" s="125">
        <f>ROUND(IF($H$2=0,IF(AND(A312&lt;&gt;"13-930",A312&lt;&gt;"13-940"),(SUM(F312,H312,J312,L312,X312,T312,R312)*Valores!$C$4),0),0),2)</f>
        <v>18824.7</v>
      </c>
      <c r="N312" s="125">
        <f t="shared" si="42"/>
        <v>0</v>
      </c>
      <c r="O312" s="125">
        <v>0</v>
      </c>
      <c r="P312" s="125">
        <v>0</v>
      </c>
      <c r="Q312" s="125">
        <v>0</v>
      </c>
      <c r="R312" s="125">
        <f>IF($F$4="NO",IF(Valores!$C$49*B312&gt;Valores!$C$46,Valores!$C$46,Valores!$C$49*B312),IF(Valores!$C$49*B312&gt;Valores!$C$46,Valores!$C$46,Valores!$C$49*B312)/2)</f>
        <v>7780.8</v>
      </c>
      <c r="S312" s="125">
        <v>0</v>
      </c>
      <c r="T312" s="125">
        <f t="shared" si="51"/>
        <v>0</v>
      </c>
      <c r="U312" s="125">
        <v>0</v>
      </c>
      <c r="V312" s="125">
        <v>0</v>
      </c>
      <c r="W312" s="192">
        <v>0</v>
      </c>
      <c r="X312" s="125">
        <f>ROUND(W312*Valores!$C$2,2)</f>
        <v>0</v>
      </c>
      <c r="Y312" s="125">
        <v>0</v>
      </c>
      <c r="Z312" s="125">
        <v>0</v>
      </c>
      <c r="AA312" s="125">
        <v>0</v>
      </c>
      <c r="AB312" s="214">
        <v>0</v>
      </c>
      <c r="AC312" s="125">
        <f t="shared" si="43"/>
        <v>0</v>
      </c>
      <c r="AD312" s="125">
        <v>0</v>
      </c>
      <c r="AE312" s="192">
        <v>0</v>
      </c>
      <c r="AF312" s="125">
        <f>ROUND(AE312*Valores!$C$2,2)</f>
        <v>0</v>
      </c>
      <c r="AG312" s="125">
        <v>0</v>
      </c>
      <c r="AH312" s="125">
        <f t="shared" si="46"/>
        <v>94123.5</v>
      </c>
      <c r="AI312" s="125">
        <v>0</v>
      </c>
      <c r="AJ312" s="125">
        <v>0</v>
      </c>
      <c r="AK312" s="125">
        <v>0</v>
      </c>
      <c r="AL312" s="125">
        <v>0</v>
      </c>
      <c r="AM312" s="125">
        <f t="shared" si="44"/>
        <v>0</v>
      </c>
      <c r="AN312" s="125">
        <f>AH312*Valores!$C$71</f>
        <v>-10353.585000000001</v>
      </c>
      <c r="AO312" s="125">
        <f>AH312*-Valores!$C$72</f>
        <v>0</v>
      </c>
      <c r="AP312" s="125">
        <f>AH312*Valores!$C$73</f>
        <v>-4235.5575</v>
      </c>
      <c r="AQ312" s="125">
        <v>0</v>
      </c>
      <c r="AR312" s="125">
        <v>0</v>
      </c>
      <c r="AS312" s="125">
        <f t="shared" si="47"/>
        <v>79534.3575</v>
      </c>
      <c r="AT312" s="125">
        <f t="shared" si="41"/>
        <v>-10353.585000000001</v>
      </c>
      <c r="AU312" s="125">
        <f>AH312*Valores!$C$74</f>
        <v>-2541.3345</v>
      </c>
      <c r="AV312" s="125">
        <f>AH312*Valores!$C$75</f>
        <v>-282.3705</v>
      </c>
      <c r="AW312" s="125">
        <f t="shared" si="45"/>
        <v>80946.20999999999</v>
      </c>
      <c r="AX312" s="126"/>
      <c r="AY312" s="126"/>
      <c r="AZ312" s="123" t="s">
        <v>4</v>
      </c>
      <c r="BA312" s="110"/>
      <c r="BB312" s="110"/>
      <c r="BC312" s="110"/>
      <c r="BD312" s="110"/>
      <c r="BE312" s="110"/>
      <c r="BF312" s="110"/>
      <c r="BG312" s="110"/>
      <c r="BH312" s="110"/>
      <c r="BI312" s="110"/>
      <c r="BJ312" s="110"/>
      <c r="BK312" s="110"/>
      <c r="BL312" s="110"/>
      <c r="BM312" s="110"/>
      <c r="BN312" s="110"/>
      <c r="BO312" s="110"/>
      <c r="BP312" s="110"/>
      <c r="BQ312" s="110"/>
      <c r="BR312" s="110"/>
      <c r="BS312" s="110"/>
      <c r="BT312" s="110"/>
      <c r="BU312" s="110"/>
      <c r="BV312" s="110"/>
      <c r="BW312" s="110"/>
      <c r="BX312" s="110"/>
      <c r="BY312" s="110"/>
      <c r="BZ312" s="110"/>
      <c r="CA312" s="110"/>
      <c r="CB312" s="110"/>
      <c r="CC312" s="110"/>
      <c r="CD312" s="110"/>
      <c r="CE312" s="110"/>
      <c r="CF312" s="110"/>
      <c r="CG312" s="110"/>
      <c r="CH312" s="110"/>
      <c r="CI312" s="110"/>
      <c r="CJ312" s="110"/>
      <c r="CK312" s="110"/>
      <c r="CL312" s="110"/>
      <c r="CM312" s="110"/>
      <c r="CN312" s="110"/>
      <c r="CO312" s="110"/>
      <c r="CP312" s="110"/>
      <c r="CQ312" s="110"/>
      <c r="CR312" s="110"/>
      <c r="CS312" s="110"/>
      <c r="CT312" s="110"/>
      <c r="CU312" s="110"/>
      <c r="CV312" s="110"/>
      <c r="CW312" s="110"/>
      <c r="CX312" s="110"/>
      <c r="CY312" s="110"/>
      <c r="CZ312" s="110"/>
      <c r="DA312" s="110"/>
      <c r="DB312" s="110"/>
      <c r="DC312" s="110"/>
      <c r="DD312" s="110"/>
      <c r="DE312" s="110"/>
      <c r="DF312" s="110"/>
      <c r="DG312" s="110"/>
      <c r="DH312" s="110"/>
      <c r="DI312" s="110"/>
      <c r="DJ312" s="110"/>
      <c r="DK312" s="110"/>
      <c r="DL312" s="110"/>
      <c r="DM312" s="110"/>
      <c r="DN312" s="110"/>
      <c r="DO312" s="110"/>
      <c r="DP312" s="110"/>
      <c r="DQ312" s="110"/>
      <c r="DR312" s="110"/>
      <c r="DS312" s="110"/>
      <c r="DT312" s="110"/>
      <c r="DU312" s="110"/>
      <c r="DV312" s="110"/>
      <c r="DW312" s="110"/>
      <c r="DX312" s="110"/>
      <c r="DY312" s="110"/>
      <c r="DZ312" s="110"/>
      <c r="EA312" s="110"/>
      <c r="EB312" s="110"/>
      <c r="EC312" s="110"/>
      <c r="ED312" s="110"/>
      <c r="EE312" s="110"/>
      <c r="EF312" s="110"/>
      <c r="EG312" s="110"/>
      <c r="EH312" s="110"/>
      <c r="EI312" s="110"/>
      <c r="EJ312" s="110"/>
      <c r="EK312" s="110"/>
      <c r="EL312" s="110"/>
      <c r="EM312" s="110"/>
      <c r="EN312" s="110"/>
      <c r="EO312" s="110"/>
      <c r="EP312" s="110"/>
      <c r="EQ312" s="110"/>
      <c r="ER312" s="110"/>
      <c r="ES312" s="110"/>
      <c r="ET312" s="110"/>
      <c r="EU312" s="110"/>
      <c r="EV312" s="110"/>
      <c r="EW312" s="110"/>
      <c r="EX312" s="110"/>
      <c r="EY312" s="110"/>
      <c r="EZ312" s="110"/>
      <c r="FA312" s="110"/>
      <c r="FB312" s="110"/>
      <c r="FC312" s="110"/>
      <c r="FD312" s="110"/>
      <c r="FE312" s="110"/>
      <c r="FF312" s="110"/>
      <c r="FG312" s="110"/>
      <c r="FH312" s="110"/>
      <c r="FI312" s="110"/>
      <c r="FJ312" s="110"/>
      <c r="FK312" s="110"/>
      <c r="FL312" s="110"/>
      <c r="FM312" s="110"/>
      <c r="FN312" s="110"/>
      <c r="FO312" s="110"/>
      <c r="FP312" s="110"/>
      <c r="FQ312" s="110"/>
      <c r="FR312" s="110"/>
      <c r="FS312" s="110"/>
      <c r="FT312" s="110"/>
      <c r="FU312" s="110"/>
      <c r="FV312" s="110"/>
      <c r="FW312" s="110"/>
      <c r="FX312" s="110"/>
      <c r="FY312" s="110"/>
      <c r="FZ312" s="110"/>
      <c r="GA312" s="110"/>
      <c r="GB312" s="110"/>
      <c r="GC312" s="110"/>
      <c r="GD312" s="110"/>
      <c r="GE312" s="110"/>
      <c r="GF312" s="110"/>
      <c r="GG312" s="110"/>
      <c r="GH312" s="110"/>
      <c r="GI312" s="110"/>
      <c r="GJ312" s="110"/>
      <c r="GK312" s="110"/>
      <c r="GL312" s="110"/>
      <c r="GM312" s="110"/>
      <c r="GN312" s="110"/>
      <c r="GO312" s="110"/>
      <c r="GP312" s="110"/>
      <c r="GQ312" s="110"/>
      <c r="GR312" s="110"/>
      <c r="GS312" s="110"/>
      <c r="GT312" s="110"/>
      <c r="GU312" s="110"/>
      <c r="GV312" s="110"/>
      <c r="GW312" s="110"/>
      <c r="GX312" s="110"/>
      <c r="GY312" s="110"/>
      <c r="GZ312" s="110"/>
      <c r="HA312" s="110"/>
      <c r="HB312" s="110"/>
      <c r="HC312" s="110"/>
      <c r="HD312" s="110"/>
      <c r="HE312" s="110"/>
      <c r="HF312" s="110"/>
      <c r="HG312" s="110"/>
      <c r="HH312" s="110"/>
      <c r="HI312" s="110"/>
      <c r="HJ312" s="110"/>
      <c r="HK312" s="110"/>
      <c r="HL312" s="110"/>
      <c r="HM312" s="110"/>
      <c r="HN312" s="110"/>
      <c r="HO312" s="110"/>
      <c r="HP312" s="110"/>
      <c r="HQ312" s="110"/>
      <c r="HR312" s="110"/>
      <c r="HS312" s="110"/>
      <c r="HT312" s="110"/>
      <c r="HU312" s="110"/>
      <c r="HV312" s="110"/>
      <c r="HW312" s="110"/>
      <c r="HX312" s="110"/>
      <c r="HY312" s="110"/>
      <c r="HZ312" s="110"/>
      <c r="IA312" s="110"/>
      <c r="IB312" s="110"/>
      <c r="IC312" s="110"/>
      <c r="ID312" s="110"/>
      <c r="IE312" s="110"/>
      <c r="IF312" s="110"/>
      <c r="IG312" s="110"/>
      <c r="IH312" s="110"/>
      <c r="II312" s="110"/>
      <c r="IJ312" s="110"/>
      <c r="IK312" s="110"/>
      <c r="IL312" s="110"/>
      <c r="IM312" s="110"/>
      <c r="IN312" s="110"/>
      <c r="IO312" s="110"/>
      <c r="IP312" s="110"/>
      <c r="IQ312" s="110"/>
      <c r="IR312" s="110"/>
      <c r="IS312" s="110"/>
      <c r="IT312" s="110"/>
      <c r="IU312" s="110"/>
      <c r="IV312" s="110"/>
      <c r="IW312" s="110"/>
      <c r="IX312" s="110"/>
      <c r="IY312" s="110"/>
      <c r="IZ312" s="110"/>
      <c r="JA312" s="110"/>
      <c r="JB312" s="110"/>
      <c r="JC312" s="110"/>
      <c r="JD312" s="110"/>
      <c r="JE312" s="110"/>
      <c r="JF312" s="110"/>
      <c r="JG312" s="110"/>
      <c r="JH312" s="110"/>
      <c r="JI312" s="110"/>
      <c r="JJ312" s="110"/>
      <c r="JK312" s="110"/>
      <c r="JL312" s="110"/>
      <c r="JM312" s="110"/>
      <c r="JN312" s="110"/>
      <c r="JO312" s="110"/>
      <c r="JP312" s="110"/>
      <c r="JQ312" s="110"/>
      <c r="JR312" s="110"/>
      <c r="JS312" s="110"/>
      <c r="JT312" s="110"/>
      <c r="JU312" s="110"/>
      <c r="JV312" s="110"/>
      <c r="JW312" s="110"/>
      <c r="JX312" s="110"/>
      <c r="JY312" s="110"/>
      <c r="JZ312" s="110"/>
      <c r="KA312" s="110"/>
      <c r="KB312" s="110"/>
      <c r="KC312" s="110"/>
      <c r="KD312" s="110"/>
      <c r="KE312" s="110"/>
      <c r="KF312" s="110"/>
      <c r="KG312" s="110"/>
      <c r="KH312" s="110"/>
      <c r="KI312" s="110"/>
      <c r="KJ312" s="110"/>
      <c r="KK312" s="110"/>
      <c r="KL312" s="110"/>
      <c r="KM312" s="110"/>
      <c r="KN312" s="110"/>
      <c r="KO312" s="110"/>
      <c r="KP312" s="110"/>
      <c r="KQ312" s="110"/>
      <c r="KR312" s="110"/>
      <c r="KS312" s="110"/>
      <c r="KT312" s="110"/>
      <c r="KU312" s="110"/>
      <c r="KV312" s="110"/>
      <c r="KW312" s="110"/>
      <c r="KX312" s="110"/>
      <c r="KY312" s="110"/>
      <c r="KZ312" s="110"/>
      <c r="LA312" s="110"/>
      <c r="LB312" s="110"/>
      <c r="LC312" s="110"/>
      <c r="LD312" s="110"/>
      <c r="LE312" s="110"/>
      <c r="LF312" s="110"/>
      <c r="LG312" s="110"/>
      <c r="LH312" s="110"/>
      <c r="LI312" s="110"/>
      <c r="LJ312" s="110"/>
      <c r="LK312" s="110"/>
      <c r="LL312" s="110"/>
      <c r="LM312" s="110"/>
      <c r="LN312" s="110"/>
      <c r="LO312" s="110"/>
      <c r="LP312" s="110"/>
      <c r="LQ312" s="110"/>
      <c r="LR312" s="110"/>
      <c r="LS312" s="110"/>
      <c r="LT312" s="110"/>
      <c r="LU312" s="110"/>
      <c r="LV312" s="110"/>
      <c r="LW312" s="110"/>
      <c r="LX312" s="110"/>
      <c r="LY312" s="110"/>
      <c r="LZ312" s="110"/>
      <c r="MA312" s="110"/>
      <c r="MB312" s="110"/>
      <c r="MC312" s="110"/>
      <c r="MD312" s="110"/>
      <c r="ME312" s="110"/>
      <c r="MF312" s="110"/>
      <c r="MG312" s="110"/>
      <c r="MH312" s="110"/>
      <c r="MI312" s="110"/>
      <c r="MJ312" s="110"/>
      <c r="MK312" s="110"/>
      <c r="ML312" s="110"/>
      <c r="MM312" s="110"/>
      <c r="MN312" s="110"/>
      <c r="MO312" s="110"/>
      <c r="MP312" s="110"/>
      <c r="MQ312" s="110"/>
      <c r="MR312" s="110"/>
      <c r="MS312" s="110"/>
      <c r="MT312" s="110"/>
      <c r="MU312" s="110"/>
      <c r="MV312" s="110"/>
      <c r="MW312" s="110"/>
      <c r="MX312" s="110"/>
      <c r="MY312" s="110"/>
      <c r="MZ312" s="110"/>
      <c r="NA312" s="110"/>
      <c r="NB312" s="110"/>
      <c r="NC312" s="110"/>
      <c r="ND312" s="110"/>
      <c r="NE312" s="110"/>
      <c r="NF312" s="110"/>
      <c r="NG312" s="110"/>
      <c r="NH312" s="110"/>
      <c r="NI312" s="110"/>
      <c r="NJ312" s="110"/>
      <c r="NK312" s="110"/>
      <c r="NL312" s="110"/>
      <c r="NM312" s="110"/>
      <c r="NN312" s="110"/>
      <c r="NO312" s="110"/>
      <c r="NP312" s="110"/>
      <c r="NQ312" s="110"/>
      <c r="NR312" s="110"/>
      <c r="NS312" s="110"/>
      <c r="NT312" s="110"/>
      <c r="NU312" s="110"/>
      <c r="NV312" s="110"/>
      <c r="NW312" s="110"/>
      <c r="NX312" s="110"/>
      <c r="NY312" s="110"/>
      <c r="NZ312" s="110"/>
      <c r="OA312" s="110"/>
      <c r="OB312" s="110"/>
      <c r="OC312" s="110"/>
      <c r="OD312" s="110"/>
      <c r="OE312" s="110"/>
      <c r="OF312" s="110"/>
      <c r="OG312" s="110"/>
      <c r="OH312" s="110"/>
      <c r="OI312" s="110"/>
      <c r="OJ312" s="110"/>
      <c r="OK312" s="110"/>
      <c r="OL312" s="110"/>
      <c r="OM312" s="110"/>
      <c r="ON312" s="110"/>
      <c r="OO312" s="110"/>
      <c r="OP312" s="110"/>
      <c r="OQ312" s="110"/>
      <c r="OR312" s="110"/>
      <c r="OS312" s="110"/>
      <c r="OT312" s="110"/>
      <c r="OU312" s="110"/>
      <c r="OV312" s="110"/>
      <c r="OW312" s="110"/>
      <c r="OX312" s="110"/>
      <c r="OY312" s="110"/>
      <c r="OZ312" s="110"/>
      <c r="PA312" s="110"/>
      <c r="PB312" s="110"/>
      <c r="PC312" s="110"/>
      <c r="PD312" s="110"/>
      <c r="PE312" s="110"/>
      <c r="PF312" s="110"/>
      <c r="PG312" s="110"/>
      <c r="PH312" s="110"/>
      <c r="PI312" s="110"/>
      <c r="PJ312" s="110"/>
      <c r="PK312" s="110"/>
      <c r="PL312" s="110"/>
      <c r="PM312" s="110"/>
      <c r="PN312" s="110"/>
      <c r="PO312" s="110"/>
      <c r="PP312" s="110"/>
      <c r="PQ312" s="110"/>
      <c r="PR312" s="110"/>
      <c r="PS312" s="110"/>
      <c r="PT312" s="110"/>
      <c r="PU312" s="110"/>
      <c r="PV312" s="110"/>
      <c r="PW312" s="110"/>
      <c r="PX312" s="110"/>
      <c r="PY312" s="110"/>
      <c r="PZ312" s="110"/>
      <c r="QA312" s="110"/>
      <c r="QB312" s="110"/>
      <c r="QC312" s="110"/>
      <c r="QD312" s="110"/>
      <c r="QE312" s="110"/>
      <c r="QF312" s="110"/>
      <c r="QG312" s="110"/>
      <c r="QH312" s="110"/>
      <c r="QI312" s="110"/>
      <c r="QJ312" s="110"/>
      <c r="QK312" s="110"/>
      <c r="QL312" s="110"/>
      <c r="QM312" s="110"/>
      <c r="QN312" s="110"/>
      <c r="QO312" s="110"/>
      <c r="QP312" s="110"/>
      <c r="QQ312" s="110"/>
      <c r="QR312" s="110"/>
      <c r="QS312" s="110"/>
      <c r="QT312" s="110"/>
      <c r="QU312" s="110"/>
      <c r="QV312" s="110"/>
      <c r="QW312" s="110"/>
      <c r="QX312" s="110"/>
      <c r="QY312" s="110"/>
      <c r="QZ312" s="110"/>
      <c r="RA312" s="110"/>
      <c r="RB312" s="110"/>
      <c r="RC312" s="110"/>
      <c r="RD312" s="110"/>
      <c r="RE312" s="110"/>
      <c r="RF312" s="110"/>
      <c r="RG312" s="110"/>
      <c r="RH312" s="110"/>
      <c r="RI312" s="110"/>
      <c r="RJ312" s="110"/>
      <c r="RK312" s="110"/>
      <c r="RL312" s="110"/>
      <c r="RM312" s="110"/>
      <c r="RN312" s="110"/>
      <c r="RO312" s="110"/>
      <c r="RP312" s="110"/>
      <c r="RQ312" s="110"/>
      <c r="RR312" s="110"/>
      <c r="RS312" s="110"/>
      <c r="RT312" s="110"/>
      <c r="RU312" s="110"/>
      <c r="RV312" s="110"/>
      <c r="RW312" s="110"/>
      <c r="RX312" s="110"/>
      <c r="RY312" s="110"/>
      <c r="RZ312" s="110"/>
      <c r="SA312" s="110"/>
      <c r="SB312" s="110"/>
      <c r="SC312" s="110"/>
      <c r="SD312" s="110"/>
      <c r="SE312" s="110"/>
      <c r="SF312" s="110"/>
      <c r="SG312" s="110"/>
      <c r="SH312" s="110"/>
      <c r="SI312" s="110"/>
      <c r="SJ312" s="110"/>
      <c r="SK312" s="110"/>
      <c r="SL312" s="110"/>
      <c r="SM312" s="110"/>
      <c r="SN312" s="110"/>
      <c r="SO312" s="110"/>
      <c r="SP312" s="110"/>
      <c r="SQ312" s="110"/>
      <c r="SR312" s="110"/>
      <c r="SS312" s="110"/>
      <c r="ST312" s="110"/>
      <c r="SU312" s="110"/>
      <c r="SV312" s="110"/>
      <c r="SW312" s="110"/>
      <c r="SX312" s="110"/>
      <c r="SY312" s="110"/>
      <c r="SZ312" s="110"/>
      <c r="TA312" s="110"/>
      <c r="TB312" s="110"/>
      <c r="TC312" s="110"/>
      <c r="TD312" s="110"/>
      <c r="TE312" s="110"/>
      <c r="TF312" s="110"/>
      <c r="TG312" s="110"/>
      <c r="TH312" s="110"/>
      <c r="TI312" s="110"/>
      <c r="TJ312" s="110"/>
      <c r="TK312" s="110"/>
      <c r="TL312" s="110"/>
      <c r="TM312" s="110"/>
      <c r="TN312" s="110"/>
      <c r="TO312" s="110"/>
      <c r="TP312" s="110"/>
      <c r="TQ312" s="110"/>
      <c r="TR312" s="110"/>
      <c r="TS312" s="110"/>
      <c r="TT312" s="110"/>
      <c r="TU312" s="110"/>
      <c r="TV312" s="110"/>
      <c r="TW312" s="110"/>
      <c r="TX312" s="110"/>
      <c r="TY312" s="110"/>
      <c r="TZ312" s="110"/>
      <c r="UA312" s="110"/>
      <c r="UB312" s="110"/>
      <c r="UC312" s="110"/>
      <c r="UD312" s="110"/>
      <c r="UE312" s="110"/>
      <c r="UF312" s="110"/>
      <c r="UG312" s="110"/>
      <c r="UH312" s="110"/>
      <c r="UI312" s="110"/>
      <c r="UJ312" s="110"/>
      <c r="UK312" s="110"/>
      <c r="UL312" s="110"/>
      <c r="UM312" s="110"/>
      <c r="UN312" s="110"/>
      <c r="UO312" s="110"/>
      <c r="UP312" s="110"/>
      <c r="UQ312" s="110"/>
      <c r="UR312" s="110"/>
      <c r="US312" s="110"/>
      <c r="UT312" s="110"/>
      <c r="UU312" s="110"/>
      <c r="UV312" s="110"/>
      <c r="UW312" s="110"/>
      <c r="UX312" s="110"/>
      <c r="UY312" s="110"/>
      <c r="UZ312" s="110"/>
      <c r="VA312" s="110"/>
      <c r="VB312" s="110"/>
      <c r="VC312" s="110"/>
      <c r="VD312" s="110"/>
      <c r="VE312" s="110"/>
      <c r="VF312" s="110"/>
      <c r="VG312" s="110"/>
      <c r="VH312" s="110"/>
      <c r="VI312" s="110"/>
      <c r="VJ312" s="110"/>
      <c r="VK312" s="110"/>
      <c r="VL312" s="110"/>
      <c r="VM312" s="110"/>
      <c r="VN312" s="110"/>
      <c r="VO312" s="110"/>
      <c r="VP312" s="110"/>
      <c r="VQ312" s="110"/>
      <c r="VR312" s="110"/>
      <c r="VS312" s="110"/>
      <c r="VT312" s="110"/>
      <c r="VU312" s="110"/>
      <c r="VV312" s="110"/>
      <c r="VW312" s="110"/>
      <c r="VX312" s="110"/>
      <c r="VY312" s="110"/>
      <c r="VZ312" s="110"/>
      <c r="WA312" s="110"/>
      <c r="WB312" s="110"/>
      <c r="WC312" s="110"/>
      <c r="WD312" s="110"/>
      <c r="WE312" s="110"/>
      <c r="WF312" s="110"/>
      <c r="WG312" s="110"/>
      <c r="WH312" s="110"/>
      <c r="WI312" s="110"/>
      <c r="WJ312" s="110"/>
      <c r="WK312" s="110"/>
      <c r="WL312" s="110"/>
      <c r="WM312" s="110"/>
      <c r="WN312" s="110"/>
      <c r="WO312" s="110"/>
      <c r="WP312" s="110"/>
      <c r="WQ312" s="110"/>
      <c r="WR312" s="110"/>
      <c r="WS312" s="110"/>
      <c r="WT312" s="110"/>
      <c r="WU312" s="110"/>
      <c r="WV312" s="110"/>
      <c r="WW312" s="110"/>
      <c r="WX312" s="110"/>
      <c r="WY312" s="110"/>
      <c r="WZ312" s="110"/>
      <c r="XA312" s="110"/>
      <c r="XB312" s="110"/>
      <c r="XC312" s="110"/>
      <c r="XD312" s="110"/>
      <c r="XE312" s="110"/>
      <c r="XF312" s="110"/>
      <c r="XG312" s="110"/>
      <c r="XH312" s="110"/>
      <c r="XI312" s="110"/>
      <c r="XJ312" s="110"/>
      <c r="XK312" s="110"/>
      <c r="XL312" s="110"/>
      <c r="XM312" s="110"/>
      <c r="XN312" s="110"/>
      <c r="XO312" s="110"/>
      <c r="XP312" s="110"/>
      <c r="XQ312" s="110"/>
      <c r="XR312" s="110"/>
      <c r="XS312" s="110"/>
      <c r="XT312" s="110"/>
      <c r="XU312" s="110"/>
      <c r="XV312" s="110"/>
      <c r="XW312" s="110"/>
      <c r="XX312" s="110"/>
      <c r="XY312" s="110"/>
      <c r="XZ312" s="110"/>
      <c r="YA312" s="110"/>
      <c r="YB312" s="110"/>
      <c r="YC312" s="110"/>
      <c r="YD312" s="110"/>
      <c r="YE312" s="110"/>
      <c r="YF312" s="110"/>
      <c r="YG312" s="110"/>
      <c r="YH312" s="110"/>
      <c r="YI312" s="110"/>
      <c r="YJ312" s="110"/>
      <c r="YK312" s="110"/>
      <c r="YL312" s="110"/>
      <c r="YM312" s="110"/>
      <c r="YN312" s="110"/>
      <c r="YO312" s="110"/>
      <c r="YP312" s="110"/>
      <c r="YQ312" s="110"/>
      <c r="YR312" s="110"/>
      <c r="YS312" s="110"/>
      <c r="YT312" s="110"/>
      <c r="YU312" s="110"/>
      <c r="YV312" s="110"/>
      <c r="YW312" s="110"/>
      <c r="YX312" s="110"/>
      <c r="YY312" s="110"/>
      <c r="YZ312" s="110"/>
      <c r="ZA312" s="110"/>
      <c r="ZB312" s="110"/>
      <c r="ZC312" s="110"/>
      <c r="ZD312" s="110"/>
      <c r="ZE312" s="110"/>
      <c r="ZF312" s="110"/>
      <c r="ZG312" s="110"/>
      <c r="ZH312" s="110"/>
      <c r="ZI312" s="110"/>
      <c r="ZJ312" s="110"/>
      <c r="ZK312" s="110"/>
      <c r="ZL312" s="110"/>
      <c r="ZM312" s="110"/>
      <c r="ZN312" s="110"/>
      <c r="ZO312" s="110"/>
      <c r="ZP312" s="110"/>
      <c r="ZQ312" s="110"/>
      <c r="ZR312" s="110"/>
      <c r="ZS312" s="110"/>
      <c r="ZT312" s="110"/>
      <c r="ZU312" s="110"/>
      <c r="ZV312" s="110"/>
      <c r="ZW312" s="110"/>
      <c r="ZX312" s="110"/>
      <c r="ZY312" s="110"/>
      <c r="ZZ312" s="110"/>
      <c r="AAA312" s="110"/>
      <c r="AAB312" s="110"/>
      <c r="AAC312" s="110"/>
      <c r="AAD312" s="110"/>
      <c r="AAE312" s="110"/>
      <c r="AAF312" s="110"/>
      <c r="AAG312" s="110"/>
      <c r="AAH312" s="110"/>
      <c r="AAI312" s="110"/>
      <c r="AAJ312" s="110"/>
      <c r="AAK312" s="110"/>
      <c r="AAL312" s="110"/>
      <c r="AAM312" s="110"/>
      <c r="AAN312" s="110"/>
      <c r="AAO312" s="110"/>
      <c r="AAP312" s="110"/>
      <c r="AAQ312" s="110"/>
      <c r="AAR312" s="110"/>
      <c r="AAS312" s="110"/>
      <c r="AAT312" s="110"/>
      <c r="AAU312" s="110"/>
      <c r="AAV312" s="110"/>
      <c r="AAW312" s="110"/>
      <c r="AAX312" s="110"/>
      <c r="AAY312" s="110"/>
      <c r="AAZ312" s="110"/>
      <c r="ABA312" s="110"/>
      <c r="ABB312" s="110"/>
      <c r="ABC312" s="110"/>
      <c r="ABD312" s="110"/>
      <c r="ABE312" s="110"/>
      <c r="ABF312" s="110"/>
      <c r="ABG312" s="110"/>
      <c r="ABH312" s="110"/>
      <c r="ABI312" s="110"/>
      <c r="ABJ312" s="110"/>
      <c r="ABK312" s="110"/>
      <c r="ABL312" s="110"/>
      <c r="ABM312" s="110"/>
      <c r="ABN312" s="110"/>
      <c r="ABO312" s="110"/>
      <c r="ABP312" s="110"/>
      <c r="ABQ312" s="110"/>
      <c r="ABR312" s="110"/>
      <c r="ABS312" s="110"/>
      <c r="ABT312" s="110"/>
      <c r="ABU312" s="110"/>
      <c r="ABV312" s="110"/>
      <c r="ABW312" s="110"/>
      <c r="ABX312" s="110"/>
      <c r="ABY312" s="110"/>
      <c r="ABZ312" s="110"/>
      <c r="ACA312" s="110"/>
      <c r="ACB312" s="110"/>
      <c r="ACC312" s="110"/>
      <c r="ACD312" s="110"/>
      <c r="ACE312" s="110"/>
      <c r="ACF312" s="110"/>
      <c r="ACG312" s="110"/>
      <c r="ACH312" s="110"/>
      <c r="ACI312" s="110"/>
      <c r="ACJ312" s="110"/>
      <c r="ACK312" s="110"/>
      <c r="ACL312" s="110"/>
      <c r="ACM312" s="110"/>
      <c r="ACN312" s="110"/>
      <c r="ACO312" s="110"/>
      <c r="ACP312" s="110"/>
      <c r="ACQ312" s="110"/>
      <c r="ACR312" s="110"/>
      <c r="ACS312" s="110"/>
      <c r="ACT312" s="110"/>
      <c r="ACU312" s="110"/>
      <c r="ACV312" s="110"/>
      <c r="ACW312" s="110"/>
      <c r="ACX312" s="110"/>
      <c r="ACY312" s="110"/>
      <c r="ACZ312" s="110"/>
      <c r="ADA312" s="110"/>
      <c r="ADB312" s="110"/>
      <c r="ADC312" s="110"/>
      <c r="ADD312" s="110"/>
      <c r="ADE312" s="110"/>
      <c r="ADF312" s="110"/>
      <c r="ADG312" s="110"/>
      <c r="ADH312" s="110"/>
      <c r="ADI312" s="110"/>
      <c r="ADJ312" s="110"/>
      <c r="ADK312" s="110"/>
      <c r="ADL312" s="110"/>
      <c r="ADM312" s="110"/>
      <c r="ADN312" s="110"/>
      <c r="ADO312" s="110"/>
      <c r="ADP312" s="110"/>
      <c r="ADQ312" s="110"/>
      <c r="ADR312" s="110"/>
      <c r="ADS312" s="110"/>
      <c r="ADT312" s="110"/>
      <c r="ADU312" s="110"/>
      <c r="ADV312" s="110"/>
      <c r="ADW312" s="110"/>
      <c r="ADX312" s="110"/>
      <c r="ADY312" s="110"/>
      <c r="ADZ312" s="110"/>
      <c r="AEA312" s="110"/>
      <c r="AEB312" s="110"/>
      <c r="AEC312" s="110"/>
      <c r="AED312" s="110"/>
      <c r="AEE312" s="110"/>
      <c r="AEF312" s="110"/>
      <c r="AEG312" s="110"/>
      <c r="AEH312" s="110"/>
      <c r="AEI312" s="110"/>
      <c r="AEJ312" s="110"/>
      <c r="AEK312" s="110"/>
      <c r="AEL312" s="110"/>
      <c r="AEM312" s="110"/>
      <c r="AEN312" s="110"/>
      <c r="AEO312" s="110"/>
      <c r="AEP312" s="110"/>
      <c r="AEQ312" s="110"/>
      <c r="AER312" s="110"/>
      <c r="AES312" s="110"/>
      <c r="AET312" s="110"/>
      <c r="AEU312" s="110"/>
      <c r="AEV312" s="110"/>
      <c r="AEW312" s="110"/>
      <c r="AEX312" s="110"/>
      <c r="AEY312" s="110"/>
      <c r="AEZ312" s="110"/>
      <c r="AFA312" s="110"/>
      <c r="AFB312" s="110"/>
      <c r="AFC312" s="110"/>
      <c r="AFD312" s="110"/>
      <c r="AFE312" s="110"/>
      <c r="AFF312" s="110"/>
      <c r="AFG312" s="110"/>
      <c r="AFH312" s="110"/>
      <c r="AFI312" s="110"/>
      <c r="AFJ312" s="110"/>
      <c r="AFK312" s="110"/>
      <c r="AFL312" s="110"/>
      <c r="AFM312" s="110"/>
      <c r="AFN312" s="110"/>
      <c r="AFO312" s="110"/>
      <c r="AFP312" s="110"/>
      <c r="AFQ312" s="110"/>
      <c r="AFR312" s="110"/>
      <c r="AFS312" s="110"/>
      <c r="AFT312" s="110"/>
      <c r="AFU312" s="110"/>
      <c r="AFV312" s="110"/>
      <c r="AFW312" s="110"/>
      <c r="AFX312" s="110"/>
      <c r="AFY312" s="110"/>
      <c r="AFZ312" s="110"/>
      <c r="AGA312" s="110"/>
      <c r="AGB312" s="110"/>
      <c r="AGC312" s="110"/>
      <c r="AGD312" s="110"/>
      <c r="AGE312" s="110"/>
      <c r="AGF312" s="110"/>
      <c r="AGG312" s="110"/>
      <c r="AGH312" s="110"/>
      <c r="AGI312" s="110"/>
      <c r="AGJ312" s="110"/>
      <c r="AGK312" s="110"/>
      <c r="AGL312" s="110"/>
      <c r="AGM312" s="110"/>
      <c r="AGN312" s="110"/>
      <c r="AGO312" s="110"/>
      <c r="AGP312" s="110"/>
      <c r="AGQ312" s="110"/>
      <c r="AGR312" s="110"/>
      <c r="AGS312" s="110"/>
      <c r="AGT312" s="110"/>
      <c r="AGU312" s="110"/>
      <c r="AGV312" s="110"/>
      <c r="AGW312" s="110"/>
      <c r="AGX312" s="110"/>
      <c r="AGY312" s="110"/>
      <c r="AGZ312" s="110"/>
      <c r="AHA312" s="110"/>
      <c r="AHB312" s="110"/>
      <c r="AHC312" s="110"/>
      <c r="AHD312" s="110"/>
      <c r="AHE312" s="110"/>
      <c r="AHF312" s="110"/>
      <c r="AHG312" s="110"/>
      <c r="AHH312" s="110"/>
      <c r="AHI312" s="110"/>
      <c r="AHJ312" s="110"/>
      <c r="AHK312" s="110"/>
      <c r="AHL312" s="110"/>
      <c r="AHM312" s="110"/>
      <c r="AHN312" s="110"/>
      <c r="AHO312" s="110"/>
      <c r="AHP312" s="110"/>
      <c r="AHQ312" s="110"/>
      <c r="AHR312" s="110"/>
      <c r="AHS312" s="110"/>
      <c r="AHT312" s="110"/>
      <c r="AHU312" s="110"/>
      <c r="AHV312" s="110"/>
      <c r="AHW312" s="110"/>
      <c r="AHX312" s="110"/>
      <c r="AHY312" s="110"/>
      <c r="AHZ312" s="110"/>
      <c r="AIA312" s="110"/>
      <c r="AIB312" s="110"/>
      <c r="AIC312" s="110"/>
      <c r="AID312" s="110"/>
      <c r="AIE312" s="110"/>
      <c r="AIF312" s="110"/>
      <c r="AIG312" s="110"/>
      <c r="AIH312" s="110"/>
      <c r="AII312" s="110"/>
      <c r="AIJ312" s="110"/>
      <c r="AIK312" s="110"/>
      <c r="AIL312" s="110"/>
      <c r="AIM312" s="110"/>
      <c r="AIN312" s="110"/>
      <c r="AIO312" s="110"/>
      <c r="AIP312" s="110"/>
      <c r="AIQ312" s="110"/>
      <c r="AIR312" s="110"/>
      <c r="AIS312" s="110"/>
      <c r="AIT312" s="110"/>
      <c r="AIU312" s="110"/>
      <c r="AIV312" s="110"/>
      <c r="AIW312" s="110"/>
      <c r="AIX312" s="110"/>
      <c r="AIY312" s="110"/>
      <c r="AIZ312" s="110"/>
      <c r="AJA312" s="110"/>
      <c r="AJB312" s="110"/>
      <c r="AJC312" s="110"/>
      <c r="AJD312" s="110"/>
      <c r="AJE312" s="110"/>
      <c r="AJF312" s="110"/>
      <c r="AJG312" s="110"/>
      <c r="AJH312" s="110"/>
      <c r="AJI312" s="110"/>
      <c r="AJJ312" s="110"/>
      <c r="AJK312" s="110"/>
      <c r="AJL312" s="110"/>
      <c r="AJM312" s="110"/>
      <c r="AJN312" s="110"/>
      <c r="AJO312" s="110"/>
      <c r="AJP312" s="110"/>
      <c r="AJQ312" s="110"/>
      <c r="AJR312" s="110"/>
      <c r="AJS312" s="110"/>
      <c r="AJT312" s="110"/>
      <c r="AJU312" s="110"/>
      <c r="AJV312" s="110"/>
      <c r="AJW312" s="110"/>
      <c r="AJX312" s="110"/>
      <c r="AJY312" s="110"/>
      <c r="AJZ312" s="110"/>
      <c r="AKA312" s="110"/>
      <c r="AKB312" s="110"/>
      <c r="AKC312" s="110"/>
      <c r="AKD312" s="110"/>
      <c r="AKE312" s="110"/>
      <c r="AKF312" s="110"/>
      <c r="AKG312" s="110"/>
      <c r="AKH312" s="110"/>
      <c r="AKI312" s="110"/>
      <c r="AKJ312" s="110"/>
      <c r="AKK312" s="110"/>
      <c r="AKL312" s="110"/>
      <c r="AKM312" s="110"/>
      <c r="AKN312" s="110"/>
      <c r="AKO312" s="110"/>
      <c r="AKP312" s="110"/>
      <c r="AKQ312" s="110"/>
      <c r="AKR312" s="110"/>
      <c r="AKS312" s="110"/>
      <c r="AKT312" s="110"/>
      <c r="AKU312" s="110"/>
      <c r="AKV312" s="110"/>
      <c r="AKW312" s="110"/>
      <c r="AKX312" s="110"/>
      <c r="AKY312" s="110"/>
      <c r="AKZ312" s="110"/>
      <c r="ALA312" s="110"/>
      <c r="ALB312" s="110"/>
      <c r="ALC312" s="110"/>
      <c r="ALD312" s="110"/>
      <c r="ALE312" s="110"/>
      <c r="ALF312" s="110"/>
      <c r="ALG312" s="110"/>
      <c r="ALH312" s="110"/>
      <c r="ALI312" s="110"/>
      <c r="ALJ312" s="110"/>
      <c r="ALK312" s="110"/>
      <c r="ALL312" s="110"/>
      <c r="ALM312" s="110"/>
      <c r="ALN312" s="110"/>
      <c r="ALO312" s="110"/>
      <c r="ALP312" s="110"/>
      <c r="ALQ312" s="110"/>
      <c r="ALR312" s="110"/>
      <c r="ALS312" s="110"/>
      <c r="ALT312" s="110"/>
      <c r="ALU312" s="110"/>
      <c r="ALV312" s="110"/>
      <c r="ALW312" s="110"/>
      <c r="ALX312" s="110"/>
      <c r="ALY312" s="110"/>
      <c r="ALZ312" s="110"/>
      <c r="AMA312" s="110"/>
      <c r="AMB312" s="110"/>
      <c r="AMC312" s="110"/>
      <c r="AMD312" s="110"/>
      <c r="AME312" s="110"/>
      <c r="AMF312" s="110"/>
    </row>
    <row r="313" spans="1:1020" s="142" customFormat="1" ht="11.25" customHeight="1">
      <c r="A313" s="123"/>
      <c r="B313" s="141">
        <v>9</v>
      </c>
      <c r="C313" s="126">
        <v>306</v>
      </c>
      <c r="D313" s="127" t="s">
        <v>487</v>
      </c>
      <c r="E313" s="194">
        <f t="shared" si="52"/>
        <v>1395</v>
      </c>
      <c r="F313" s="125">
        <f>ROUND(E313*Valores!$C$2,2)</f>
        <v>75957.75</v>
      </c>
      <c r="G313" s="192">
        <v>0</v>
      </c>
      <c r="H313" s="125">
        <f>ROUND(G313*Valores!$C$2,2)</f>
        <v>0</v>
      </c>
      <c r="I313" s="192">
        <v>0</v>
      </c>
      <c r="J313" s="125">
        <f>ROUND(I313*Valores!$C$2,2)</f>
        <v>0</v>
      </c>
      <c r="K313" s="192">
        <v>0</v>
      </c>
      <c r="L313" s="125">
        <f>ROUND(K313*Valores!$C$2,2)</f>
        <v>0</v>
      </c>
      <c r="M313" s="125">
        <f>ROUND(IF($H$2=0,IF(AND(A313&lt;&gt;"13-930",A313&lt;&gt;"13-940"),(SUM(F313,H313,J313,L313,X313,T313,R313)*Valores!$C$4),0),0),2)</f>
        <v>21177.79</v>
      </c>
      <c r="N313" s="125">
        <f t="shared" si="42"/>
        <v>0</v>
      </c>
      <c r="O313" s="125">
        <v>0</v>
      </c>
      <c r="P313" s="125">
        <v>0</v>
      </c>
      <c r="Q313" s="125">
        <v>0</v>
      </c>
      <c r="R313" s="125">
        <f>IF($F$4="NO",IF(Valores!$C$49*B313&gt;Valores!$C$46,Valores!$C$46,Valores!$C$49*B313),IF(Valores!$C$49*B313&gt;Valores!$C$46,Valores!$C$46,Valores!$C$49*B313)/2)</f>
        <v>8753.4</v>
      </c>
      <c r="S313" s="125">
        <v>0</v>
      </c>
      <c r="T313" s="125">
        <f t="shared" si="51"/>
        <v>0</v>
      </c>
      <c r="U313" s="125">
        <v>0</v>
      </c>
      <c r="V313" s="125">
        <v>0</v>
      </c>
      <c r="W313" s="192">
        <v>0</v>
      </c>
      <c r="X313" s="125">
        <f>ROUND(W313*Valores!$C$2,2)</f>
        <v>0</v>
      </c>
      <c r="Y313" s="125">
        <v>0</v>
      </c>
      <c r="Z313" s="125">
        <v>0</v>
      </c>
      <c r="AA313" s="125">
        <v>0</v>
      </c>
      <c r="AB313" s="214">
        <v>0</v>
      </c>
      <c r="AC313" s="125">
        <f t="shared" si="43"/>
        <v>0</v>
      </c>
      <c r="AD313" s="125">
        <v>0</v>
      </c>
      <c r="AE313" s="192">
        <v>0</v>
      </c>
      <c r="AF313" s="125">
        <f>ROUND(AE313*Valores!$C$2,2)</f>
        <v>0</v>
      </c>
      <c r="AG313" s="125">
        <v>0</v>
      </c>
      <c r="AH313" s="125">
        <f t="shared" si="46"/>
        <v>105888.94</v>
      </c>
      <c r="AI313" s="125">
        <v>0</v>
      </c>
      <c r="AJ313" s="125">
        <v>0</v>
      </c>
      <c r="AK313" s="125">
        <v>0</v>
      </c>
      <c r="AL313" s="125">
        <v>0</v>
      </c>
      <c r="AM313" s="125">
        <f t="shared" si="44"/>
        <v>0</v>
      </c>
      <c r="AN313" s="125">
        <f>AH313*Valores!$C$71</f>
        <v>-11647.7834</v>
      </c>
      <c r="AO313" s="125">
        <f>AH313*-Valores!$C$72</f>
        <v>0</v>
      </c>
      <c r="AP313" s="125">
        <f>AH313*Valores!$C$73</f>
        <v>-4765.0023</v>
      </c>
      <c r="AQ313" s="125">
        <v>0</v>
      </c>
      <c r="AR313" s="125">
        <v>0</v>
      </c>
      <c r="AS313" s="125">
        <f t="shared" si="47"/>
        <v>89476.1543</v>
      </c>
      <c r="AT313" s="125">
        <f t="shared" si="41"/>
        <v>-11647.7834</v>
      </c>
      <c r="AU313" s="125">
        <f>AH313*Valores!$C$74</f>
        <v>-2859.00138</v>
      </c>
      <c r="AV313" s="125">
        <f>AH313*Valores!$C$75</f>
        <v>-317.66682000000003</v>
      </c>
      <c r="AW313" s="125">
        <f t="shared" si="45"/>
        <v>91064.4884</v>
      </c>
      <c r="AX313" s="126"/>
      <c r="AY313" s="126"/>
      <c r="AZ313" s="123"/>
      <c r="BA313" s="110"/>
      <c r="BB313" s="110"/>
      <c r="BC313" s="110"/>
      <c r="BD313" s="110"/>
      <c r="BE313" s="110"/>
      <c r="BF313" s="110"/>
      <c r="BG313" s="110"/>
      <c r="BH313" s="110"/>
      <c r="BI313" s="110"/>
      <c r="BJ313" s="110"/>
      <c r="BK313" s="110"/>
      <c r="BL313" s="110"/>
      <c r="BM313" s="110"/>
      <c r="BN313" s="110"/>
      <c r="BO313" s="110"/>
      <c r="BP313" s="110"/>
      <c r="BQ313" s="110"/>
      <c r="BR313" s="110"/>
      <c r="BS313" s="110"/>
      <c r="BT313" s="110"/>
      <c r="BU313" s="110"/>
      <c r="BV313" s="110"/>
      <c r="BW313" s="110"/>
      <c r="BX313" s="110"/>
      <c r="BY313" s="110"/>
      <c r="BZ313" s="110"/>
      <c r="CA313" s="110"/>
      <c r="CB313" s="110"/>
      <c r="CC313" s="110"/>
      <c r="CD313" s="110"/>
      <c r="CE313" s="110"/>
      <c r="CF313" s="110"/>
      <c r="CG313" s="110"/>
      <c r="CH313" s="110"/>
      <c r="CI313" s="110"/>
      <c r="CJ313" s="110"/>
      <c r="CK313" s="110"/>
      <c r="CL313" s="110"/>
      <c r="CM313" s="110"/>
      <c r="CN313" s="110"/>
      <c r="CO313" s="110"/>
      <c r="CP313" s="110"/>
      <c r="CQ313" s="110"/>
      <c r="CR313" s="110"/>
      <c r="CS313" s="110"/>
      <c r="CT313" s="110"/>
      <c r="CU313" s="110"/>
      <c r="CV313" s="110"/>
      <c r="CW313" s="110"/>
      <c r="CX313" s="110"/>
      <c r="CY313" s="110"/>
      <c r="CZ313" s="110"/>
      <c r="DA313" s="110"/>
      <c r="DB313" s="110"/>
      <c r="DC313" s="110"/>
      <c r="DD313" s="110"/>
      <c r="DE313" s="110"/>
      <c r="DF313" s="110"/>
      <c r="DG313" s="110"/>
      <c r="DH313" s="110"/>
      <c r="DI313" s="110"/>
      <c r="DJ313" s="110"/>
      <c r="DK313" s="110"/>
      <c r="DL313" s="110"/>
      <c r="DM313" s="110"/>
      <c r="DN313" s="110"/>
      <c r="DO313" s="110"/>
      <c r="DP313" s="110"/>
      <c r="DQ313" s="110"/>
      <c r="DR313" s="110"/>
      <c r="DS313" s="110"/>
      <c r="DT313" s="110"/>
      <c r="DU313" s="110"/>
      <c r="DV313" s="110"/>
      <c r="DW313" s="110"/>
      <c r="DX313" s="110"/>
      <c r="DY313" s="110"/>
      <c r="DZ313" s="110"/>
      <c r="EA313" s="110"/>
      <c r="EB313" s="110"/>
      <c r="EC313" s="110"/>
      <c r="ED313" s="110"/>
      <c r="EE313" s="110"/>
      <c r="EF313" s="110"/>
      <c r="EG313" s="110"/>
      <c r="EH313" s="110"/>
      <c r="EI313" s="110"/>
      <c r="EJ313" s="110"/>
      <c r="EK313" s="110"/>
      <c r="EL313" s="110"/>
      <c r="EM313" s="110"/>
      <c r="EN313" s="110"/>
      <c r="EO313" s="110"/>
      <c r="EP313" s="110"/>
      <c r="EQ313" s="110"/>
      <c r="ER313" s="110"/>
      <c r="ES313" s="110"/>
      <c r="ET313" s="110"/>
      <c r="EU313" s="110"/>
      <c r="EV313" s="110"/>
      <c r="EW313" s="110"/>
      <c r="EX313" s="110"/>
      <c r="EY313" s="110"/>
      <c r="EZ313" s="110"/>
      <c r="FA313" s="110"/>
      <c r="FB313" s="110"/>
      <c r="FC313" s="110"/>
      <c r="FD313" s="110"/>
      <c r="FE313" s="110"/>
      <c r="FF313" s="110"/>
      <c r="FG313" s="110"/>
      <c r="FH313" s="110"/>
      <c r="FI313" s="110"/>
      <c r="FJ313" s="110"/>
      <c r="FK313" s="110"/>
      <c r="FL313" s="110"/>
      <c r="FM313" s="110"/>
      <c r="FN313" s="110"/>
      <c r="FO313" s="110"/>
      <c r="FP313" s="110"/>
      <c r="FQ313" s="110"/>
      <c r="FR313" s="110"/>
      <c r="FS313" s="110"/>
      <c r="FT313" s="110"/>
      <c r="FU313" s="110"/>
      <c r="FV313" s="110"/>
      <c r="FW313" s="110"/>
      <c r="FX313" s="110"/>
      <c r="FY313" s="110"/>
      <c r="FZ313" s="110"/>
      <c r="GA313" s="110"/>
      <c r="GB313" s="110"/>
      <c r="GC313" s="110"/>
      <c r="GD313" s="110"/>
      <c r="GE313" s="110"/>
      <c r="GF313" s="110"/>
      <c r="GG313" s="110"/>
      <c r="GH313" s="110"/>
      <c r="GI313" s="110"/>
      <c r="GJ313" s="110"/>
      <c r="GK313" s="110"/>
      <c r="GL313" s="110"/>
      <c r="GM313" s="110"/>
      <c r="GN313" s="110"/>
      <c r="GO313" s="110"/>
      <c r="GP313" s="110"/>
      <c r="GQ313" s="110"/>
      <c r="GR313" s="110"/>
      <c r="GS313" s="110"/>
      <c r="GT313" s="110"/>
      <c r="GU313" s="110"/>
      <c r="GV313" s="110"/>
      <c r="GW313" s="110"/>
      <c r="GX313" s="110"/>
      <c r="GY313" s="110"/>
      <c r="GZ313" s="110"/>
      <c r="HA313" s="110"/>
      <c r="HB313" s="110"/>
      <c r="HC313" s="110"/>
      <c r="HD313" s="110"/>
      <c r="HE313" s="110"/>
      <c r="HF313" s="110"/>
      <c r="HG313" s="110"/>
      <c r="HH313" s="110"/>
      <c r="HI313" s="110"/>
      <c r="HJ313" s="110"/>
      <c r="HK313" s="110"/>
      <c r="HL313" s="110"/>
      <c r="HM313" s="110"/>
      <c r="HN313" s="110"/>
      <c r="HO313" s="110"/>
      <c r="HP313" s="110"/>
      <c r="HQ313" s="110"/>
      <c r="HR313" s="110"/>
      <c r="HS313" s="110"/>
      <c r="HT313" s="110"/>
      <c r="HU313" s="110"/>
      <c r="HV313" s="110"/>
      <c r="HW313" s="110"/>
      <c r="HX313" s="110"/>
      <c r="HY313" s="110"/>
      <c r="HZ313" s="110"/>
      <c r="IA313" s="110"/>
      <c r="IB313" s="110"/>
      <c r="IC313" s="110"/>
      <c r="ID313" s="110"/>
      <c r="IE313" s="110"/>
      <c r="IF313" s="110"/>
      <c r="IG313" s="110"/>
      <c r="IH313" s="110"/>
      <c r="II313" s="110"/>
      <c r="IJ313" s="110"/>
      <c r="IK313" s="110"/>
      <c r="IL313" s="110"/>
      <c r="IM313" s="110"/>
      <c r="IN313" s="110"/>
      <c r="IO313" s="110"/>
      <c r="IP313" s="110"/>
      <c r="IQ313" s="110"/>
      <c r="IR313" s="110"/>
      <c r="IS313" s="110"/>
      <c r="IT313" s="110"/>
      <c r="IU313" s="110"/>
      <c r="IV313" s="110"/>
      <c r="IW313" s="110"/>
      <c r="IX313" s="110"/>
      <c r="IY313" s="110"/>
      <c r="IZ313" s="110"/>
      <c r="JA313" s="110"/>
      <c r="JB313" s="110"/>
      <c r="JC313" s="110"/>
      <c r="JD313" s="110"/>
      <c r="JE313" s="110"/>
      <c r="JF313" s="110"/>
      <c r="JG313" s="110"/>
      <c r="JH313" s="110"/>
      <c r="JI313" s="110"/>
      <c r="JJ313" s="110"/>
      <c r="JK313" s="110"/>
      <c r="JL313" s="110"/>
      <c r="JM313" s="110"/>
      <c r="JN313" s="110"/>
      <c r="JO313" s="110"/>
      <c r="JP313" s="110"/>
      <c r="JQ313" s="110"/>
      <c r="JR313" s="110"/>
      <c r="JS313" s="110"/>
      <c r="JT313" s="110"/>
      <c r="JU313" s="110"/>
      <c r="JV313" s="110"/>
      <c r="JW313" s="110"/>
      <c r="JX313" s="110"/>
      <c r="JY313" s="110"/>
      <c r="JZ313" s="110"/>
      <c r="KA313" s="110"/>
      <c r="KB313" s="110"/>
      <c r="KC313" s="110"/>
      <c r="KD313" s="110"/>
      <c r="KE313" s="110"/>
      <c r="KF313" s="110"/>
      <c r="KG313" s="110"/>
      <c r="KH313" s="110"/>
      <c r="KI313" s="110"/>
      <c r="KJ313" s="110"/>
      <c r="KK313" s="110"/>
      <c r="KL313" s="110"/>
      <c r="KM313" s="110"/>
      <c r="KN313" s="110"/>
      <c r="KO313" s="110"/>
      <c r="KP313" s="110"/>
      <c r="KQ313" s="110"/>
      <c r="KR313" s="110"/>
      <c r="KS313" s="110"/>
      <c r="KT313" s="110"/>
      <c r="KU313" s="110"/>
      <c r="KV313" s="110"/>
      <c r="KW313" s="110"/>
      <c r="KX313" s="110"/>
      <c r="KY313" s="110"/>
      <c r="KZ313" s="110"/>
      <c r="LA313" s="110"/>
      <c r="LB313" s="110"/>
      <c r="LC313" s="110"/>
      <c r="LD313" s="110"/>
      <c r="LE313" s="110"/>
      <c r="LF313" s="110"/>
      <c r="LG313" s="110"/>
      <c r="LH313" s="110"/>
      <c r="LI313" s="110"/>
      <c r="LJ313" s="110"/>
      <c r="LK313" s="110"/>
      <c r="LL313" s="110"/>
      <c r="LM313" s="110"/>
      <c r="LN313" s="110"/>
      <c r="LO313" s="110"/>
      <c r="LP313" s="110"/>
      <c r="LQ313" s="110"/>
      <c r="LR313" s="110"/>
      <c r="LS313" s="110"/>
      <c r="LT313" s="110"/>
      <c r="LU313" s="110"/>
      <c r="LV313" s="110"/>
      <c r="LW313" s="110"/>
      <c r="LX313" s="110"/>
      <c r="LY313" s="110"/>
      <c r="LZ313" s="110"/>
      <c r="MA313" s="110"/>
      <c r="MB313" s="110"/>
      <c r="MC313" s="110"/>
      <c r="MD313" s="110"/>
      <c r="ME313" s="110"/>
      <c r="MF313" s="110"/>
      <c r="MG313" s="110"/>
      <c r="MH313" s="110"/>
      <c r="MI313" s="110"/>
      <c r="MJ313" s="110"/>
      <c r="MK313" s="110"/>
      <c r="ML313" s="110"/>
      <c r="MM313" s="110"/>
      <c r="MN313" s="110"/>
      <c r="MO313" s="110"/>
      <c r="MP313" s="110"/>
      <c r="MQ313" s="110"/>
      <c r="MR313" s="110"/>
      <c r="MS313" s="110"/>
      <c r="MT313" s="110"/>
      <c r="MU313" s="110"/>
      <c r="MV313" s="110"/>
      <c r="MW313" s="110"/>
      <c r="MX313" s="110"/>
      <c r="MY313" s="110"/>
      <c r="MZ313" s="110"/>
      <c r="NA313" s="110"/>
      <c r="NB313" s="110"/>
      <c r="NC313" s="110"/>
      <c r="ND313" s="110"/>
      <c r="NE313" s="110"/>
      <c r="NF313" s="110"/>
      <c r="NG313" s="110"/>
      <c r="NH313" s="110"/>
      <c r="NI313" s="110"/>
      <c r="NJ313" s="110"/>
      <c r="NK313" s="110"/>
      <c r="NL313" s="110"/>
      <c r="NM313" s="110"/>
      <c r="NN313" s="110"/>
      <c r="NO313" s="110"/>
      <c r="NP313" s="110"/>
      <c r="NQ313" s="110"/>
      <c r="NR313" s="110"/>
      <c r="NS313" s="110"/>
      <c r="NT313" s="110"/>
      <c r="NU313" s="110"/>
      <c r="NV313" s="110"/>
      <c r="NW313" s="110"/>
      <c r="NX313" s="110"/>
      <c r="NY313" s="110"/>
      <c r="NZ313" s="110"/>
      <c r="OA313" s="110"/>
      <c r="OB313" s="110"/>
      <c r="OC313" s="110"/>
      <c r="OD313" s="110"/>
      <c r="OE313" s="110"/>
      <c r="OF313" s="110"/>
      <c r="OG313" s="110"/>
      <c r="OH313" s="110"/>
      <c r="OI313" s="110"/>
      <c r="OJ313" s="110"/>
      <c r="OK313" s="110"/>
      <c r="OL313" s="110"/>
      <c r="OM313" s="110"/>
      <c r="ON313" s="110"/>
      <c r="OO313" s="110"/>
      <c r="OP313" s="110"/>
      <c r="OQ313" s="110"/>
      <c r="OR313" s="110"/>
      <c r="OS313" s="110"/>
      <c r="OT313" s="110"/>
      <c r="OU313" s="110"/>
      <c r="OV313" s="110"/>
      <c r="OW313" s="110"/>
      <c r="OX313" s="110"/>
      <c r="OY313" s="110"/>
      <c r="OZ313" s="110"/>
      <c r="PA313" s="110"/>
      <c r="PB313" s="110"/>
      <c r="PC313" s="110"/>
      <c r="PD313" s="110"/>
      <c r="PE313" s="110"/>
      <c r="PF313" s="110"/>
      <c r="PG313" s="110"/>
      <c r="PH313" s="110"/>
      <c r="PI313" s="110"/>
      <c r="PJ313" s="110"/>
      <c r="PK313" s="110"/>
      <c r="PL313" s="110"/>
      <c r="PM313" s="110"/>
      <c r="PN313" s="110"/>
      <c r="PO313" s="110"/>
      <c r="PP313" s="110"/>
      <c r="PQ313" s="110"/>
      <c r="PR313" s="110"/>
      <c r="PS313" s="110"/>
      <c r="PT313" s="110"/>
      <c r="PU313" s="110"/>
      <c r="PV313" s="110"/>
      <c r="PW313" s="110"/>
      <c r="PX313" s="110"/>
      <c r="PY313" s="110"/>
      <c r="PZ313" s="110"/>
      <c r="QA313" s="110"/>
      <c r="QB313" s="110"/>
      <c r="QC313" s="110"/>
      <c r="QD313" s="110"/>
      <c r="QE313" s="110"/>
      <c r="QF313" s="110"/>
      <c r="QG313" s="110"/>
      <c r="QH313" s="110"/>
      <c r="QI313" s="110"/>
      <c r="QJ313" s="110"/>
      <c r="QK313" s="110"/>
      <c r="QL313" s="110"/>
      <c r="QM313" s="110"/>
      <c r="QN313" s="110"/>
      <c r="QO313" s="110"/>
      <c r="QP313" s="110"/>
      <c r="QQ313" s="110"/>
      <c r="QR313" s="110"/>
      <c r="QS313" s="110"/>
      <c r="QT313" s="110"/>
      <c r="QU313" s="110"/>
      <c r="QV313" s="110"/>
      <c r="QW313" s="110"/>
      <c r="QX313" s="110"/>
      <c r="QY313" s="110"/>
      <c r="QZ313" s="110"/>
      <c r="RA313" s="110"/>
      <c r="RB313" s="110"/>
      <c r="RC313" s="110"/>
      <c r="RD313" s="110"/>
      <c r="RE313" s="110"/>
      <c r="RF313" s="110"/>
      <c r="RG313" s="110"/>
      <c r="RH313" s="110"/>
      <c r="RI313" s="110"/>
      <c r="RJ313" s="110"/>
      <c r="RK313" s="110"/>
      <c r="RL313" s="110"/>
      <c r="RM313" s="110"/>
      <c r="RN313" s="110"/>
      <c r="RO313" s="110"/>
      <c r="RP313" s="110"/>
      <c r="RQ313" s="110"/>
      <c r="RR313" s="110"/>
      <c r="RS313" s="110"/>
      <c r="RT313" s="110"/>
      <c r="RU313" s="110"/>
      <c r="RV313" s="110"/>
      <c r="RW313" s="110"/>
      <c r="RX313" s="110"/>
      <c r="RY313" s="110"/>
      <c r="RZ313" s="110"/>
      <c r="SA313" s="110"/>
      <c r="SB313" s="110"/>
      <c r="SC313" s="110"/>
      <c r="SD313" s="110"/>
      <c r="SE313" s="110"/>
      <c r="SF313" s="110"/>
      <c r="SG313" s="110"/>
      <c r="SH313" s="110"/>
      <c r="SI313" s="110"/>
      <c r="SJ313" s="110"/>
      <c r="SK313" s="110"/>
      <c r="SL313" s="110"/>
      <c r="SM313" s="110"/>
      <c r="SN313" s="110"/>
      <c r="SO313" s="110"/>
      <c r="SP313" s="110"/>
      <c r="SQ313" s="110"/>
      <c r="SR313" s="110"/>
      <c r="SS313" s="110"/>
      <c r="ST313" s="110"/>
      <c r="SU313" s="110"/>
      <c r="SV313" s="110"/>
      <c r="SW313" s="110"/>
      <c r="SX313" s="110"/>
      <c r="SY313" s="110"/>
      <c r="SZ313" s="110"/>
      <c r="TA313" s="110"/>
      <c r="TB313" s="110"/>
      <c r="TC313" s="110"/>
      <c r="TD313" s="110"/>
      <c r="TE313" s="110"/>
      <c r="TF313" s="110"/>
      <c r="TG313" s="110"/>
      <c r="TH313" s="110"/>
      <c r="TI313" s="110"/>
      <c r="TJ313" s="110"/>
      <c r="TK313" s="110"/>
      <c r="TL313" s="110"/>
      <c r="TM313" s="110"/>
      <c r="TN313" s="110"/>
      <c r="TO313" s="110"/>
      <c r="TP313" s="110"/>
      <c r="TQ313" s="110"/>
      <c r="TR313" s="110"/>
      <c r="TS313" s="110"/>
      <c r="TT313" s="110"/>
      <c r="TU313" s="110"/>
      <c r="TV313" s="110"/>
      <c r="TW313" s="110"/>
      <c r="TX313" s="110"/>
      <c r="TY313" s="110"/>
      <c r="TZ313" s="110"/>
      <c r="UA313" s="110"/>
      <c r="UB313" s="110"/>
      <c r="UC313" s="110"/>
      <c r="UD313" s="110"/>
      <c r="UE313" s="110"/>
      <c r="UF313" s="110"/>
      <c r="UG313" s="110"/>
      <c r="UH313" s="110"/>
      <c r="UI313" s="110"/>
      <c r="UJ313" s="110"/>
      <c r="UK313" s="110"/>
      <c r="UL313" s="110"/>
      <c r="UM313" s="110"/>
      <c r="UN313" s="110"/>
      <c r="UO313" s="110"/>
      <c r="UP313" s="110"/>
      <c r="UQ313" s="110"/>
      <c r="UR313" s="110"/>
      <c r="US313" s="110"/>
      <c r="UT313" s="110"/>
      <c r="UU313" s="110"/>
      <c r="UV313" s="110"/>
      <c r="UW313" s="110"/>
      <c r="UX313" s="110"/>
      <c r="UY313" s="110"/>
      <c r="UZ313" s="110"/>
      <c r="VA313" s="110"/>
      <c r="VB313" s="110"/>
      <c r="VC313" s="110"/>
      <c r="VD313" s="110"/>
      <c r="VE313" s="110"/>
      <c r="VF313" s="110"/>
      <c r="VG313" s="110"/>
      <c r="VH313" s="110"/>
      <c r="VI313" s="110"/>
      <c r="VJ313" s="110"/>
      <c r="VK313" s="110"/>
      <c r="VL313" s="110"/>
      <c r="VM313" s="110"/>
      <c r="VN313" s="110"/>
      <c r="VO313" s="110"/>
      <c r="VP313" s="110"/>
      <c r="VQ313" s="110"/>
      <c r="VR313" s="110"/>
      <c r="VS313" s="110"/>
      <c r="VT313" s="110"/>
      <c r="VU313" s="110"/>
      <c r="VV313" s="110"/>
      <c r="VW313" s="110"/>
      <c r="VX313" s="110"/>
      <c r="VY313" s="110"/>
      <c r="VZ313" s="110"/>
      <c r="WA313" s="110"/>
      <c r="WB313" s="110"/>
      <c r="WC313" s="110"/>
      <c r="WD313" s="110"/>
      <c r="WE313" s="110"/>
      <c r="WF313" s="110"/>
      <c r="WG313" s="110"/>
      <c r="WH313" s="110"/>
      <c r="WI313" s="110"/>
      <c r="WJ313" s="110"/>
      <c r="WK313" s="110"/>
      <c r="WL313" s="110"/>
      <c r="WM313" s="110"/>
      <c r="WN313" s="110"/>
      <c r="WO313" s="110"/>
      <c r="WP313" s="110"/>
      <c r="WQ313" s="110"/>
      <c r="WR313" s="110"/>
      <c r="WS313" s="110"/>
      <c r="WT313" s="110"/>
      <c r="WU313" s="110"/>
      <c r="WV313" s="110"/>
      <c r="WW313" s="110"/>
      <c r="WX313" s="110"/>
      <c r="WY313" s="110"/>
      <c r="WZ313" s="110"/>
      <c r="XA313" s="110"/>
      <c r="XB313" s="110"/>
      <c r="XC313" s="110"/>
      <c r="XD313" s="110"/>
      <c r="XE313" s="110"/>
      <c r="XF313" s="110"/>
      <c r="XG313" s="110"/>
      <c r="XH313" s="110"/>
      <c r="XI313" s="110"/>
      <c r="XJ313" s="110"/>
      <c r="XK313" s="110"/>
      <c r="XL313" s="110"/>
      <c r="XM313" s="110"/>
      <c r="XN313" s="110"/>
      <c r="XO313" s="110"/>
      <c r="XP313" s="110"/>
      <c r="XQ313" s="110"/>
      <c r="XR313" s="110"/>
      <c r="XS313" s="110"/>
      <c r="XT313" s="110"/>
      <c r="XU313" s="110"/>
      <c r="XV313" s="110"/>
      <c r="XW313" s="110"/>
      <c r="XX313" s="110"/>
      <c r="XY313" s="110"/>
      <c r="XZ313" s="110"/>
      <c r="YA313" s="110"/>
      <c r="YB313" s="110"/>
      <c r="YC313" s="110"/>
      <c r="YD313" s="110"/>
      <c r="YE313" s="110"/>
      <c r="YF313" s="110"/>
      <c r="YG313" s="110"/>
      <c r="YH313" s="110"/>
      <c r="YI313" s="110"/>
      <c r="YJ313" s="110"/>
      <c r="YK313" s="110"/>
      <c r="YL313" s="110"/>
      <c r="YM313" s="110"/>
      <c r="YN313" s="110"/>
      <c r="YO313" s="110"/>
      <c r="YP313" s="110"/>
      <c r="YQ313" s="110"/>
      <c r="YR313" s="110"/>
      <c r="YS313" s="110"/>
      <c r="YT313" s="110"/>
      <c r="YU313" s="110"/>
      <c r="YV313" s="110"/>
      <c r="YW313" s="110"/>
      <c r="YX313" s="110"/>
      <c r="YY313" s="110"/>
      <c r="YZ313" s="110"/>
      <c r="ZA313" s="110"/>
      <c r="ZB313" s="110"/>
      <c r="ZC313" s="110"/>
      <c r="ZD313" s="110"/>
      <c r="ZE313" s="110"/>
      <c r="ZF313" s="110"/>
      <c r="ZG313" s="110"/>
      <c r="ZH313" s="110"/>
      <c r="ZI313" s="110"/>
      <c r="ZJ313" s="110"/>
      <c r="ZK313" s="110"/>
      <c r="ZL313" s="110"/>
      <c r="ZM313" s="110"/>
      <c r="ZN313" s="110"/>
      <c r="ZO313" s="110"/>
      <c r="ZP313" s="110"/>
      <c r="ZQ313" s="110"/>
      <c r="ZR313" s="110"/>
      <c r="ZS313" s="110"/>
      <c r="ZT313" s="110"/>
      <c r="ZU313" s="110"/>
      <c r="ZV313" s="110"/>
      <c r="ZW313" s="110"/>
      <c r="ZX313" s="110"/>
      <c r="ZY313" s="110"/>
      <c r="ZZ313" s="110"/>
      <c r="AAA313" s="110"/>
      <c r="AAB313" s="110"/>
      <c r="AAC313" s="110"/>
      <c r="AAD313" s="110"/>
      <c r="AAE313" s="110"/>
      <c r="AAF313" s="110"/>
      <c r="AAG313" s="110"/>
      <c r="AAH313" s="110"/>
      <c r="AAI313" s="110"/>
      <c r="AAJ313" s="110"/>
      <c r="AAK313" s="110"/>
      <c r="AAL313" s="110"/>
      <c r="AAM313" s="110"/>
      <c r="AAN313" s="110"/>
      <c r="AAO313" s="110"/>
      <c r="AAP313" s="110"/>
      <c r="AAQ313" s="110"/>
      <c r="AAR313" s="110"/>
      <c r="AAS313" s="110"/>
      <c r="AAT313" s="110"/>
      <c r="AAU313" s="110"/>
      <c r="AAV313" s="110"/>
      <c r="AAW313" s="110"/>
      <c r="AAX313" s="110"/>
      <c r="AAY313" s="110"/>
      <c r="AAZ313" s="110"/>
      <c r="ABA313" s="110"/>
      <c r="ABB313" s="110"/>
      <c r="ABC313" s="110"/>
      <c r="ABD313" s="110"/>
      <c r="ABE313" s="110"/>
      <c r="ABF313" s="110"/>
      <c r="ABG313" s="110"/>
      <c r="ABH313" s="110"/>
      <c r="ABI313" s="110"/>
      <c r="ABJ313" s="110"/>
      <c r="ABK313" s="110"/>
      <c r="ABL313" s="110"/>
      <c r="ABM313" s="110"/>
      <c r="ABN313" s="110"/>
      <c r="ABO313" s="110"/>
      <c r="ABP313" s="110"/>
      <c r="ABQ313" s="110"/>
      <c r="ABR313" s="110"/>
      <c r="ABS313" s="110"/>
      <c r="ABT313" s="110"/>
      <c r="ABU313" s="110"/>
      <c r="ABV313" s="110"/>
      <c r="ABW313" s="110"/>
      <c r="ABX313" s="110"/>
      <c r="ABY313" s="110"/>
      <c r="ABZ313" s="110"/>
      <c r="ACA313" s="110"/>
      <c r="ACB313" s="110"/>
      <c r="ACC313" s="110"/>
      <c r="ACD313" s="110"/>
      <c r="ACE313" s="110"/>
      <c r="ACF313" s="110"/>
      <c r="ACG313" s="110"/>
      <c r="ACH313" s="110"/>
      <c r="ACI313" s="110"/>
      <c r="ACJ313" s="110"/>
      <c r="ACK313" s="110"/>
      <c r="ACL313" s="110"/>
      <c r="ACM313" s="110"/>
      <c r="ACN313" s="110"/>
      <c r="ACO313" s="110"/>
      <c r="ACP313" s="110"/>
      <c r="ACQ313" s="110"/>
      <c r="ACR313" s="110"/>
      <c r="ACS313" s="110"/>
      <c r="ACT313" s="110"/>
      <c r="ACU313" s="110"/>
      <c r="ACV313" s="110"/>
      <c r="ACW313" s="110"/>
      <c r="ACX313" s="110"/>
      <c r="ACY313" s="110"/>
      <c r="ACZ313" s="110"/>
      <c r="ADA313" s="110"/>
      <c r="ADB313" s="110"/>
      <c r="ADC313" s="110"/>
      <c r="ADD313" s="110"/>
      <c r="ADE313" s="110"/>
      <c r="ADF313" s="110"/>
      <c r="ADG313" s="110"/>
      <c r="ADH313" s="110"/>
      <c r="ADI313" s="110"/>
      <c r="ADJ313" s="110"/>
      <c r="ADK313" s="110"/>
      <c r="ADL313" s="110"/>
      <c r="ADM313" s="110"/>
      <c r="ADN313" s="110"/>
      <c r="ADO313" s="110"/>
      <c r="ADP313" s="110"/>
      <c r="ADQ313" s="110"/>
      <c r="ADR313" s="110"/>
      <c r="ADS313" s="110"/>
      <c r="ADT313" s="110"/>
      <c r="ADU313" s="110"/>
      <c r="ADV313" s="110"/>
      <c r="ADW313" s="110"/>
      <c r="ADX313" s="110"/>
      <c r="ADY313" s="110"/>
      <c r="ADZ313" s="110"/>
      <c r="AEA313" s="110"/>
      <c r="AEB313" s="110"/>
      <c r="AEC313" s="110"/>
      <c r="AED313" s="110"/>
      <c r="AEE313" s="110"/>
      <c r="AEF313" s="110"/>
      <c r="AEG313" s="110"/>
      <c r="AEH313" s="110"/>
      <c r="AEI313" s="110"/>
      <c r="AEJ313" s="110"/>
      <c r="AEK313" s="110"/>
      <c r="AEL313" s="110"/>
      <c r="AEM313" s="110"/>
      <c r="AEN313" s="110"/>
      <c r="AEO313" s="110"/>
      <c r="AEP313" s="110"/>
      <c r="AEQ313" s="110"/>
      <c r="AER313" s="110"/>
      <c r="AES313" s="110"/>
      <c r="AET313" s="110"/>
      <c r="AEU313" s="110"/>
      <c r="AEV313" s="110"/>
      <c r="AEW313" s="110"/>
      <c r="AEX313" s="110"/>
      <c r="AEY313" s="110"/>
      <c r="AEZ313" s="110"/>
      <c r="AFA313" s="110"/>
      <c r="AFB313" s="110"/>
      <c r="AFC313" s="110"/>
      <c r="AFD313" s="110"/>
      <c r="AFE313" s="110"/>
      <c r="AFF313" s="110"/>
      <c r="AFG313" s="110"/>
      <c r="AFH313" s="110"/>
      <c r="AFI313" s="110"/>
      <c r="AFJ313" s="110"/>
      <c r="AFK313" s="110"/>
      <c r="AFL313" s="110"/>
      <c r="AFM313" s="110"/>
      <c r="AFN313" s="110"/>
      <c r="AFO313" s="110"/>
      <c r="AFP313" s="110"/>
      <c r="AFQ313" s="110"/>
      <c r="AFR313" s="110"/>
      <c r="AFS313" s="110"/>
      <c r="AFT313" s="110"/>
      <c r="AFU313" s="110"/>
      <c r="AFV313" s="110"/>
      <c r="AFW313" s="110"/>
      <c r="AFX313" s="110"/>
      <c r="AFY313" s="110"/>
      <c r="AFZ313" s="110"/>
      <c r="AGA313" s="110"/>
      <c r="AGB313" s="110"/>
      <c r="AGC313" s="110"/>
      <c r="AGD313" s="110"/>
      <c r="AGE313" s="110"/>
      <c r="AGF313" s="110"/>
      <c r="AGG313" s="110"/>
      <c r="AGH313" s="110"/>
      <c r="AGI313" s="110"/>
      <c r="AGJ313" s="110"/>
      <c r="AGK313" s="110"/>
      <c r="AGL313" s="110"/>
      <c r="AGM313" s="110"/>
      <c r="AGN313" s="110"/>
      <c r="AGO313" s="110"/>
      <c r="AGP313" s="110"/>
      <c r="AGQ313" s="110"/>
      <c r="AGR313" s="110"/>
      <c r="AGS313" s="110"/>
      <c r="AGT313" s="110"/>
      <c r="AGU313" s="110"/>
      <c r="AGV313" s="110"/>
      <c r="AGW313" s="110"/>
      <c r="AGX313" s="110"/>
      <c r="AGY313" s="110"/>
      <c r="AGZ313" s="110"/>
      <c r="AHA313" s="110"/>
      <c r="AHB313" s="110"/>
      <c r="AHC313" s="110"/>
      <c r="AHD313" s="110"/>
      <c r="AHE313" s="110"/>
      <c r="AHF313" s="110"/>
      <c r="AHG313" s="110"/>
      <c r="AHH313" s="110"/>
      <c r="AHI313" s="110"/>
      <c r="AHJ313" s="110"/>
      <c r="AHK313" s="110"/>
      <c r="AHL313" s="110"/>
      <c r="AHM313" s="110"/>
      <c r="AHN313" s="110"/>
      <c r="AHO313" s="110"/>
      <c r="AHP313" s="110"/>
      <c r="AHQ313" s="110"/>
      <c r="AHR313" s="110"/>
      <c r="AHS313" s="110"/>
      <c r="AHT313" s="110"/>
      <c r="AHU313" s="110"/>
      <c r="AHV313" s="110"/>
      <c r="AHW313" s="110"/>
      <c r="AHX313" s="110"/>
      <c r="AHY313" s="110"/>
      <c r="AHZ313" s="110"/>
      <c r="AIA313" s="110"/>
      <c r="AIB313" s="110"/>
      <c r="AIC313" s="110"/>
      <c r="AID313" s="110"/>
      <c r="AIE313" s="110"/>
      <c r="AIF313" s="110"/>
      <c r="AIG313" s="110"/>
      <c r="AIH313" s="110"/>
      <c r="AII313" s="110"/>
      <c r="AIJ313" s="110"/>
      <c r="AIK313" s="110"/>
      <c r="AIL313" s="110"/>
      <c r="AIM313" s="110"/>
      <c r="AIN313" s="110"/>
      <c r="AIO313" s="110"/>
      <c r="AIP313" s="110"/>
      <c r="AIQ313" s="110"/>
      <c r="AIR313" s="110"/>
      <c r="AIS313" s="110"/>
      <c r="AIT313" s="110"/>
      <c r="AIU313" s="110"/>
      <c r="AIV313" s="110"/>
      <c r="AIW313" s="110"/>
      <c r="AIX313" s="110"/>
      <c r="AIY313" s="110"/>
      <c r="AIZ313" s="110"/>
      <c r="AJA313" s="110"/>
      <c r="AJB313" s="110"/>
      <c r="AJC313" s="110"/>
      <c r="AJD313" s="110"/>
      <c r="AJE313" s="110"/>
      <c r="AJF313" s="110"/>
      <c r="AJG313" s="110"/>
      <c r="AJH313" s="110"/>
      <c r="AJI313" s="110"/>
      <c r="AJJ313" s="110"/>
      <c r="AJK313" s="110"/>
      <c r="AJL313" s="110"/>
      <c r="AJM313" s="110"/>
      <c r="AJN313" s="110"/>
      <c r="AJO313" s="110"/>
      <c r="AJP313" s="110"/>
      <c r="AJQ313" s="110"/>
      <c r="AJR313" s="110"/>
      <c r="AJS313" s="110"/>
      <c r="AJT313" s="110"/>
      <c r="AJU313" s="110"/>
      <c r="AJV313" s="110"/>
      <c r="AJW313" s="110"/>
      <c r="AJX313" s="110"/>
      <c r="AJY313" s="110"/>
      <c r="AJZ313" s="110"/>
      <c r="AKA313" s="110"/>
      <c r="AKB313" s="110"/>
      <c r="AKC313" s="110"/>
      <c r="AKD313" s="110"/>
      <c r="AKE313" s="110"/>
      <c r="AKF313" s="110"/>
      <c r="AKG313" s="110"/>
      <c r="AKH313" s="110"/>
      <c r="AKI313" s="110"/>
      <c r="AKJ313" s="110"/>
      <c r="AKK313" s="110"/>
      <c r="AKL313" s="110"/>
      <c r="AKM313" s="110"/>
      <c r="AKN313" s="110"/>
      <c r="AKO313" s="110"/>
      <c r="AKP313" s="110"/>
      <c r="AKQ313" s="110"/>
      <c r="AKR313" s="110"/>
      <c r="AKS313" s="110"/>
      <c r="AKT313" s="110"/>
      <c r="AKU313" s="110"/>
      <c r="AKV313" s="110"/>
      <c r="AKW313" s="110"/>
      <c r="AKX313" s="110"/>
      <c r="AKY313" s="110"/>
      <c r="AKZ313" s="110"/>
      <c r="ALA313" s="110"/>
      <c r="ALB313" s="110"/>
      <c r="ALC313" s="110"/>
      <c r="ALD313" s="110"/>
      <c r="ALE313" s="110"/>
      <c r="ALF313" s="110"/>
      <c r="ALG313" s="110"/>
      <c r="ALH313" s="110"/>
      <c r="ALI313" s="110"/>
      <c r="ALJ313" s="110"/>
      <c r="ALK313" s="110"/>
      <c r="ALL313" s="110"/>
      <c r="ALM313" s="110"/>
      <c r="ALN313" s="110"/>
      <c r="ALO313" s="110"/>
      <c r="ALP313" s="110"/>
      <c r="ALQ313" s="110"/>
      <c r="ALR313" s="110"/>
      <c r="ALS313" s="110"/>
      <c r="ALT313" s="110"/>
      <c r="ALU313" s="110"/>
      <c r="ALV313" s="110"/>
      <c r="ALW313" s="110"/>
      <c r="ALX313" s="110"/>
      <c r="ALY313" s="110"/>
      <c r="ALZ313" s="110"/>
      <c r="AMA313" s="110"/>
      <c r="AMB313" s="110"/>
      <c r="AMC313" s="110"/>
      <c r="AMD313" s="110"/>
      <c r="AME313" s="110"/>
      <c r="AMF313" s="110"/>
    </row>
    <row r="314" spans="1:1020" s="142" customFormat="1" ht="11.25" customHeight="1">
      <c r="A314" s="123"/>
      <c r="B314" s="141">
        <v>10</v>
      </c>
      <c r="C314" s="126">
        <v>307</v>
      </c>
      <c r="D314" s="127" t="s">
        <v>488</v>
      </c>
      <c r="E314" s="194">
        <f t="shared" si="52"/>
        <v>1550</v>
      </c>
      <c r="F314" s="125">
        <f>ROUND(E314*Valores!$C$2,2)</f>
        <v>84397.5</v>
      </c>
      <c r="G314" s="192">
        <v>0</v>
      </c>
      <c r="H314" s="125">
        <f>ROUND(G314*Valores!$C$2,2)</f>
        <v>0</v>
      </c>
      <c r="I314" s="192">
        <v>0</v>
      </c>
      <c r="J314" s="125">
        <f>ROUND(I314*Valores!$C$2,2)</f>
        <v>0</v>
      </c>
      <c r="K314" s="192">
        <v>0</v>
      </c>
      <c r="L314" s="125">
        <f>ROUND(K314*Valores!$C$2,2)</f>
        <v>0</v>
      </c>
      <c r="M314" s="125">
        <f>ROUND(IF($H$2=0,IF(AND(A314&lt;&gt;"13-930",A314&lt;&gt;"13-940"),(SUM(F314,H314,J314,L314,X314,T314,R314)*Valores!$C$4),0),0),2)</f>
        <v>23530.88</v>
      </c>
      <c r="N314" s="125">
        <f t="shared" si="42"/>
        <v>0</v>
      </c>
      <c r="O314" s="125">
        <v>0</v>
      </c>
      <c r="P314" s="125">
        <v>0</v>
      </c>
      <c r="Q314" s="125">
        <v>0</v>
      </c>
      <c r="R314" s="125">
        <f>IF($F$4="NO",IF(Valores!$C$49*B314&gt;Valores!$C$46,Valores!$C$46,Valores!$C$49*B314),IF(Valores!$C$49*B314&gt;Valores!$C$46,Valores!$C$46,Valores!$C$49*B314)/2)</f>
        <v>9726</v>
      </c>
      <c r="S314" s="125">
        <v>0</v>
      </c>
      <c r="T314" s="125">
        <f t="shared" si="51"/>
        <v>0</v>
      </c>
      <c r="U314" s="125">
        <v>0</v>
      </c>
      <c r="V314" s="125">
        <v>0</v>
      </c>
      <c r="W314" s="192">
        <v>0</v>
      </c>
      <c r="X314" s="125">
        <f>ROUND(W314*Valores!$C$2,2)</f>
        <v>0</v>
      </c>
      <c r="Y314" s="125">
        <v>0</v>
      </c>
      <c r="Z314" s="125">
        <v>0</v>
      </c>
      <c r="AA314" s="125">
        <v>0</v>
      </c>
      <c r="AB314" s="214">
        <v>0</v>
      </c>
      <c r="AC314" s="125">
        <f t="shared" si="43"/>
        <v>0</v>
      </c>
      <c r="AD314" s="125">
        <v>0</v>
      </c>
      <c r="AE314" s="192">
        <v>0</v>
      </c>
      <c r="AF314" s="125">
        <f>ROUND(AE314*Valores!$C$2,2)</f>
        <v>0</v>
      </c>
      <c r="AG314" s="125">
        <v>0</v>
      </c>
      <c r="AH314" s="125">
        <f t="shared" si="46"/>
        <v>117654.38</v>
      </c>
      <c r="AI314" s="125">
        <v>0</v>
      </c>
      <c r="AJ314" s="125">
        <v>0</v>
      </c>
      <c r="AK314" s="125">
        <v>0</v>
      </c>
      <c r="AL314" s="125">
        <v>0</v>
      </c>
      <c r="AM314" s="125">
        <f t="shared" si="44"/>
        <v>0</v>
      </c>
      <c r="AN314" s="125">
        <f>AH314*Valores!$C$71</f>
        <v>-12941.981800000001</v>
      </c>
      <c r="AO314" s="125">
        <f>AH314*-Valores!$C$72</f>
        <v>0</v>
      </c>
      <c r="AP314" s="125">
        <f>AH314*Valores!$C$73</f>
        <v>-5294.4471</v>
      </c>
      <c r="AQ314" s="125">
        <v>0</v>
      </c>
      <c r="AR314" s="125">
        <v>0</v>
      </c>
      <c r="AS314" s="125">
        <f t="shared" si="47"/>
        <v>99417.9511</v>
      </c>
      <c r="AT314" s="125">
        <f t="shared" si="41"/>
        <v>-12941.981800000001</v>
      </c>
      <c r="AU314" s="125">
        <f>AH314*Valores!$C$74</f>
        <v>-3176.66826</v>
      </c>
      <c r="AV314" s="125">
        <f>AH314*Valores!$C$75</f>
        <v>-352.96314</v>
      </c>
      <c r="AW314" s="125">
        <f t="shared" si="45"/>
        <v>101182.7668</v>
      </c>
      <c r="AX314" s="126"/>
      <c r="AY314" s="126"/>
      <c r="AZ314" s="123"/>
      <c r="BA314" s="110"/>
      <c r="BB314" s="110"/>
      <c r="BC314" s="110"/>
      <c r="BD314" s="110"/>
      <c r="BE314" s="110"/>
      <c r="BF314" s="110"/>
      <c r="BG314" s="110"/>
      <c r="BH314" s="110"/>
      <c r="BI314" s="110"/>
      <c r="BJ314" s="110"/>
      <c r="BK314" s="110"/>
      <c r="BL314" s="110"/>
      <c r="BM314" s="110"/>
      <c r="BN314" s="110"/>
      <c r="BO314" s="110"/>
      <c r="BP314" s="110"/>
      <c r="BQ314" s="110"/>
      <c r="BR314" s="110"/>
      <c r="BS314" s="110"/>
      <c r="BT314" s="110"/>
      <c r="BU314" s="110"/>
      <c r="BV314" s="110"/>
      <c r="BW314" s="110"/>
      <c r="BX314" s="110"/>
      <c r="BY314" s="110"/>
      <c r="BZ314" s="110"/>
      <c r="CA314" s="110"/>
      <c r="CB314" s="110"/>
      <c r="CC314" s="110"/>
      <c r="CD314" s="110"/>
      <c r="CE314" s="110"/>
      <c r="CF314" s="110"/>
      <c r="CG314" s="110"/>
      <c r="CH314" s="110"/>
      <c r="CI314" s="110"/>
      <c r="CJ314" s="110"/>
      <c r="CK314" s="110"/>
      <c r="CL314" s="110"/>
      <c r="CM314" s="110"/>
      <c r="CN314" s="110"/>
      <c r="CO314" s="110"/>
      <c r="CP314" s="110"/>
      <c r="CQ314" s="110"/>
      <c r="CR314" s="110"/>
      <c r="CS314" s="110"/>
      <c r="CT314" s="110"/>
      <c r="CU314" s="110"/>
      <c r="CV314" s="110"/>
      <c r="CW314" s="110"/>
      <c r="CX314" s="110"/>
      <c r="CY314" s="110"/>
      <c r="CZ314" s="110"/>
      <c r="DA314" s="110"/>
      <c r="DB314" s="110"/>
      <c r="DC314" s="110"/>
      <c r="DD314" s="110"/>
      <c r="DE314" s="110"/>
      <c r="DF314" s="110"/>
      <c r="DG314" s="110"/>
      <c r="DH314" s="110"/>
      <c r="DI314" s="110"/>
      <c r="DJ314" s="110"/>
      <c r="DK314" s="110"/>
      <c r="DL314" s="110"/>
      <c r="DM314" s="110"/>
      <c r="DN314" s="110"/>
      <c r="DO314" s="110"/>
      <c r="DP314" s="110"/>
      <c r="DQ314" s="110"/>
      <c r="DR314" s="110"/>
      <c r="DS314" s="110"/>
      <c r="DT314" s="110"/>
      <c r="DU314" s="110"/>
      <c r="DV314" s="110"/>
      <c r="DW314" s="110"/>
      <c r="DX314" s="110"/>
      <c r="DY314" s="110"/>
      <c r="DZ314" s="110"/>
      <c r="EA314" s="110"/>
      <c r="EB314" s="110"/>
      <c r="EC314" s="110"/>
      <c r="ED314" s="110"/>
      <c r="EE314" s="110"/>
      <c r="EF314" s="110"/>
      <c r="EG314" s="110"/>
      <c r="EH314" s="110"/>
      <c r="EI314" s="110"/>
      <c r="EJ314" s="110"/>
      <c r="EK314" s="110"/>
      <c r="EL314" s="110"/>
      <c r="EM314" s="110"/>
      <c r="EN314" s="110"/>
      <c r="EO314" s="110"/>
      <c r="EP314" s="110"/>
      <c r="EQ314" s="110"/>
      <c r="ER314" s="110"/>
      <c r="ES314" s="110"/>
      <c r="ET314" s="110"/>
      <c r="EU314" s="110"/>
      <c r="EV314" s="110"/>
      <c r="EW314" s="110"/>
      <c r="EX314" s="110"/>
      <c r="EY314" s="110"/>
      <c r="EZ314" s="110"/>
      <c r="FA314" s="110"/>
      <c r="FB314" s="110"/>
      <c r="FC314" s="110"/>
      <c r="FD314" s="110"/>
      <c r="FE314" s="110"/>
      <c r="FF314" s="110"/>
      <c r="FG314" s="110"/>
      <c r="FH314" s="110"/>
      <c r="FI314" s="110"/>
      <c r="FJ314" s="110"/>
      <c r="FK314" s="110"/>
      <c r="FL314" s="110"/>
      <c r="FM314" s="110"/>
      <c r="FN314" s="110"/>
      <c r="FO314" s="110"/>
      <c r="FP314" s="110"/>
      <c r="FQ314" s="110"/>
      <c r="FR314" s="110"/>
      <c r="FS314" s="110"/>
      <c r="FT314" s="110"/>
      <c r="FU314" s="110"/>
      <c r="FV314" s="110"/>
      <c r="FW314" s="110"/>
      <c r="FX314" s="110"/>
      <c r="FY314" s="110"/>
      <c r="FZ314" s="110"/>
      <c r="GA314" s="110"/>
      <c r="GB314" s="110"/>
      <c r="GC314" s="110"/>
      <c r="GD314" s="110"/>
      <c r="GE314" s="110"/>
      <c r="GF314" s="110"/>
      <c r="GG314" s="110"/>
      <c r="GH314" s="110"/>
      <c r="GI314" s="110"/>
      <c r="GJ314" s="110"/>
      <c r="GK314" s="110"/>
      <c r="GL314" s="110"/>
      <c r="GM314" s="110"/>
      <c r="GN314" s="110"/>
      <c r="GO314" s="110"/>
      <c r="GP314" s="110"/>
      <c r="GQ314" s="110"/>
      <c r="GR314" s="110"/>
      <c r="GS314" s="110"/>
      <c r="GT314" s="110"/>
      <c r="GU314" s="110"/>
      <c r="GV314" s="110"/>
      <c r="GW314" s="110"/>
      <c r="GX314" s="110"/>
      <c r="GY314" s="110"/>
      <c r="GZ314" s="110"/>
      <c r="HA314" s="110"/>
      <c r="HB314" s="110"/>
      <c r="HC314" s="110"/>
      <c r="HD314" s="110"/>
      <c r="HE314" s="110"/>
      <c r="HF314" s="110"/>
      <c r="HG314" s="110"/>
      <c r="HH314" s="110"/>
      <c r="HI314" s="110"/>
      <c r="HJ314" s="110"/>
      <c r="HK314" s="110"/>
      <c r="HL314" s="110"/>
      <c r="HM314" s="110"/>
      <c r="HN314" s="110"/>
      <c r="HO314" s="110"/>
      <c r="HP314" s="110"/>
      <c r="HQ314" s="110"/>
      <c r="HR314" s="110"/>
      <c r="HS314" s="110"/>
      <c r="HT314" s="110"/>
      <c r="HU314" s="110"/>
      <c r="HV314" s="110"/>
      <c r="HW314" s="110"/>
      <c r="HX314" s="110"/>
      <c r="HY314" s="110"/>
      <c r="HZ314" s="110"/>
      <c r="IA314" s="110"/>
      <c r="IB314" s="110"/>
      <c r="IC314" s="110"/>
      <c r="ID314" s="110"/>
      <c r="IE314" s="110"/>
      <c r="IF314" s="110"/>
      <c r="IG314" s="110"/>
      <c r="IH314" s="110"/>
      <c r="II314" s="110"/>
      <c r="IJ314" s="110"/>
      <c r="IK314" s="110"/>
      <c r="IL314" s="110"/>
      <c r="IM314" s="110"/>
      <c r="IN314" s="110"/>
      <c r="IO314" s="110"/>
      <c r="IP314" s="110"/>
      <c r="IQ314" s="110"/>
      <c r="IR314" s="110"/>
      <c r="IS314" s="110"/>
      <c r="IT314" s="110"/>
      <c r="IU314" s="110"/>
      <c r="IV314" s="110"/>
      <c r="IW314" s="110"/>
      <c r="IX314" s="110"/>
      <c r="IY314" s="110"/>
      <c r="IZ314" s="110"/>
      <c r="JA314" s="110"/>
      <c r="JB314" s="110"/>
      <c r="JC314" s="110"/>
      <c r="JD314" s="110"/>
      <c r="JE314" s="110"/>
      <c r="JF314" s="110"/>
      <c r="JG314" s="110"/>
      <c r="JH314" s="110"/>
      <c r="JI314" s="110"/>
      <c r="JJ314" s="110"/>
      <c r="JK314" s="110"/>
      <c r="JL314" s="110"/>
      <c r="JM314" s="110"/>
      <c r="JN314" s="110"/>
      <c r="JO314" s="110"/>
      <c r="JP314" s="110"/>
      <c r="JQ314" s="110"/>
      <c r="JR314" s="110"/>
      <c r="JS314" s="110"/>
      <c r="JT314" s="110"/>
      <c r="JU314" s="110"/>
      <c r="JV314" s="110"/>
      <c r="JW314" s="110"/>
      <c r="JX314" s="110"/>
      <c r="JY314" s="110"/>
      <c r="JZ314" s="110"/>
      <c r="KA314" s="110"/>
      <c r="KB314" s="110"/>
      <c r="KC314" s="110"/>
      <c r="KD314" s="110"/>
      <c r="KE314" s="110"/>
      <c r="KF314" s="110"/>
      <c r="KG314" s="110"/>
      <c r="KH314" s="110"/>
      <c r="KI314" s="110"/>
      <c r="KJ314" s="110"/>
      <c r="KK314" s="110"/>
      <c r="KL314" s="110"/>
      <c r="KM314" s="110"/>
      <c r="KN314" s="110"/>
      <c r="KO314" s="110"/>
      <c r="KP314" s="110"/>
      <c r="KQ314" s="110"/>
      <c r="KR314" s="110"/>
      <c r="KS314" s="110"/>
      <c r="KT314" s="110"/>
      <c r="KU314" s="110"/>
      <c r="KV314" s="110"/>
      <c r="KW314" s="110"/>
      <c r="KX314" s="110"/>
      <c r="KY314" s="110"/>
      <c r="KZ314" s="110"/>
      <c r="LA314" s="110"/>
      <c r="LB314" s="110"/>
      <c r="LC314" s="110"/>
      <c r="LD314" s="110"/>
      <c r="LE314" s="110"/>
      <c r="LF314" s="110"/>
      <c r="LG314" s="110"/>
      <c r="LH314" s="110"/>
      <c r="LI314" s="110"/>
      <c r="LJ314" s="110"/>
      <c r="LK314" s="110"/>
      <c r="LL314" s="110"/>
      <c r="LM314" s="110"/>
      <c r="LN314" s="110"/>
      <c r="LO314" s="110"/>
      <c r="LP314" s="110"/>
      <c r="LQ314" s="110"/>
      <c r="LR314" s="110"/>
      <c r="LS314" s="110"/>
      <c r="LT314" s="110"/>
      <c r="LU314" s="110"/>
      <c r="LV314" s="110"/>
      <c r="LW314" s="110"/>
      <c r="LX314" s="110"/>
      <c r="LY314" s="110"/>
      <c r="LZ314" s="110"/>
      <c r="MA314" s="110"/>
      <c r="MB314" s="110"/>
      <c r="MC314" s="110"/>
      <c r="MD314" s="110"/>
      <c r="ME314" s="110"/>
      <c r="MF314" s="110"/>
      <c r="MG314" s="110"/>
      <c r="MH314" s="110"/>
      <c r="MI314" s="110"/>
      <c r="MJ314" s="110"/>
      <c r="MK314" s="110"/>
      <c r="ML314" s="110"/>
      <c r="MM314" s="110"/>
      <c r="MN314" s="110"/>
      <c r="MO314" s="110"/>
      <c r="MP314" s="110"/>
      <c r="MQ314" s="110"/>
      <c r="MR314" s="110"/>
      <c r="MS314" s="110"/>
      <c r="MT314" s="110"/>
      <c r="MU314" s="110"/>
      <c r="MV314" s="110"/>
      <c r="MW314" s="110"/>
      <c r="MX314" s="110"/>
      <c r="MY314" s="110"/>
      <c r="MZ314" s="110"/>
      <c r="NA314" s="110"/>
      <c r="NB314" s="110"/>
      <c r="NC314" s="110"/>
      <c r="ND314" s="110"/>
      <c r="NE314" s="110"/>
      <c r="NF314" s="110"/>
      <c r="NG314" s="110"/>
      <c r="NH314" s="110"/>
      <c r="NI314" s="110"/>
      <c r="NJ314" s="110"/>
      <c r="NK314" s="110"/>
      <c r="NL314" s="110"/>
      <c r="NM314" s="110"/>
      <c r="NN314" s="110"/>
      <c r="NO314" s="110"/>
      <c r="NP314" s="110"/>
      <c r="NQ314" s="110"/>
      <c r="NR314" s="110"/>
      <c r="NS314" s="110"/>
      <c r="NT314" s="110"/>
      <c r="NU314" s="110"/>
      <c r="NV314" s="110"/>
      <c r="NW314" s="110"/>
      <c r="NX314" s="110"/>
      <c r="NY314" s="110"/>
      <c r="NZ314" s="110"/>
      <c r="OA314" s="110"/>
      <c r="OB314" s="110"/>
      <c r="OC314" s="110"/>
      <c r="OD314" s="110"/>
      <c r="OE314" s="110"/>
      <c r="OF314" s="110"/>
      <c r="OG314" s="110"/>
      <c r="OH314" s="110"/>
      <c r="OI314" s="110"/>
      <c r="OJ314" s="110"/>
      <c r="OK314" s="110"/>
      <c r="OL314" s="110"/>
      <c r="OM314" s="110"/>
      <c r="ON314" s="110"/>
      <c r="OO314" s="110"/>
      <c r="OP314" s="110"/>
      <c r="OQ314" s="110"/>
      <c r="OR314" s="110"/>
      <c r="OS314" s="110"/>
      <c r="OT314" s="110"/>
      <c r="OU314" s="110"/>
      <c r="OV314" s="110"/>
      <c r="OW314" s="110"/>
      <c r="OX314" s="110"/>
      <c r="OY314" s="110"/>
      <c r="OZ314" s="110"/>
      <c r="PA314" s="110"/>
      <c r="PB314" s="110"/>
      <c r="PC314" s="110"/>
      <c r="PD314" s="110"/>
      <c r="PE314" s="110"/>
      <c r="PF314" s="110"/>
      <c r="PG314" s="110"/>
      <c r="PH314" s="110"/>
      <c r="PI314" s="110"/>
      <c r="PJ314" s="110"/>
      <c r="PK314" s="110"/>
      <c r="PL314" s="110"/>
      <c r="PM314" s="110"/>
      <c r="PN314" s="110"/>
      <c r="PO314" s="110"/>
      <c r="PP314" s="110"/>
      <c r="PQ314" s="110"/>
      <c r="PR314" s="110"/>
      <c r="PS314" s="110"/>
      <c r="PT314" s="110"/>
      <c r="PU314" s="110"/>
      <c r="PV314" s="110"/>
      <c r="PW314" s="110"/>
      <c r="PX314" s="110"/>
      <c r="PY314" s="110"/>
      <c r="PZ314" s="110"/>
      <c r="QA314" s="110"/>
      <c r="QB314" s="110"/>
      <c r="QC314" s="110"/>
      <c r="QD314" s="110"/>
      <c r="QE314" s="110"/>
      <c r="QF314" s="110"/>
      <c r="QG314" s="110"/>
      <c r="QH314" s="110"/>
      <c r="QI314" s="110"/>
      <c r="QJ314" s="110"/>
      <c r="QK314" s="110"/>
      <c r="QL314" s="110"/>
      <c r="QM314" s="110"/>
      <c r="QN314" s="110"/>
      <c r="QO314" s="110"/>
      <c r="QP314" s="110"/>
      <c r="QQ314" s="110"/>
      <c r="QR314" s="110"/>
      <c r="QS314" s="110"/>
      <c r="QT314" s="110"/>
      <c r="QU314" s="110"/>
      <c r="QV314" s="110"/>
      <c r="QW314" s="110"/>
      <c r="QX314" s="110"/>
      <c r="QY314" s="110"/>
      <c r="QZ314" s="110"/>
      <c r="RA314" s="110"/>
      <c r="RB314" s="110"/>
      <c r="RC314" s="110"/>
      <c r="RD314" s="110"/>
      <c r="RE314" s="110"/>
      <c r="RF314" s="110"/>
      <c r="RG314" s="110"/>
      <c r="RH314" s="110"/>
      <c r="RI314" s="110"/>
      <c r="RJ314" s="110"/>
      <c r="RK314" s="110"/>
      <c r="RL314" s="110"/>
      <c r="RM314" s="110"/>
      <c r="RN314" s="110"/>
      <c r="RO314" s="110"/>
      <c r="RP314" s="110"/>
      <c r="RQ314" s="110"/>
      <c r="RR314" s="110"/>
      <c r="RS314" s="110"/>
      <c r="RT314" s="110"/>
      <c r="RU314" s="110"/>
      <c r="RV314" s="110"/>
      <c r="RW314" s="110"/>
      <c r="RX314" s="110"/>
      <c r="RY314" s="110"/>
      <c r="RZ314" s="110"/>
      <c r="SA314" s="110"/>
      <c r="SB314" s="110"/>
      <c r="SC314" s="110"/>
      <c r="SD314" s="110"/>
      <c r="SE314" s="110"/>
      <c r="SF314" s="110"/>
      <c r="SG314" s="110"/>
      <c r="SH314" s="110"/>
      <c r="SI314" s="110"/>
      <c r="SJ314" s="110"/>
      <c r="SK314" s="110"/>
      <c r="SL314" s="110"/>
      <c r="SM314" s="110"/>
      <c r="SN314" s="110"/>
      <c r="SO314" s="110"/>
      <c r="SP314" s="110"/>
      <c r="SQ314" s="110"/>
      <c r="SR314" s="110"/>
      <c r="SS314" s="110"/>
      <c r="ST314" s="110"/>
      <c r="SU314" s="110"/>
      <c r="SV314" s="110"/>
      <c r="SW314" s="110"/>
      <c r="SX314" s="110"/>
      <c r="SY314" s="110"/>
      <c r="SZ314" s="110"/>
      <c r="TA314" s="110"/>
      <c r="TB314" s="110"/>
      <c r="TC314" s="110"/>
      <c r="TD314" s="110"/>
      <c r="TE314" s="110"/>
      <c r="TF314" s="110"/>
      <c r="TG314" s="110"/>
      <c r="TH314" s="110"/>
      <c r="TI314" s="110"/>
      <c r="TJ314" s="110"/>
      <c r="TK314" s="110"/>
      <c r="TL314" s="110"/>
      <c r="TM314" s="110"/>
      <c r="TN314" s="110"/>
      <c r="TO314" s="110"/>
      <c r="TP314" s="110"/>
      <c r="TQ314" s="110"/>
      <c r="TR314" s="110"/>
      <c r="TS314" s="110"/>
      <c r="TT314" s="110"/>
      <c r="TU314" s="110"/>
      <c r="TV314" s="110"/>
      <c r="TW314" s="110"/>
      <c r="TX314" s="110"/>
      <c r="TY314" s="110"/>
      <c r="TZ314" s="110"/>
      <c r="UA314" s="110"/>
      <c r="UB314" s="110"/>
      <c r="UC314" s="110"/>
      <c r="UD314" s="110"/>
      <c r="UE314" s="110"/>
      <c r="UF314" s="110"/>
      <c r="UG314" s="110"/>
      <c r="UH314" s="110"/>
      <c r="UI314" s="110"/>
      <c r="UJ314" s="110"/>
      <c r="UK314" s="110"/>
      <c r="UL314" s="110"/>
      <c r="UM314" s="110"/>
      <c r="UN314" s="110"/>
      <c r="UO314" s="110"/>
      <c r="UP314" s="110"/>
      <c r="UQ314" s="110"/>
      <c r="UR314" s="110"/>
      <c r="US314" s="110"/>
      <c r="UT314" s="110"/>
      <c r="UU314" s="110"/>
      <c r="UV314" s="110"/>
      <c r="UW314" s="110"/>
      <c r="UX314" s="110"/>
      <c r="UY314" s="110"/>
      <c r="UZ314" s="110"/>
      <c r="VA314" s="110"/>
      <c r="VB314" s="110"/>
      <c r="VC314" s="110"/>
      <c r="VD314" s="110"/>
      <c r="VE314" s="110"/>
      <c r="VF314" s="110"/>
      <c r="VG314" s="110"/>
      <c r="VH314" s="110"/>
      <c r="VI314" s="110"/>
      <c r="VJ314" s="110"/>
      <c r="VK314" s="110"/>
      <c r="VL314" s="110"/>
      <c r="VM314" s="110"/>
      <c r="VN314" s="110"/>
      <c r="VO314" s="110"/>
      <c r="VP314" s="110"/>
      <c r="VQ314" s="110"/>
      <c r="VR314" s="110"/>
      <c r="VS314" s="110"/>
      <c r="VT314" s="110"/>
      <c r="VU314" s="110"/>
      <c r="VV314" s="110"/>
      <c r="VW314" s="110"/>
      <c r="VX314" s="110"/>
      <c r="VY314" s="110"/>
      <c r="VZ314" s="110"/>
      <c r="WA314" s="110"/>
      <c r="WB314" s="110"/>
      <c r="WC314" s="110"/>
      <c r="WD314" s="110"/>
      <c r="WE314" s="110"/>
      <c r="WF314" s="110"/>
      <c r="WG314" s="110"/>
      <c r="WH314" s="110"/>
      <c r="WI314" s="110"/>
      <c r="WJ314" s="110"/>
      <c r="WK314" s="110"/>
      <c r="WL314" s="110"/>
      <c r="WM314" s="110"/>
      <c r="WN314" s="110"/>
      <c r="WO314" s="110"/>
      <c r="WP314" s="110"/>
      <c r="WQ314" s="110"/>
      <c r="WR314" s="110"/>
      <c r="WS314" s="110"/>
      <c r="WT314" s="110"/>
      <c r="WU314" s="110"/>
      <c r="WV314" s="110"/>
      <c r="WW314" s="110"/>
      <c r="WX314" s="110"/>
      <c r="WY314" s="110"/>
      <c r="WZ314" s="110"/>
      <c r="XA314" s="110"/>
      <c r="XB314" s="110"/>
      <c r="XC314" s="110"/>
      <c r="XD314" s="110"/>
      <c r="XE314" s="110"/>
      <c r="XF314" s="110"/>
      <c r="XG314" s="110"/>
      <c r="XH314" s="110"/>
      <c r="XI314" s="110"/>
      <c r="XJ314" s="110"/>
      <c r="XK314" s="110"/>
      <c r="XL314" s="110"/>
      <c r="XM314" s="110"/>
      <c r="XN314" s="110"/>
      <c r="XO314" s="110"/>
      <c r="XP314" s="110"/>
      <c r="XQ314" s="110"/>
      <c r="XR314" s="110"/>
      <c r="XS314" s="110"/>
      <c r="XT314" s="110"/>
      <c r="XU314" s="110"/>
      <c r="XV314" s="110"/>
      <c r="XW314" s="110"/>
      <c r="XX314" s="110"/>
      <c r="XY314" s="110"/>
      <c r="XZ314" s="110"/>
      <c r="YA314" s="110"/>
      <c r="YB314" s="110"/>
      <c r="YC314" s="110"/>
      <c r="YD314" s="110"/>
      <c r="YE314" s="110"/>
      <c r="YF314" s="110"/>
      <c r="YG314" s="110"/>
      <c r="YH314" s="110"/>
      <c r="YI314" s="110"/>
      <c r="YJ314" s="110"/>
      <c r="YK314" s="110"/>
      <c r="YL314" s="110"/>
      <c r="YM314" s="110"/>
      <c r="YN314" s="110"/>
      <c r="YO314" s="110"/>
      <c r="YP314" s="110"/>
      <c r="YQ314" s="110"/>
      <c r="YR314" s="110"/>
      <c r="YS314" s="110"/>
      <c r="YT314" s="110"/>
      <c r="YU314" s="110"/>
      <c r="YV314" s="110"/>
      <c r="YW314" s="110"/>
      <c r="YX314" s="110"/>
      <c r="YY314" s="110"/>
      <c r="YZ314" s="110"/>
      <c r="ZA314" s="110"/>
      <c r="ZB314" s="110"/>
      <c r="ZC314" s="110"/>
      <c r="ZD314" s="110"/>
      <c r="ZE314" s="110"/>
      <c r="ZF314" s="110"/>
      <c r="ZG314" s="110"/>
      <c r="ZH314" s="110"/>
      <c r="ZI314" s="110"/>
      <c r="ZJ314" s="110"/>
      <c r="ZK314" s="110"/>
      <c r="ZL314" s="110"/>
      <c r="ZM314" s="110"/>
      <c r="ZN314" s="110"/>
      <c r="ZO314" s="110"/>
      <c r="ZP314" s="110"/>
      <c r="ZQ314" s="110"/>
      <c r="ZR314" s="110"/>
      <c r="ZS314" s="110"/>
      <c r="ZT314" s="110"/>
      <c r="ZU314" s="110"/>
      <c r="ZV314" s="110"/>
      <c r="ZW314" s="110"/>
      <c r="ZX314" s="110"/>
      <c r="ZY314" s="110"/>
      <c r="ZZ314" s="110"/>
      <c r="AAA314" s="110"/>
      <c r="AAB314" s="110"/>
      <c r="AAC314" s="110"/>
      <c r="AAD314" s="110"/>
      <c r="AAE314" s="110"/>
      <c r="AAF314" s="110"/>
      <c r="AAG314" s="110"/>
      <c r="AAH314" s="110"/>
      <c r="AAI314" s="110"/>
      <c r="AAJ314" s="110"/>
      <c r="AAK314" s="110"/>
      <c r="AAL314" s="110"/>
      <c r="AAM314" s="110"/>
      <c r="AAN314" s="110"/>
      <c r="AAO314" s="110"/>
      <c r="AAP314" s="110"/>
      <c r="AAQ314" s="110"/>
      <c r="AAR314" s="110"/>
      <c r="AAS314" s="110"/>
      <c r="AAT314" s="110"/>
      <c r="AAU314" s="110"/>
      <c r="AAV314" s="110"/>
      <c r="AAW314" s="110"/>
      <c r="AAX314" s="110"/>
      <c r="AAY314" s="110"/>
      <c r="AAZ314" s="110"/>
      <c r="ABA314" s="110"/>
      <c r="ABB314" s="110"/>
      <c r="ABC314" s="110"/>
      <c r="ABD314" s="110"/>
      <c r="ABE314" s="110"/>
      <c r="ABF314" s="110"/>
      <c r="ABG314" s="110"/>
      <c r="ABH314" s="110"/>
      <c r="ABI314" s="110"/>
      <c r="ABJ314" s="110"/>
      <c r="ABK314" s="110"/>
      <c r="ABL314" s="110"/>
      <c r="ABM314" s="110"/>
      <c r="ABN314" s="110"/>
      <c r="ABO314" s="110"/>
      <c r="ABP314" s="110"/>
      <c r="ABQ314" s="110"/>
      <c r="ABR314" s="110"/>
      <c r="ABS314" s="110"/>
      <c r="ABT314" s="110"/>
      <c r="ABU314" s="110"/>
      <c r="ABV314" s="110"/>
      <c r="ABW314" s="110"/>
      <c r="ABX314" s="110"/>
      <c r="ABY314" s="110"/>
      <c r="ABZ314" s="110"/>
      <c r="ACA314" s="110"/>
      <c r="ACB314" s="110"/>
      <c r="ACC314" s="110"/>
      <c r="ACD314" s="110"/>
      <c r="ACE314" s="110"/>
      <c r="ACF314" s="110"/>
      <c r="ACG314" s="110"/>
      <c r="ACH314" s="110"/>
      <c r="ACI314" s="110"/>
      <c r="ACJ314" s="110"/>
      <c r="ACK314" s="110"/>
      <c r="ACL314" s="110"/>
      <c r="ACM314" s="110"/>
      <c r="ACN314" s="110"/>
      <c r="ACO314" s="110"/>
      <c r="ACP314" s="110"/>
      <c r="ACQ314" s="110"/>
      <c r="ACR314" s="110"/>
      <c r="ACS314" s="110"/>
      <c r="ACT314" s="110"/>
      <c r="ACU314" s="110"/>
      <c r="ACV314" s="110"/>
      <c r="ACW314" s="110"/>
      <c r="ACX314" s="110"/>
      <c r="ACY314" s="110"/>
      <c r="ACZ314" s="110"/>
      <c r="ADA314" s="110"/>
      <c r="ADB314" s="110"/>
      <c r="ADC314" s="110"/>
      <c r="ADD314" s="110"/>
      <c r="ADE314" s="110"/>
      <c r="ADF314" s="110"/>
      <c r="ADG314" s="110"/>
      <c r="ADH314" s="110"/>
      <c r="ADI314" s="110"/>
      <c r="ADJ314" s="110"/>
      <c r="ADK314" s="110"/>
      <c r="ADL314" s="110"/>
      <c r="ADM314" s="110"/>
      <c r="ADN314" s="110"/>
      <c r="ADO314" s="110"/>
      <c r="ADP314" s="110"/>
      <c r="ADQ314" s="110"/>
      <c r="ADR314" s="110"/>
      <c r="ADS314" s="110"/>
      <c r="ADT314" s="110"/>
      <c r="ADU314" s="110"/>
      <c r="ADV314" s="110"/>
      <c r="ADW314" s="110"/>
      <c r="ADX314" s="110"/>
      <c r="ADY314" s="110"/>
      <c r="ADZ314" s="110"/>
      <c r="AEA314" s="110"/>
      <c r="AEB314" s="110"/>
      <c r="AEC314" s="110"/>
      <c r="AED314" s="110"/>
      <c r="AEE314" s="110"/>
      <c r="AEF314" s="110"/>
      <c r="AEG314" s="110"/>
      <c r="AEH314" s="110"/>
      <c r="AEI314" s="110"/>
      <c r="AEJ314" s="110"/>
      <c r="AEK314" s="110"/>
      <c r="AEL314" s="110"/>
      <c r="AEM314" s="110"/>
      <c r="AEN314" s="110"/>
      <c r="AEO314" s="110"/>
      <c r="AEP314" s="110"/>
      <c r="AEQ314" s="110"/>
      <c r="AER314" s="110"/>
      <c r="AES314" s="110"/>
      <c r="AET314" s="110"/>
      <c r="AEU314" s="110"/>
      <c r="AEV314" s="110"/>
      <c r="AEW314" s="110"/>
      <c r="AEX314" s="110"/>
      <c r="AEY314" s="110"/>
      <c r="AEZ314" s="110"/>
      <c r="AFA314" s="110"/>
      <c r="AFB314" s="110"/>
      <c r="AFC314" s="110"/>
      <c r="AFD314" s="110"/>
      <c r="AFE314" s="110"/>
      <c r="AFF314" s="110"/>
      <c r="AFG314" s="110"/>
      <c r="AFH314" s="110"/>
      <c r="AFI314" s="110"/>
      <c r="AFJ314" s="110"/>
      <c r="AFK314" s="110"/>
      <c r="AFL314" s="110"/>
      <c r="AFM314" s="110"/>
      <c r="AFN314" s="110"/>
      <c r="AFO314" s="110"/>
      <c r="AFP314" s="110"/>
      <c r="AFQ314" s="110"/>
      <c r="AFR314" s="110"/>
      <c r="AFS314" s="110"/>
      <c r="AFT314" s="110"/>
      <c r="AFU314" s="110"/>
      <c r="AFV314" s="110"/>
      <c r="AFW314" s="110"/>
      <c r="AFX314" s="110"/>
      <c r="AFY314" s="110"/>
      <c r="AFZ314" s="110"/>
      <c r="AGA314" s="110"/>
      <c r="AGB314" s="110"/>
      <c r="AGC314" s="110"/>
      <c r="AGD314" s="110"/>
      <c r="AGE314" s="110"/>
      <c r="AGF314" s="110"/>
      <c r="AGG314" s="110"/>
      <c r="AGH314" s="110"/>
      <c r="AGI314" s="110"/>
      <c r="AGJ314" s="110"/>
      <c r="AGK314" s="110"/>
      <c r="AGL314" s="110"/>
      <c r="AGM314" s="110"/>
      <c r="AGN314" s="110"/>
      <c r="AGO314" s="110"/>
      <c r="AGP314" s="110"/>
      <c r="AGQ314" s="110"/>
      <c r="AGR314" s="110"/>
      <c r="AGS314" s="110"/>
      <c r="AGT314" s="110"/>
      <c r="AGU314" s="110"/>
      <c r="AGV314" s="110"/>
      <c r="AGW314" s="110"/>
      <c r="AGX314" s="110"/>
      <c r="AGY314" s="110"/>
      <c r="AGZ314" s="110"/>
      <c r="AHA314" s="110"/>
      <c r="AHB314" s="110"/>
      <c r="AHC314" s="110"/>
      <c r="AHD314" s="110"/>
      <c r="AHE314" s="110"/>
      <c r="AHF314" s="110"/>
      <c r="AHG314" s="110"/>
      <c r="AHH314" s="110"/>
      <c r="AHI314" s="110"/>
      <c r="AHJ314" s="110"/>
      <c r="AHK314" s="110"/>
      <c r="AHL314" s="110"/>
      <c r="AHM314" s="110"/>
      <c r="AHN314" s="110"/>
      <c r="AHO314" s="110"/>
      <c r="AHP314" s="110"/>
      <c r="AHQ314" s="110"/>
      <c r="AHR314" s="110"/>
      <c r="AHS314" s="110"/>
      <c r="AHT314" s="110"/>
      <c r="AHU314" s="110"/>
      <c r="AHV314" s="110"/>
      <c r="AHW314" s="110"/>
      <c r="AHX314" s="110"/>
      <c r="AHY314" s="110"/>
      <c r="AHZ314" s="110"/>
      <c r="AIA314" s="110"/>
      <c r="AIB314" s="110"/>
      <c r="AIC314" s="110"/>
      <c r="AID314" s="110"/>
      <c r="AIE314" s="110"/>
      <c r="AIF314" s="110"/>
      <c r="AIG314" s="110"/>
      <c r="AIH314" s="110"/>
      <c r="AII314" s="110"/>
      <c r="AIJ314" s="110"/>
      <c r="AIK314" s="110"/>
      <c r="AIL314" s="110"/>
      <c r="AIM314" s="110"/>
      <c r="AIN314" s="110"/>
      <c r="AIO314" s="110"/>
      <c r="AIP314" s="110"/>
      <c r="AIQ314" s="110"/>
      <c r="AIR314" s="110"/>
      <c r="AIS314" s="110"/>
      <c r="AIT314" s="110"/>
      <c r="AIU314" s="110"/>
      <c r="AIV314" s="110"/>
      <c r="AIW314" s="110"/>
      <c r="AIX314" s="110"/>
      <c r="AIY314" s="110"/>
      <c r="AIZ314" s="110"/>
      <c r="AJA314" s="110"/>
      <c r="AJB314" s="110"/>
      <c r="AJC314" s="110"/>
      <c r="AJD314" s="110"/>
      <c r="AJE314" s="110"/>
      <c r="AJF314" s="110"/>
      <c r="AJG314" s="110"/>
      <c r="AJH314" s="110"/>
      <c r="AJI314" s="110"/>
      <c r="AJJ314" s="110"/>
      <c r="AJK314" s="110"/>
      <c r="AJL314" s="110"/>
      <c r="AJM314" s="110"/>
      <c r="AJN314" s="110"/>
      <c r="AJO314" s="110"/>
      <c r="AJP314" s="110"/>
      <c r="AJQ314" s="110"/>
      <c r="AJR314" s="110"/>
      <c r="AJS314" s="110"/>
      <c r="AJT314" s="110"/>
      <c r="AJU314" s="110"/>
      <c r="AJV314" s="110"/>
      <c r="AJW314" s="110"/>
      <c r="AJX314" s="110"/>
      <c r="AJY314" s="110"/>
      <c r="AJZ314" s="110"/>
      <c r="AKA314" s="110"/>
      <c r="AKB314" s="110"/>
      <c r="AKC314" s="110"/>
      <c r="AKD314" s="110"/>
      <c r="AKE314" s="110"/>
      <c r="AKF314" s="110"/>
      <c r="AKG314" s="110"/>
      <c r="AKH314" s="110"/>
      <c r="AKI314" s="110"/>
      <c r="AKJ314" s="110"/>
      <c r="AKK314" s="110"/>
      <c r="AKL314" s="110"/>
      <c r="AKM314" s="110"/>
      <c r="AKN314" s="110"/>
      <c r="AKO314" s="110"/>
      <c r="AKP314" s="110"/>
      <c r="AKQ314" s="110"/>
      <c r="AKR314" s="110"/>
      <c r="AKS314" s="110"/>
      <c r="AKT314" s="110"/>
      <c r="AKU314" s="110"/>
      <c r="AKV314" s="110"/>
      <c r="AKW314" s="110"/>
      <c r="AKX314" s="110"/>
      <c r="AKY314" s="110"/>
      <c r="AKZ314" s="110"/>
      <c r="ALA314" s="110"/>
      <c r="ALB314" s="110"/>
      <c r="ALC314" s="110"/>
      <c r="ALD314" s="110"/>
      <c r="ALE314" s="110"/>
      <c r="ALF314" s="110"/>
      <c r="ALG314" s="110"/>
      <c r="ALH314" s="110"/>
      <c r="ALI314" s="110"/>
      <c r="ALJ314" s="110"/>
      <c r="ALK314" s="110"/>
      <c r="ALL314" s="110"/>
      <c r="ALM314" s="110"/>
      <c r="ALN314" s="110"/>
      <c r="ALO314" s="110"/>
      <c r="ALP314" s="110"/>
      <c r="ALQ314" s="110"/>
      <c r="ALR314" s="110"/>
      <c r="ALS314" s="110"/>
      <c r="ALT314" s="110"/>
      <c r="ALU314" s="110"/>
      <c r="ALV314" s="110"/>
      <c r="ALW314" s="110"/>
      <c r="ALX314" s="110"/>
      <c r="ALY314" s="110"/>
      <c r="ALZ314" s="110"/>
      <c r="AMA314" s="110"/>
      <c r="AMB314" s="110"/>
      <c r="AMC314" s="110"/>
      <c r="AMD314" s="110"/>
      <c r="AME314" s="110"/>
      <c r="AMF314" s="110"/>
    </row>
    <row r="315" spans="1:1020" s="142" customFormat="1" ht="11.25" customHeight="1">
      <c r="A315" s="123"/>
      <c r="B315" s="141">
        <v>11</v>
      </c>
      <c r="C315" s="126">
        <v>308</v>
      </c>
      <c r="D315" s="127" t="s">
        <v>489</v>
      </c>
      <c r="E315" s="194">
        <f t="shared" si="52"/>
        <v>1705</v>
      </c>
      <c r="F315" s="125">
        <f>ROUND(E315*Valores!$C$2,2)</f>
        <v>92837.25</v>
      </c>
      <c r="G315" s="192">
        <v>0</v>
      </c>
      <c r="H315" s="125">
        <f>ROUND(G315*Valores!$C$2,2)</f>
        <v>0</v>
      </c>
      <c r="I315" s="192">
        <v>0</v>
      </c>
      <c r="J315" s="125">
        <f>ROUND(I315*Valores!$C$2,2)</f>
        <v>0</v>
      </c>
      <c r="K315" s="192">
        <v>0</v>
      </c>
      <c r="L315" s="125">
        <f>ROUND(K315*Valores!$C$2,2)</f>
        <v>0</v>
      </c>
      <c r="M315" s="125">
        <f>ROUND(IF($H$2=0,IF(AND(A315&lt;&gt;"13-930",A315&lt;&gt;"13-940"),(SUM(F315,H315,J315,L315,X315,T315,R315)*Valores!$C$4),0),0),2)</f>
        <v>25883.96</v>
      </c>
      <c r="N315" s="125">
        <f t="shared" si="42"/>
        <v>0</v>
      </c>
      <c r="O315" s="125">
        <v>0</v>
      </c>
      <c r="P315" s="125">
        <v>0</v>
      </c>
      <c r="Q315" s="125">
        <v>0</v>
      </c>
      <c r="R315" s="125">
        <f>IF($F$4="NO",IF(Valores!$C$49*B315&gt;Valores!$C$46,Valores!$C$46,Valores!$C$49*B315),IF(Valores!$C$49*B315&gt;Valores!$C$46,Valores!$C$46,Valores!$C$49*B315)/2)</f>
        <v>10698.6</v>
      </c>
      <c r="S315" s="125">
        <v>0</v>
      </c>
      <c r="T315" s="125">
        <f t="shared" si="51"/>
        <v>0</v>
      </c>
      <c r="U315" s="125">
        <v>0</v>
      </c>
      <c r="V315" s="125">
        <v>0</v>
      </c>
      <c r="W315" s="192">
        <v>0</v>
      </c>
      <c r="X315" s="125">
        <f>ROUND(W315*Valores!$C$2,2)</f>
        <v>0</v>
      </c>
      <c r="Y315" s="125">
        <v>0</v>
      </c>
      <c r="Z315" s="125">
        <v>0</v>
      </c>
      <c r="AA315" s="125">
        <v>0</v>
      </c>
      <c r="AB315" s="214">
        <v>0</v>
      </c>
      <c r="AC315" s="125">
        <f t="shared" si="43"/>
        <v>0</v>
      </c>
      <c r="AD315" s="125">
        <v>0</v>
      </c>
      <c r="AE315" s="192">
        <v>0</v>
      </c>
      <c r="AF315" s="125">
        <f>ROUND(AE315*Valores!$C$2,2)</f>
        <v>0</v>
      </c>
      <c r="AG315" s="125">
        <v>0</v>
      </c>
      <c r="AH315" s="125">
        <f t="shared" si="46"/>
        <v>129419.81</v>
      </c>
      <c r="AI315" s="125">
        <v>0</v>
      </c>
      <c r="AJ315" s="125">
        <v>0</v>
      </c>
      <c r="AK315" s="125">
        <v>0</v>
      </c>
      <c r="AL315" s="125">
        <v>0</v>
      </c>
      <c r="AM315" s="125">
        <f t="shared" si="44"/>
        <v>0</v>
      </c>
      <c r="AN315" s="125">
        <f>AH315*Valores!$C$71</f>
        <v>-14236.1791</v>
      </c>
      <c r="AO315" s="125">
        <f>AH315*-Valores!$C$72</f>
        <v>0</v>
      </c>
      <c r="AP315" s="125">
        <f>AH315*Valores!$C$73</f>
        <v>-5823.89145</v>
      </c>
      <c r="AQ315" s="125">
        <v>0</v>
      </c>
      <c r="AR315" s="125">
        <v>0</v>
      </c>
      <c r="AS315" s="125">
        <f t="shared" si="47"/>
        <v>109359.73945</v>
      </c>
      <c r="AT315" s="125">
        <f t="shared" si="41"/>
        <v>-14236.1791</v>
      </c>
      <c r="AU315" s="125">
        <f>AH315*Valores!$C$74</f>
        <v>-3494.3348699999997</v>
      </c>
      <c r="AV315" s="125">
        <f>AH315*Valores!$C$75</f>
        <v>-388.25943</v>
      </c>
      <c r="AW315" s="125">
        <f t="shared" si="45"/>
        <v>111301.03659999999</v>
      </c>
      <c r="AX315" s="126"/>
      <c r="AY315" s="126"/>
      <c r="AZ315" s="123"/>
      <c r="BA315" s="110"/>
      <c r="BB315" s="110"/>
      <c r="BC315" s="110"/>
      <c r="BD315" s="110"/>
      <c r="BE315" s="110"/>
      <c r="BF315" s="110"/>
      <c r="BG315" s="110"/>
      <c r="BH315" s="110"/>
      <c r="BI315" s="110"/>
      <c r="BJ315" s="110"/>
      <c r="BK315" s="110"/>
      <c r="BL315" s="110"/>
      <c r="BM315" s="110"/>
      <c r="BN315" s="110"/>
      <c r="BO315" s="110"/>
      <c r="BP315" s="110"/>
      <c r="BQ315" s="110"/>
      <c r="BR315" s="110"/>
      <c r="BS315" s="110"/>
      <c r="BT315" s="110"/>
      <c r="BU315" s="110"/>
      <c r="BV315" s="110"/>
      <c r="BW315" s="110"/>
      <c r="BX315" s="110"/>
      <c r="BY315" s="110"/>
      <c r="BZ315" s="110"/>
      <c r="CA315" s="110"/>
      <c r="CB315" s="110"/>
      <c r="CC315" s="110"/>
      <c r="CD315" s="110"/>
      <c r="CE315" s="110"/>
      <c r="CF315" s="110"/>
      <c r="CG315" s="110"/>
      <c r="CH315" s="110"/>
      <c r="CI315" s="110"/>
      <c r="CJ315" s="110"/>
      <c r="CK315" s="110"/>
      <c r="CL315" s="110"/>
      <c r="CM315" s="110"/>
      <c r="CN315" s="110"/>
      <c r="CO315" s="110"/>
      <c r="CP315" s="110"/>
      <c r="CQ315" s="110"/>
      <c r="CR315" s="110"/>
      <c r="CS315" s="110"/>
      <c r="CT315" s="110"/>
      <c r="CU315" s="110"/>
      <c r="CV315" s="110"/>
      <c r="CW315" s="110"/>
      <c r="CX315" s="110"/>
      <c r="CY315" s="110"/>
      <c r="CZ315" s="110"/>
      <c r="DA315" s="110"/>
      <c r="DB315" s="110"/>
      <c r="DC315" s="110"/>
      <c r="DD315" s="110"/>
      <c r="DE315" s="110"/>
      <c r="DF315" s="110"/>
      <c r="DG315" s="110"/>
      <c r="DH315" s="110"/>
      <c r="DI315" s="110"/>
      <c r="DJ315" s="110"/>
      <c r="DK315" s="110"/>
      <c r="DL315" s="110"/>
      <c r="DM315" s="110"/>
      <c r="DN315" s="110"/>
      <c r="DO315" s="110"/>
      <c r="DP315" s="110"/>
      <c r="DQ315" s="110"/>
      <c r="DR315" s="110"/>
      <c r="DS315" s="110"/>
      <c r="DT315" s="110"/>
      <c r="DU315" s="110"/>
      <c r="DV315" s="110"/>
      <c r="DW315" s="110"/>
      <c r="DX315" s="110"/>
      <c r="DY315" s="110"/>
      <c r="DZ315" s="110"/>
      <c r="EA315" s="110"/>
      <c r="EB315" s="110"/>
      <c r="EC315" s="110"/>
      <c r="ED315" s="110"/>
      <c r="EE315" s="110"/>
      <c r="EF315" s="110"/>
      <c r="EG315" s="110"/>
      <c r="EH315" s="110"/>
      <c r="EI315" s="110"/>
      <c r="EJ315" s="110"/>
      <c r="EK315" s="110"/>
      <c r="EL315" s="110"/>
      <c r="EM315" s="110"/>
      <c r="EN315" s="110"/>
      <c r="EO315" s="110"/>
      <c r="EP315" s="110"/>
      <c r="EQ315" s="110"/>
      <c r="ER315" s="110"/>
      <c r="ES315" s="110"/>
      <c r="ET315" s="110"/>
      <c r="EU315" s="110"/>
      <c r="EV315" s="110"/>
      <c r="EW315" s="110"/>
      <c r="EX315" s="110"/>
      <c r="EY315" s="110"/>
      <c r="EZ315" s="110"/>
      <c r="FA315" s="110"/>
      <c r="FB315" s="110"/>
      <c r="FC315" s="110"/>
      <c r="FD315" s="110"/>
      <c r="FE315" s="110"/>
      <c r="FF315" s="110"/>
      <c r="FG315" s="110"/>
      <c r="FH315" s="110"/>
      <c r="FI315" s="110"/>
      <c r="FJ315" s="110"/>
      <c r="FK315" s="110"/>
      <c r="FL315" s="110"/>
      <c r="FM315" s="110"/>
      <c r="FN315" s="110"/>
      <c r="FO315" s="110"/>
      <c r="FP315" s="110"/>
      <c r="FQ315" s="110"/>
      <c r="FR315" s="110"/>
      <c r="FS315" s="110"/>
      <c r="FT315" s="110"/>
      <c r="FU315" s="110"/>
      <c r="FV315" s="110"/>
      <c r="FW315" s="110"/>
      <c r="FX315" s="110"/>
      <c r="FY315" s="110"/>
      <c r="FZ315" s="110"/>
      <c r="GA315" s="110"/>
      <c r="GB315" s="110"/>
      <c r="GC315" s="110"/>
      <c r="GD315" s="110"/>
      <c r="GE315" s="110"/>
      <c r="GF315" s="110"/>
      <c r="GG315" s="110"/>
      <c r="GH315" s="110"/>
      <c r="GI315" s="110"/>
      <c r="GJ315" s="110"/>
      <c r="GK315" s="110"/>
      <c r="GL315" s="110"/>
      <c r="GM315" s="110"/>
      <c r="GN315" s="110"/>
      <c r="GO315" s="110"/>
      <c r="GP315" s="110"/>
      <c r="GQ315" s="110"/>
      <c r="GR315" s="110"/>
      <c r="GS315" s="110"/>
      <c r="GT315" s="110"/>
      <c r="GU315" s="110"/>
      <c r="GV315" s="110"/>
      <c r="GW315" s="110"/>
      <c r="GX315" s="110"/>
      <c r="GY315" s="110"/>
      <c r="GZ315" s="110"/>
      <c r="HA315" s="110"/>
      <c r="HB315" s="110"/>
      <c r="HC315" s="110"/>
      <c r="HD315" s="110"/>
      <c r="HE315" s="110"/>
      <c r="HF315" s="110"/>
      <c r="HG315" s="110"/>
      <c r="HH315" s="110"/>
      <c r="HI315" s="110"/>
      <c r="HJ315" s="110"/>
      <c r="HK315" s="110"/>
      <c r="HL315" s="110"/>
      <c r="HM315" s="110"/>
      <c r="HN315" s="110"/>
      <c r="HO315" s="110"/>
      <c r="HP315" s="110"/>
      <c r="HQ315" s="110"/>
      <c r="HR315" s="110"/>
      <c r="HS315" s="110"/>
      <c r="HT315" s="110"/>
      <c r="HU315" s="110"/>
      <c r="HV315" s="110"/>
      <c r="HW315" s="110"/>
      <c r="HX315" s="110"/>
      <c r="HY315" s="110"/>
      <c r="HZ315" s="110"/>
      <c r="IA315" s="110"/>
      <c r="IB315" s="110"/>
      <c r="IC315" s="110"/>
      <c r="ID315" s="110"/>
      <c r="IE315" s="110"/>
      <c r="IF315" s="110"/>
      <c r="IG315" s="110"/>
      <c r="IH315" s="110"/>
      <c r="II315" s="110"/>
      <c r="IJ315" s="110"/>
      <c r="IK315" s="110"/>
      <c r="IL315" s="110"/>
      <c r="IM315" s="110"/>
      <c r="IN315" s="110"/>
      <c r="IO315" s="110"/>
      <c r="IP315" s="110"/>
      <c r="IQ315" s="110"/>
      <c r="IR315" s="110"/>
      <c r="IS315" s="110"/>
      <c r="IT315" s="110"/>
      <c r="IU315" s="110"/>
      <c r="IV315" s="110"/>
      <c r="IW315" s="110"/>
      <c r="IX315" s="110"/>
      <c r="IY315" s="110"/>
      <c r="IZ315" s="110"/>
      <c r="JA315" s="110"/>
      <c r="JB315" s="110"/>
      <c r="JC315" s="110"/>
      <c r="JD315" s="110"/>
      <c r="JE315" s="110"/>
      <c r="JF315" s="110"/>
      <c r="JG315" s="110"/>
      <c r="JH315" s="110"/>
      <c r="JI315" s="110"/>
      <c r="JJ315" s="110"/>
      <c r="JK315" s="110"/>
      <c r="JL315" s="110"/>
      <c r="JM315" s="110"/>
      <c r="JN315" s="110"/>
      <c r="JO315" s="110"/>
      <c r="JP315" s="110"/>
      <c r="JQ315" s="110"/>
      <c r="JR315" s="110"/>
      <c r="JS315" s="110"/>
      <c r="JT315" s="110"/>
      <c r="JU315" s="110"/>
      <c r="JV315" s="110"/>
      <c r="JW315" s="110"/>
      <c r="JX315" s="110"/>
      <c r="JY315" s="110"/>
      <c r="JZ315" s="110"/>
      <c r="KA315" s="110"/>
      <c r="KB315" s="110"/>
      <c r="KC315" s="110"/>
      <c r="KD315" s="110"/>
      <c r="KE315" s="110"/>
      <c r="KF315" s="110"/>
      <c r="KG315" s="110"/>
      <c r="KH315" s="110"/>
      <c r="KI315" s="110"/>
      <c r="KJ315" s="110"/>
      <c r="KK315" s="110"/>
      <c r="KL315" s="110"/>
      <c r="KM315" s="110"/>
      <c r="KN315" s="110"/>
      <c r="KO315" s="110"/>
      <c r="KP315" s="110"/>
      <c r="KQ315" s="110"/>
      <c r="KR315" s="110"/>
      <c r="KS315" s="110"/>
      <c r="KT315" s="110"/>
      <c r="KU315" s="110"/>
      <c r="KV315" s="110"/>
      <c r="KW315" s="110"/>
      <c r="KX315" s="110"/>
      <c r="KY315" s="110"/>
      <c r="KZ315" s="110"/>
      <c r="LA315" s="110"/>
      <c r="LB315" s="110"/>
      <c r="LC315" s="110"/>
      <c r="LD315" s="110"/>
      <c r="LE315" s="110"/>
      <c r="LF315" s="110"/>
      <c r="LG315" s="110"/>
      <c r="LH315" s="110"/>
      <c r="LI315" s="110"/>
      <c r="LJ315" s="110"/>
      <c r="LK315" s="110"/>
      <c r="LL315" s="110"/>
      <c r="LM315" s="110"/>
      <c r="LN315" s="110"/>
      <c r="LO315" s="110"/>
      <c r="LP315" s="110"/>
      <c r="LQ315" s="110"/>
      <c r="LR315" s="110"/>
      <c r="LS315" s="110"/>
      <c r="LT315" s="110"/>
      <c r="LU315" s="110"/>
      <c r="LV315" s="110"/>
      <c r="LW315" s="110"/>
      <c r="LX315" s="110"/>
      <c r="LY315" s="110"/>
      <c r="LZ315" s="110"/>
      <c r="MA315" s="110"/>
      <c r="MB315" s="110"/>
      <c r="MC315" s="110"/>
      <c r="MD315" s="110"/>
      <c r="ME315" s="110"/>
      <c r="MF315" s="110"/>
      <c r="MG315" s="110"/>
      <c r="MH315" s="110"/>
      <c r="MI315" s="110"/>
      <c r="MJ315" s="110"/>
      <c r="MK315" s="110"/>
      <c r="ML315" s="110"/>
      <c r="MM315" s="110"/>
      <c r="MN315" s="110"/>
      <c r="MO315" s="110"/>
      <c r="MP315" s="110"/>
      <c r="MQ315" s="110"/>
      <c r="MR315" s="110"/>
      <c r="MS315" s="110"/>
      <c r="MT315" s="110"/>
      <c r="MU315" s="110"/>
      <c r="MV315" s="110"/>
      <c r="MW315" s="110"/>
      <c r="MX315" s="110"/>
      <c r="MY315" s="110"/>
      <c r="MZ315" s="110"/>
      <c r="NA315" s="110"/>
      <c r="NB315" s="110"/>
      <c r="NC315" s="110"/>
      <c r="ND315" s="110"/>
      <c r="NE315" s="110"/>
      <c r="NF315" s="110"/>
      <c r="NG315" s="110"/>
      <c r="NH315" s="110"/>
      <c r="NI315" s="110"/>
      <c r="NJ315" s="110"/>
      <c r="NK315" s="110"/>
      <c r="NL315" s="110"/>
      <c r="NM315" s="110"/>
      <c r="NN315" s="110"/>
      <c r="NO315" s="110"/>
      <c r="NP315" s="110"/>
      <c r="NQ315" s="110"/>
      <c r="NR315" s="110"/>
      <c r="NS315" s="110"/>
      <c r="NT315" s="110"/>
      <c r="NU315" s="110"/>
      <c r="NV315" s="110"/>
      <c r="NW315" s="110"/>
      <c r="NX315" s="110"/>
      <c r="NY315" s="110"/>
      <c r="NZ315" s="110"/>
      <c r="OA315" s="110"/>
      <c r="OB315" s="110"/>
      <c r="OC315" s="110"/>
      <c r="OD315" s="110"/>
      <c r="OE315" s="110"/>
      <c r="OF315" s="110"/>
      <c r="OG315" s="110"/>
      <c r="OH315" s="110"/>
      <c r="OI315" s="110"/>
      <c r="OJ315" s="110"/>
      <c r="OK315" s="110"/>
      <c r="OL315" s="110"/>
      <c r="OM315" s="110"/>
      <c r="ON315" s="110"/>
      <c r="OO315" s="110"/>
      <c r="OP315" s="110"/>
      <c r="OQ315" s="110"/>
      <c r="OR315" s="110"/>
      <c r="OS315" s="110"/>
      <c r="OT315" s="110"/>
      <c r="OU315" s="110"/>
      <c r="OV315" s="110"/>
      <c r="OW315" s="110"/>
      <c r="OX315" s="110"/>
      <c r="OY315" s="110"/>
      <c r="OZ315" s="110"/>
      <c r="PA315" s="110"/>
      <c r="PB315" s="110"/>
      <c r="PC315" s="110"/>
      <c r="PD315" s="110"/>
      <c r="PE315" s="110"/>
      <c r="PF315" s="110"/>
      <c r="PG315" s="110"/>
      <c r="PH315" s="110"/>
      <c r="PI315" s="110"/>
      <c r="PJ315" s="110"/>
      <c r="PK315" s="110"/>
      <c r="PL315" s="110"/>
      <c r="PM315" s="110"/>
      <c r="PN315" s="110"/>
      <c r="PO315" s="110"/>
      <c r="PP315" s="110"/>
      <c r="PQ315" s="110"/>
      <c r="PR315" s="110"/>
      <c r="PS315" s="110"/>
      <c r="PT315" s="110"/>
      <c r="PU315" s="110"/>
      <c r="PV315" s="110"/>
      <c r="PW315" s="110"/>
      <c r="PX315" s="110"/>
      <c r="PY315" s="110"/>
      <c r="PZ315" s="110"/>
      <c r="QA315" s="110"/>
      <c r="QB315" s="110"/>
      <c r="QC315" s="110"/>
      <c r="QD315" s="110"/>
      <c r="QE315" s="110"/>
      <c r="QF315" s="110"/>
      <c r="QG315" s="110"/>
      <c r="QH315" s="110"/>
      <c r="QI315" s="110"/>
      <c r="QJ315" s="110"/>
      <c r="QK315" s="110"/>
      <c r="QL315" s="110"/>
      <c r="QM315" s="110"/>
      <c r="QN315" s="110"/>
      <c r="QO315" s="110"/>
      <c r="QP315" s="110"/>
      <c r="QQ315" s="110"/>
      <c r="QR315" s="110"/>
      <c r="QS315" s="110"/>
      <c r="QT315" s="110"/>
      <c r="QU315" s="110"/>
      <c r="QV315" s="110"/>
      <c r="QW315" s="110"/>
      <c r="QX315" s="110"/>
      <c r="QY315" s="110"/>
      <c r="QZ315" s="110"/>
      <c r="RA315" s="110"/>
      <c r="RB315" s="110"/>
      <c r="RC315" s="110"/>
      <c r="RD315" s="110"/>
      <c r="RE315" s="110"/>
      <c r="RF315" s="110"/>
      <c r="RG315" s="110"/>
      <c r="RH315" s="110"/>
      <c r="RI315" s="110"/>
      <c r="RJ315" s="110"/>
      <c r="RK315" s="110"/>
      <c r="RL315" s="110"/>
      <c r="RM315" s="110"/>
      <c r="RN315" s="110"/>
      <c r="RO315" s="110"/>
      <c r="RP315" s="110"/>
      <c r="RQ315" s="110"/>
      <c r="RR315" s="110"/>
      <c r="RS315" s="110"/>
      <c r="RT315" s="110"/>
      <c r="RU315" s="110"/>
      <c r="RV315" s="110"/>
      <c r="RW315" s="110"/>
      <c r="RX315" s="110"/>
      <c r="RY315" s="110"/>
      <c r="RZ315" s="110"/>
      <c r="SA315" s="110"/>
      <c r="SB315" s="110"/>
      <c r="SC315" s="110"/>
      <c r="SD315" s="110"/>
      <c r="SE315" s="110"/>
      <c r="SF315" s="110"/>
      <c r="SG315" s="110"/>
      <c r="SH315" s="110"/>
      <c r="SI315" s="110"/>
      <c r="SJ315" s="110"/>
      <c r="SK315" s="110"/>
      <c r="SL315" s="110"/>
      <c r="SM315" s="110"/>
      <c r="SN315" s="110"/>
      <c r="SO315" s="110"/>
      <c r="SP315" s="110"/>
      <c r="SQ315" s="110"/>
      <c r="SR315" s="110"/>
      <c r="SS315" s="110"/>
      <c r="ST315" s="110"/>
      <c r="SU315" s="110"/>
      <c r="SV315" s="110"/>
      <c r="SW315" s="110"/>
      <c r="SX315" s="110"/>
      <c r="SY315" s="110"/>
      <c r="SZ315" s="110"/>
      <c r="TA315" s="110"/>
      <c r="TB315" s="110"/>
      <c r="TC315" s="110"/>
      <c r="TD315" s="110"/>
      <c r="TE315" s="110"/>
      <c r="TF315" s="110"/>
      <c r="TG315" s="110"/>
      <c r="TH315" s="110"/>
      <c r="TI315" s="110"/>
      <c r="TJ315" s="110"/>
      <c r="TK315" s="110"/>
      <c r="TL315" s="110"/>
      <c r="TM315" s="110"/>
      <c r="TN315" s="110"/>
      <c r="TO315" s="110"/>
      <c r="TP315" s="110"/>
      <c r="TQ315" s="110"/>
      <c r="TR315" s="110"/>
      <c r="TS315" s="110"/>
      <c r="TT315" s="110"/>
      <c r="TU315" s="110"/>
      <c r="TV315" s="110"/>
      <c r="TW315" s="110"/>
      <c r="TX315" s="110"/>
      <c r="TY315" s="110"/>
      <c r="TZ315" s="110"/>
      <c r="UA315" s="110"/>
      <c r="UB315" s="110"/>
      <c r="UC315" s="110"/>
      <c r="UD315" s="110"/>
      <c r="UE315" s="110"/>
      <c r="UF315" s="110"/>
      <c r="UG315" s="110"/>
      <c r="UH315" s="110"/>
      <c r="UI315" s="110"/>
      <c r="UJ315" s="110"/>
      <c r="UK315" s="110"/>
      <c r="UL315" s="110"/>
      <c r="UM315" s="110"/>
      <c r="UN315" s="110"/>
      <c r="UO315" s="110"/>
      <c r="UP315" s="110"/>
      <c r="UQ315" s="110"/>
      <c r="UR315" s="110"/>
      <c r="US315" s="110"/>
      <c r="UT315" s="110"/>
      <c r="UU315" s="110"/>
      <c r="UV315" s="110"/>
      <c r="UW315" s="110"/>
      <c r="UX315" s="110"/>
      <c r="UY315" s="110"/>
      <c r="UZ315" s="110"/>
      <c r="VA315" s="110"/>
      <c r="VB315" s="110"/>
      <c r="VC315" s="110"/>
      <c r="VD315" s="110"/>
      <c r="VE315" s="110"/>
      <c r="VF315" s="110"/>
      <c r="VG315" s="110"/>
      <c r="VH315" s="110"/>
      <c r="VI315" s="110"/>
      <c r="VJ315" s="110"/>
      <c r="VK315" s="110"/>
      <c r="VL315" s="110"/>
      <c r="VM315" s="110"/>
      <c r="VN315" s="110"/>
      <c r="VO315" s="110"/>
      <c r="VP315" s="110"/>
      <c r="VQ315" s="110"/>
      <c r="VR315" s="110"/>
      <c r="VS315" s="110"/>
      <c r="VT315" s="110"/>
      <c r="VU315" s="110"/>
      <c r="VV315" s="110"/>
      <c r="VW315" s="110"/>
      <c r="VX315" s="110"/>
      <c r="VY315" s="110"/>
      <c r="VZ315" s="110"/>
      <c r="WA315" s="110"/>
      <c r="WB315" s="110"/>
      <c r="WC315" s="110"/>
      <c r="WD315" s="110"/>
      <c r="WE315" s="110"/>
      <c r="WF315" s="110"/>
      <c r="WG315" s="110"/>
      <c r="WH315" s="110"/>
      <c r="WI315" s="110"/>
      <c r="WJ315" s="110"/>
      <c r="WK315" s="110"/>
      <c r="WL315" s="110"/>
      <c r="WM315" s="110"/>
      <c r="WN315" s="110"/>
      <c r="WO315" s="110"/>
      <c r="WP315" s="110"/>
      <c r="WQ315" s="110"/>
      <c r="WR315" s="110"/>
      <c r="WS315" s="110"/>
      <c r="WT315" s="110"/>
      <c r="WU315" s="110"/>
      <c r="WV315" s="110"/>
      <c r="WW315" s="110"/>
      <c r="WX315" s="110"/>
      <c r="WY315" s="110"/>
      <c r="WZ315" s="110"/>
      <c r="XA315" s="110"/>
      <c r="XB315" s="110"/>
      <c r="XC315" s="110"/>
      <c r="XD315" s="110"/>
      <c r="XE315" s="110"/>
      <c r="XF315" s="110"/>
      <c r="XG315" s="110"/>
      <c r="XH315" s="110"/>
      <c r="XI315" s="110"/>
      <c r="XJ315" s="110"/>
      <c r="XK315" s="110"/>
      <c r="XL315" s="110"/>
      <c r="XM315" s="110"/>
      <c r="XN315" s="110"/>
      <c r="XO315" s="110"/>
      <c r="XP315" s="110"/>
      <c r="XQ315" s="110"/>
      <c r="XR315" s="110"/>
      <c r="XS315" s="110"/>
      <c r="XT315" s="110"/>
      <c r="XU315" s="110"/>
      <c r="XV315" s="110"/>
      <c r="XW315" s="110"/>
      <c r="XX315" s="110"/>
      <c r="XY315" s="110"/>
      <c r="XZ315" s="110"/>
      <c r="YA315" s="110"/>
      <c r="YB315" s="110"/>
      <c r="YC315" s="110"/>
      <c r="YD315" s="110"/>
      <c r="YE315" s="110"/>
      <c r="YF315" s="110"/>
      <c r="YG315" s="110"/>
      <c r="YH315" s="110"/>
      <c r="YI315" s="110"/>
      <c r="YJ315" s="110"/>
      <c r="YK315" s="110"/>
      <c r="YL315" s="110"/>
      <c r="YM315" s="110"/>
      <c r="YN315" s="110"/>
      <c r="YO315" s="110"/>
      <c r="YP315" s="110"/>
      <c r="YQ315" s="110"/>
      <c r="YR315" s="110"/>
      <c r="YS315" s="110"/>
      <c r="YT315" s="110"/>
      <c r="YU315" s="110"/>
      <c r="YV315" s="110"/>
      <c r="YW315" s="110"/>
      <c r="YX315" s="110"/>
      <c r="YY315" s="110"/>
      <c r="YZ315" s="110"/>
      <c r="ZA315" s="110"/>
      <c r="ZB315" s="110"/>
      <c r="ZC315" s="110"/>
      <c r="ZD315" s="110"/>
      <c r="ZE315" s="110"/>
      <c r="ZF315" s="110"/>
      <c r="ZG315" s="110"/>
      <c r="ZH315" s="110"/>
      <c r="ZI315" s="110"/>
      <c r="ZJ315" s="110"/>
      <c r="ZK315" s="110"/>
      <c r="ZL315" s="110"/>
      <c r="ZM315" s="110"/>
      <c r="ZN315" s="110"/>
      <c r="ZO315" s="110"/>
      <c r="ZP315" s="110"/>
      <c r="ZQ315" s="110"/>
      <c r="ZR315" s="110"/>
      <c r="ZS315" s="110"/>
      <c r="ZT315" s="110"/>
      <c r="ZU315" s="110"/>
      <c r="ZV315" s="110"/>
      <c r="ZW315" s="110"/>
      <c r="ZX315" s="110"/>
      <c r="ZY315" s="110"/>
      <c r="ZZ315" s="110"/>
      <c r="AAA315" s="110"/>
      <c r="AAB315" s="110"/>
      <c r="AAC315" s="110"/>
      <c r="AAD315" s="110"/>
      <c r="AAE315" s="110"/>
      <c r="AAF315" s="110"/>
      <c r="AAG315" s="110"/>
      <c r="AAH315" s="110"/>
      <c r="AAI315" s="110"/>
      <c r="AAJ315" s="110"/>
      <c r="AAK315" s="110"/>
      <c r="AAL315" s="110"/>
      <c r="AAM315" s="110"/>
      <c r="AAN315" s="110"/>
      <c r="AAO315" s="110"/>
      <c r="AAP315" s="110"/>
      <c r="AAQ315" s="110"/>
      <c r="AAR315" s="110"/>
      <c r="AAS315" s="110"/>
      <c r="AAT315" s="110"/>
      <c r="AAU315" s="110"/>
      <c r="AAV315" s="110"/>
      <c r="AAW315" s="110"/>
      <c r="AAX315" s="110"/>
      <c r="AAY315" s="110"/>
      <c r="AAZ315" s="110"/>
      <c r="ABA315" s="110"/>
      <c r="ABB315" s="110"/>
      <c r="ABC315" s="110"/>
      <c r="ABD315" s="110"/>
      <c r="ABE315" s="110"/>
      <c r="ABF315" s="110"/>
      <c r="ABG315" s="110"/>
      <c r="ABH315" s="110"/>
      <c r="ABI315" s="110"/>
      <c r="ABJ315" s="110"/>
      <c r="ABK315" s="110"/>
      <c r="ABL315" s="110"/>
      <c r="ABM315" s="110"/>
      <c r="ABN315" s="110"/>
      <c r="ABO315" s="110"/>
      <c r="ABP315" s="110"/>
      <c r="ABQ315" s="110"/>
      <c r="ABR315" s="110"/>
      <c r="ABS315" s="110"/>
      <c r="ABT315" s="110"/>
      <c r="ABU315" s="110"/>
      <c r="ABV315" s="110"/>
      <c r="ABW315" s="110"/>
      <c r="ABX315" s="110"/>
      <c r="ABY315" s="110"/>
      <c r="ABZ315" s="110"/>
      <c r="ACA315" s="110"/>
      <c r="ACB315" s="110"/>
      <c r="ACC315" s="110"/>
      <c r="ACD315" s="110"/>
      <c r="ACE315" s="110"/>
      <c r="ACF315" s="110"/>
      <c r="ACG315" s="110"/>
      <c r="ACH315" s="110"/>
      <c r="ACI315" s="110"/>
      <c r="ACJ315" s="110"/>
      <c r="ACK315" s="110"/>
      <c r="ACL315" s="110"/>
      <c r="ACM315" s="110"/>
      <c r="ACN315" s="110"/>
      <c r="ACO315" s="110"/>
      <c r="ACP315" s="110"/>
      <c r="ACQ315" s="110"/>
      <c r="ACR315" s="110"/>
      <c r="ACS315" s="110"/>
      <c r="ACT315" s="110"/>
      <c r="ACU315" s="110"/>
      <c r="ACV315" s="110"/>
      <c r="ACW315" s="110"/>
      <c r="ACX315" s="110"/>
      <c r="ACY315" s="110"/>
      <c r="ACZ315" s="110"/>
      <c r="ADA315" s="110"/>
      <c r="ADB315" s="110"/>
      <c r="ADC315" s="110"/>
      <c r="ADD315" s="110"/>
      <c r="ADE315" s="110"/>
      <c r="ADF315" s="110"/>
      <c r="ADG315" s="110"/>
      <c r="ADH315" s="110"/>
      <c r="ADI315" s="110"/>
      <c r="ADJ315" s="110"/>
      <c r="ADK315" s="110"/>
      <c r="ADL315" s="110"/>
      <c r="ADM315" s="110"/>
      <c r="ADN315" s="110"/>
      <c r="ADO315" s="110"/>
      <c r="ADP315" s="110"/>
      <c r="ADQ315" s="110"/>
      <c r="ADR315" s="110"/>
      <c r="ADS315" s="110"/>
      <c r="ADT315" s="110"/>
      <c r="ADU315" s="110"/>
      <c r="ADV315" s="110"/>
      <c r="ADW315" s="110"/>
      <c r="ADX315" s="110"/>
      <c r="ADY315" s="110"/>
      <c r="ADZ315" s="110"/>
      <c r="AEA315" s="110"/>
      <c r="AEB315" s="110"/>
      <c r="AEC315" s="110"/>
      <c r="AED315" s="110"/>
      <c r="AEE315" s="110"/>
      <c r="AEF315" s="110"/>
      <c r="AEG315" s="110"/>
      <c r="AEH315" s="110"/>
      <c r="AEI315" s="110"/>
      <c r="AEJ315" s="110"/>
      <c r="AEK315" s="110"/>
      <c r="AEL315" s="110"/>
      <c r="AEM315" s="110"/>
      <c r="AEN315" s="110"/>
      <c r="AEO315" s="110"/>
      <c r="AEP315" s="110"/>
      <c r="AEQ315" s="110"/>
      <c r="AER315" s="110"/>
      <c r="AES315" s="110"/>
      <c r="AET315" s="110"/>
      <c r="AEU315" s="110"/>
      <c r="AEV315" s="110"/>
      <c r="AEW315" s="110"/>
      <c r="AEX315" s="110"/>
      <c r="AEY315" s="110"/>
      <c r="AEZ315" s="110"/>
      <c r="AFA315" s="110"/>
      <c r="AFB315" s="110"/>
      <c r="AFC315" s="110"/>
      <c r="AFD315" s="110"/>
      <c r="AFE315" s="110"/>
      <c r="AFF315" s="110"/>
      <c r="AFG315" s="110"/>
      <c r="AFH315" s="110"/>
      <c r="AFI315" s="110"/>
      <c r="AFJ315" s="110"/>
      <c r="AFK315" s="110"/>
      <c r="AFL315" s="110"/>
      <c r="AFM315" s="110"/>
      <c r="AFN315" s="110"/>
      <c r="AFO315" s="110"/>
      <c r="AFP315" s="110"/>
      <c r="AFQ315" s="110"/>
      <c r="AFR315" s="110"/>
      <c r="AFS315" s="110"/>
      <c r="AFT315" s="110"/>
      <c r="AFU315" s="110"/>
      <c r="AFV315" s="110"/>
      <c r="AFW315" s="110"/>
      <c r="AFX315" s="110"/>
      <c r="AFY315" s="110"/>
      <c r="AFZ315" s="110"/>
      <c r="AGA315" s="110"/>
      <c r="AGB315" s="110"/>
      <c r="AGC315" s="110"/>
      <c r="AGD315" s="110"/>
      <c r="AGE315" s="110"/>
      <c r="AGF315" s="110"/>
      <c r="AGG315" s="110"/>
      <c r="AGH315" s="110"/>
      <c r="AGI315" s="110"/>
      <c r="AGJ315" s="110"/>
      <c r="AGK315" s="110"/>
      <c r="AGL315" s="110"/>
      <c r="AGM315" s="110"/>
      <c r="AGN315" s="110"/>
      <c r="AGO315" s="110"/>
      <c r="AGP315" s="110"/>
      <c r="AGQ315" s="110"/>
      <c r="AGR315" s="110"/>
      <c r="AGS315" s="110"/>
      <c r="AGT315" s="110"/>
      <c r="AGU315" s="110"/>
      <c r="AGV315" s="110"/>
      <c r="AGW315" s="110"/>
      <c r="AGX315" s="110"/>
      <c r="AGY315" s="110"/>
      <c r="AGZ315" s="110"/>
      <c r="AHA315" s="110"/>
      <c r="AHB315" s="110"/>
      <c r="AHC315" s="110"/>
      <c r="AHD315" s="110"/>
      <c r="AHE315" s="110"/>
      <c r="AHF315" s="110"/>
      <c r="AHG315" s="110"/>
      <c r="AHH315" s="110"/>
      <c r="AHI315" s="110"/>
      <c r="AHJ315" s="110"/>
      <c r="AHK315" s="110"/>
      <c r="AHL315" s="110"/>
      <c r="AHM315" s="110"/>
      <c r="AHN315" s="110"/>
      <c r="AHO315" s="110"/>
      <c r="AHP315" s="110"/>
      <c r="AHQ315" s="110"/>
      <c r="AHR315" s="110"/>
      <c r="AHS315" s="110"/>
      <c r="AHT315" s="110"/>
      <c r="AHU315" s="110"/>
      <c r="AHV315" s="110"/>
      <c r="AHW315" s="110"/>
      <c r="AHX315" s="110"/>
      <c r="AHY315" s="110"/>
      <c r="AHZ315" s="110"/>
      <c r="AIA315" s="110"/>
      <c r="AIB315" s="110"/>
      <c r="AIC315" s="110"/>
      <c r="AID315" s="110"/>
      <c r="AIE315" s="110"/>
      <c r="AIF315" s="110"/>
      <c r="AIG315" s="110"/>
      <c r="AIH315" s="110"/>
      <c r="AII315" s="110"/>
      <c r="AIJ315" s="110"/>
      <c r="AIK315" s="110"/>
      <c r="AIL315" s="110"/>
      <c r="AIM315" s="110"/>
      <c r="AIN315" s="110"/>
      <c r="AIO315" s="110"/>
      <c r="AIP315" s="110"/>
      <c r="AIQ315" s="110"/>
      <c r="AIR315" s="110"/>
      <c r="AIS315" s="110"/>
      <c r="AIT315" s="110"/>
      <c r="AIU315" s="110"/>
      <c r="AIV315" s="110"/>
      <c r="AIW315" s="110"/>
      <c r="AIX315" s="110"/>
      <c r="AIY315" s="110"/>
      <c r="AIZ315" s="110"/>
      <c r="AJA315" s="110"/>
      <c r="AJB315" s="110"/>
      <c r="AJC315" s="110"/>
      <c r="AJD315" s="110"/>
      <c r="AJE315" s="110"/>
      <c r="AJF315" s="110"/>
      <c r="AJG315" s="110"/>
      <c r="AJH315" s="110"/>
      <c r="AJI315" s="110"/>
      <c r="AJJ315" s="110"/>
      <c r="AJK315" s="110"/>
      <c r="AJL315" s="110"/>
      <c r="AJM315" s="110"/>
      <c r="AJN315" s="110"/>
      <c r="AJO315" s="110"/>
      <c r="AJP315" s="110"/>
      <c r="AJQ315" s="110"/>
      <c r="AJR315" s="110"/>
      <c r="AJS315" s="110"/>
      <c r="AJT315" s="110"/>
      <c r="AJU315" s="110"/>
      <c r="AJV315" s="110"/>
      <c r="AJW315" s="110"/>
      <c r="AJX315" s="110"/>
      <c r="AJY315" s="110"/>
      <c r="AJZ315" s="110"/>
      <c r="AKA315" s="110"/>
      <c r="AKB315" s="110"/>
      <c r="AKC315" s="110"/>
      <c r="AKD315" s="110"/>
      <c r="AKE315" s="110"/>
      <c r="AKF315" s="110"/>
      <c r="AKG315" s="110"/>
      <c r="AKH315" s="110"/>
      <c r="AKI315" s="110"/>
      <c r="AKJ315" s="110"/>
      <c r="AKK315" s="110"/>
      <c r="AKL315" s="110"/>
      <c r="AKM315" s="110"/>
      <c r="AKN315" s="110"/>
      <c r="AKO315" s="110"/>
      <c r="AKP315" s="110"/>
      <c r="AKQ315" s="110"/>
      <c r="AKR315" s="110"/>
      <c r="AKS315" s="110"/>
      <c r="AKT315" s="110"/>
      <c r="AKU315" s="110"/>
      <c r="AKV315" s="110"/>
      <c r="AKW315" s="110"/>
      <c r="AKX315" s="110"/>
      <c r="AKY315" s="110"/>
      <c r="AKZ315" s="110"/>
      <c r="ALA315" s="110"/>
      <c r="ALB315" s="110"/>
      <c r="ALC315" s="110"/>
      <c r="ALD315" s="110"/>
      <c r="ALE315" s="110"/>
      <c r="ALF315" s="110"/>
      <c r="ALG315" s="110"/>
      <c r="ALH315" s="110"/>
      <c r="ALI315" s="110"/>
      <c r="ALJ315" s="110"/>
      <c r="ALK315" s="110"/>
      <c r="ALL315" s="110"/>
      <c r="ALM315" s="110"/>
      <c r="ALN315" s="110"/>
      <c r="ALO315" s="110"/>
      <c r="ALP315" s="110"/>
      <c r="ALQ315" s="110"/>
      <c r="ALR315" s="110"/>
      <c r="ALS315" s="110"/>
      <c r="ALT315" s="110"/>
      <c r="ALU315" s="110"/>
      <c r="ALV315" s="110"/>
      <c r="ALW315" s="110"/>
      <c r="ALX315" s="110"/>
      <c r="ALY315" s="110"/>
      <c r="ALZ315" s="110"/>
      <c r="AMA315" s="110"/>
      <c r="AMB315" s="110"/>
      <c r="AMC315" s="110"/>
      <c r="AMD315" s="110"/>
      <c r="AME315" s="110"/>
      <c r="AMF315" s="110"/>
    </row>
    <row r="316" spans="1:1020" s="142" customFormat="1" ht="11.25" customHeight="1">
      <c r="A316" s="123"/>
      <c r="B316" s="141">
        <v>12</v>
      </c>
      <c r="C316" s="126">
        <v>309</v>
      </c>
      <c r="D316" s="127" t="s">
        <v>490</v>
      </c>
      <c r="E316" s="194">
        <f t="shared" si="52"/>
        <v>1860</v>
      </c>
      <c r="F316" s="125">
        <f>ROUND(E316*Valores!$C$2,2)</f>
        <v>101277</v>
      </c>
      <c r="G316" s="192">
        <v>0</v>
      </c>
      <c r="H316" s="125">
        <f>ROUND(G316*Valores!$C$2,2)</f>
        <v>0</v>
      </c>
      <c r="I316" s="192">
        <v>0</v>
      </c>
      <c r="J316" s="125">
        <f>ROUND(I316*Valores!$C$2,2)</f>
        <v>0</v>
      </c>
      <c r="K316" s="192">
        <v>0</v>
      </c>
      <c r="L316" s="125">
        <f>ROUND(K316*Valores!$C$2,2)</f>
        <v>0</v>
      </c>
      <c r="M316" s="125">
        <f>ROUND(IF($H$2=0,IF(AND(A316&lt;&gt;"13-930",A316&lt;&gt;"13-940"),(SUM(F316,H316,J316,L316,X316,T316,R316)*Valores!$C$4),0),0),2)</f>
        <v>28237.05</v>
      </c>
      <c r="N316" s="125">
        <f t="shared" si="42"/>
        <v>0</v>
      </c>
      <c r="O316" s="125">
        <v>0</v>
      </c>
      <c r="P316" s="125">
        <v>0</v>
      </c>
      <c r="Q316" s="125">
        <v>0</v>
      </c>
      <c r="R316" s="125">
        <f>IF($F$4="NO",IF(Valores!$C$49*B316&gt;Valores!$C$46,Valores!$C$46,Valores!$C$49*B316),IF(Valores!$C$49*B316&gt;Valores!$C$46,Valores!$C$46,Valores!$C$49*B316)/2)</f>
        <v>11671.2</v>
      </c>
      <c r="S316" s="125">
        <v>0</v>
      </c>
      <c r="T316" s="125">
        <f t="shared" si="51"/>
        <v>0</v>
      </c>
      <c r="U316" s="125">
        <v>0</v>
      </c>
      <c r="V316" s="125">
        <v>0</v>
      </c>
      <c r="W316" s="192">
        <v>0</v>
      </c>
      <c r="X316" s="125">
        <f>ROUND(W316*Valores!$C$2,2)</f>
        <v>0</v>
      </c>
      <c r="Y316" s="125">
        <v>0</v>
      </c>
      <c r="Z316" s="125">
        <v>0</v>
      </c>
      <c r="AA316" s="125">
        <v>0</v>
      </c>
      <c r="AB316" s="214">
        <v>0</v>
      </c>
      <c r="AC316" s="125">
        <f t="shared" si="43"/>
        <v>0</v>
      </c>
      <c r="AD316" s="125">
        <v>0</v>
      </c>
      <c r="AE316" s="192">
        <v>0</v>
      </c>
      <c r="AF316" s="125">
        <f>ROUND(AE316*Valores!$C$2,2)</f>
        <v>0</v>
      </c>
      <c r="AG316" s="125">
        <v>0</v>
      </c>
      <c r="AH316" s="125">
        <f t="shared" si="46"/>
        <v>141185.25</v>
      </c>
      <c r="AI316" s="125">
        <v>0</v>
      </c>
      <c r="AJ316" s="125">
        <v>0</v>
      </c>
      <c r="AK316" s="125">
        <v>0</v>
      </c>
      <c r="AL316" s="125">
        <v>0</v>
      </c>
      <c r="AM316" s="125">
        <f t="shared" si="44"/>
        <v>0</v>
      </c>
      <c r="AN316" s="125">
        <f>AH316*Valores!$C$71</f>
        <v>-15530.3775</v>
      </c>
      <c r="AO316" s="125">
        <f>AH316*-Valores!$C$72</f>
        <v>0</v>
      </c>
      <c r="AP316" s="125">
        <f>AH316*Valores!$C$73</f>
        <v>-6353.336249999999</v>
      </c>
      <c r="AQ316" s="125">
        <v>0</v>
      </c>
      <c r="AR316" s="125">
        <v>0</v>
      </c>
      <c r="AS316" s="125">
        <f t="shared" si="47"/>
        <v>119301.53625</v>
      </c>
      <c r="AT316" s="125">
        <f t="shared" si="41"/>
        <v>-15530.3775</v>
      </c>
      <c r="AU316" s="125">
        <f>AH316*Valores!$C$74</f>
        <v>-3812.00175</v>
      </c>
      <c r="AV316" s="125">
        <f>AH316*Valores!$C$75</f>
        <v>-423.55575</v>
      </c>
      <c r="AW316" s="125">
        <f t="shared" si="45"/>
        <v>121419.315</v>
      </c>
      <c r="AX316" s="126"/>
      <c r="AY316" s="126"/>
      <c r="AZ316" s="123"/>
      <c r="BA316" s="110"/>
      <c r="BB316" s="110"/>
      <c r="BC316" s="110"/>
      <c r="BD316" s="110"/>
      <c r="BE316" s="110"/>
      <c r="BF316" s="110"/>
      <c r="BG316" s="110"/>
      <c r="BH316" s="110"/>
      <c r="BI316" s="110"/>
      <c r="BJ316" s="110"/>
      <c r="BK316" s="110"/>
      <c r="BL316" s="110"/>
      <c r="BM316" s="110"/>
      <c r="BN316" s="110"/>
      <c r="BO316" s="110"/>
      <c r="BP316" s="110"/>
      <c r="BQ316" s="110"/>
      <c r="BR316" s="110"/>
      <c r="BS316" s="110"/>
      <c r="BT316" s="110"/>
      <c r="BU316" s="110"/>
      <c r="BV316" s="110"/>
      <c r="BW316" s="110"/>
      <c r="BX316" s="110"/>
      <c r="BY316" s="110"/>
      <c r="BZ316" s="110"/>
      <c r="CA316" s="110"/>
      <c r="CB316" s="110"/>
      <c r="CC316" s="110"/>
      <c r="CD316" s="110"/>
      <c r="CE316" s="110"/>
      <c r="CF316" s="110"/>
      <c r="CG316" s="110"/>
      <c r="CH316" s="110"/>
      <c r="CI316" s="110"/>
      <c r="CJ316" s="110"/>
      <c r="CK316" s="110"/>
      <c r="CL316" s="110"/>
      <c r="CM316" s="110"/>
      <c r="CN316" s="110"/>
      <c r="CO316" s="110"/>
      <c r="CP316" s="110"/>
      <c r="CQ316" s="110"/>
      <c r="CR316" s="110"/>
      <c r="CS316" s="110"/>
      <c r="CT316" s="110"/>
      <c r="CU316" s="110"/>
      <c r="CV316" s="110"/>
      <c r="CW316" s="110"/>
      <c r="CX316" s="110"/>
      <c r="CY316" s="110"/>
      <c r="CZ316" s="110"/>
      <c r="DA316" s="110"/>
      <c r="DB316" s="110"/>
      <c r="DC316" s="110"/>
      <c r="DD316" s="110"/>
      <c r="DE316" s="110"/>
      <c r="DF316" s="110"/>
      <c r="DG316" s="110"/>
      <c r="DH316" s="110"/>
      <c r="DI316" s="110"/>
      <c r="DJ316" s="110"/>
      <c r="DK316" s="110"/>
      <c r="DL316" s="110"/>
      <c r="DM316" s="110"/>
      <c r="DN316" s="110"/>
      <c r="DO316" s="110"/>
      <c r="DP316" s="110"/>
      <c r="DQ316" s="110"/>
      <c r="DR316" s="110"/>
      <c r="DS316" s="110"/>
      <c r="DT316" s="110"/>
      <c r="DU316" s="110"/>
      <c r="DV316" s="110"/>
      <c r="DW316" s="110"/>
      <c r="DX316" s="110"/>
      <c r="DY316" s="110"/>
      <c r="DZ316" s="110"/>
      <c r="EA316" s="110"/>
      <c r="EB316" s="110"/>
      <c r="EC316" s="110"/>
      <c r="ED316" s="110"/>
      <c r="EE316" s="110"/>
      <c r="EF316" s="110"/>
      <c r="EG316" s="110"/>
      <c r="EH316" s="110"/>
      <c r="EI316" s="110"/>
      <c r="EJ316" s="110"/>
      <c r="EK316" s="110"/>
      <c r="EL316" s="110"/>
      <c r="EM316" s="110"/>
      <c r="EN316" s="110"/>
      <c r="EO316" s="110"/>
      <c r="EP316" s="110"/>
      <c r="EQ316" s="110"/>
      <c r="ER316" s="110"/>
      <c r="ES316" s="110"/>
      <c r="ET316" s="110"/>
      <c r="EU316" s="110"/>
      <c r="EV316" s="110"/>
      <c r="EW316" s="110"/>
      <c r="EX316" s="110"/>
      <c r="EY316" s="110"/>
      <c r="EZ316" s="110"/>
      <c r="FA316" s="110"/>
      <c r="FB316" s="110"/>
      <c r="FC316" s="110"/>
      <c r="FD316" s="110"/>
      <c r="FE316" s="110"/>
      <c r="FF316" s="110"/>
      <c r="FG316" s="110"/>
      <c r="FH316" s="110"/>
      <c r="FI316" s="110"/>
      <c r="FJ316" s="110"/>
      <c r="FK316" s="110"/>
      <c r="FL316" s="110"/>
      <c r="FM316" s="110"/>
      <c r="FN316" s="110"/>
      <c r="FO316" s="110"/>
      <c r="FP316" s="110"/>
      <c r="FQ316" s="110"/>
      <c r="FR316" s="110"/>
      <c r="FS316" s="110"/>
      <c r="FT316" s="110"/>
      <c r="FU316" s="110"/>
      <c r="FV316" s="110"/>
      <c r="FW316" s="110"/>
      <c r="FX316" s="110"/>
      <c r="FY316" s="110"/>
      <c r="FZ316" s="110"/>
      <c r="GA316" s="110"/>
      <c r="GB316" s="110"/>
      <c r="GC316" s="110"/>
      <c r="GD316" s="110"/>
      <c r="GE316" s="110"/>
      <c r="GF316" s="110"/>
      <c r="GG316" s="110"/>
      <c r="GH316" s="110"/>
      <c r="GI316" s="110"/>
      <c r="GJ316" s="110"/>
      <c r="GK316" s="110"/>
      <c r="GL316" s="110"/>
      <c r="GM316" s="110"/>
      <c r="GN316" s="110"/>
      <c r="GO316" s="110"/>
      <c r="GP316" s="110"/>
      <c r="GQ316" s="110"/>
      <c r="GR316" s="110"/>
      <c r="GS316" s="110"/>
      <c r="GT316" s="110"/>
      <c r="GU316" s="110"/>
      <c r="GV316" s="110"/>
      <c r="GW316" s="110"/>
      <c r="GX316" s="110"/>
      <c r="GY316" s="110"/>
      <c r="GZ316" s="110"/>
      <c r="HA316" s="110"/>
      <c r="HB316" s="110"/>
      <c r="HC316" s="110"/>
      <c r="HD316" s="110"/>
      <c r="HE316" s="110"/>
      <c r="HF316" s="110"/>
      <c r="HG316" s="110"/>
      <c r="HH316" s="110"/>
      <c r="HI316" s="110"/>
      <c r="HJ316" s="110"/>
      <c r="HK316" s="110"/>
      <c r="HL316" s="110"/>
      <c r="HM316" s="110"/>
      <c r="HN316" s="110"/>
      <c r="HO316" s="110"/>
      <c r="HP316" s="110"/>
      <c r="HQ316" s="110"/>
      <c r="HR316" s="110"/>
      <c r="HS316" s="110"/>
      <c r="HT316" s="110"/>
      <c r="HU316" s="110"/>
      <c r="HV316" s="110"/>
      <c r="HW316" s="110"/>
      <c r="HX316" s="110"/>
      <c r="HY316" s="110"/>
      <c r="HZ316" s="110"/>
      <c r="IA316" s="110"/>
      <c r="IB316" s="110"/>
      <c r="IC316" s="110"/>
      <c r="ID316" s="110"/>
      <c r="IE316" s="110"/>
      <c r="IF316" s="110"/>
      <c r="IG316" s="110"/>
      <c r="IH316" s="110"/>
      <c r="II316" s="110"/>
      <c r="IJ316" s="110"/>
      <c r="IK316" s="110"/>
      <c r="IL316" s="110"/>
      <c r="IM316" s="110"/>
      <c r="IN316" s="110"/>
      <c r="IO316" s="110"/>
      <c r="IP316" s="110"/>
      <c r="IQ316" s="110"/>
      <c r="IR316" s="110"/>
      <c r="IS316" s="110"/>
      <c r="IT316" s="110"/>
      <c r="IU316" s="110"/>
      <c r="IV316" s="110"/>
      <c r="IW316" s="110"/>
      <c r="IX316" s="110"/>
      <c r="IY316" s="110"/>
      <c r="IZ316" s="110"/>
      <c r="JA316" s="110"/>
      <c r="JB316" s="110"/>
      <c r="JC316" s="110"/>
      <c r="JD316" s="110"/>
      <c r="JE316" s="110"/>
      <c r="JF316" s="110"/>
      <c r="JG316" s="110"/>
      <c r="JH316" s="110"/>
      <c r="JI316" s="110"/>
      <c r="JJ316" s="110"/>
      <c r="JK316" s="110"/>
      <c r="JL316" s="110"/>
      <c r="JM316" s="110"/>
      <c r="JN316" s="110"/>
      <c r="JO316" s="110"/>
      <c r="JP316" s="110"/>
      <c r="JQ316" s="110"/>
      <c r="JR316" s="110"/>
      <c r="JS316" s="110"/>
      <c r="JT316" s="110"/>
      <c r="JU316" s="110"/>
      <c r="JV316" s="110"/>
      <c r="JW316" s="110"/>
      <c r="JX316" s="110"/>
      <c r="JY316" s="110"/>
      <c r="JZ316" s="110"/>
      <c r="KA316" s="110"/>
      <c r="KB316" s="110"/>
      <c r="KC316" s="110"/>
      <c r="KD316" s="110"/>
      <c r="KE316" s="110"/>
      <c r="KF316" s="110"/>
      <c r="KG316" s="110"/>
      <c r="KH316" s="110"/>
      <c r="KI316" s="110"/>
      <c r="KJ316" s="110"/>
      <c r="KK316" s="110"/>
      <c r="KL316" s="110"/>
      <c r="KM316" s="110"/>
      <c r="KN316" s="110"/>
      <c r="KO316" s="110"/>
      <c r="KP316" s="110"/>
      <c r="KQ316" s="110"/>
      <c r="KR316" s="110"/>
      <c r="KS316" s="110"/>
      <c r="KT316" s="110"/>
      <c r="KU316" s="110"/>
      <c r="KV316" s="110"/>
      <c r="KW316" s="110"/>
      <c r="KX316" s="110"/>
      <c r="KY316" s="110"/>
      <c r="KZ316" s="110"/>
      <c r="LA316" s="110"/>
      <c r="LB316" s="110"/>
      <c r="LC316" s="110"/>
      <c r="LD316" s="110"/>
      <c r="LE316" s="110"/>
      <c r="LF316" s="110"/>
      <c r="LG316" s="110"/>
      <c r="LH316" s="110"/>
      <c r="LI316" s="110"/>
      <c r="LJ316" s="110"/>
      <c r="LK316" s="110"/>
      <c r="LL316" s="110"/>
      <c r="LM316" s="110"/>
      <c r="LN316" s="110"/>
      <c r="LO316" s="110"/>
      <c r="LP316" s="110"/>
      <c r="LQ316" s="110"/>
      <c r="LR316" s="110"/>
      <c r="LS316" s="110"/>
      <c r="LT316" s="110"/>
      <c r="LU316" s="110"/>
      <c r="LV316" s="110"/>
      <c r="LW316" s="110"/>
      <c r="LX316" s="110"/>
      <c r="LY316" s="110"/>
      <c r="LZ316" s="110"/>
      <c r="MA316" s="110"/>
      <c r="MB316" s="110"/>
      <c r="MC316" s="110"/>
      <c r="MD316" s="110"/>
      <c r="ME316" s="110"/>
      <c r="MF316" s="110"/>
      <c r="MG316" s="110"/>
      <c r="MH316" s="110"/>
      <c r="MI316" s="110"/>
      <c r="MJ316" s="110"/>
      <c r="MK316" s="110"/>
      <c r="ML316" s="110"/>
      <c r="MM316" s="110"/>
      <c r="MN316" s="110"/>
      <c r="MO316" s="110"/>
      <c r="MP316" s="110"/>
      <c r="MQ316" s="110"/>
      <c r="MR316" s="110"/>
      <c r="MS316" s="110"/>
      <c r="MT316" s="110"/>
      <c r="MU316" s="110"/>
      <c r="MV316" s="110"/>
      <c r="MW316" s="110"/>
      <c r="MX316" s="110"/>
      <c r="MY316" s="110"/>
      <c r="MZ316" s="110"/>
      <c r="NA316" s="110"/>
      <c r="NB316" s="110"/>
      <c r="NC316" s="110"/>
      <c r="ND316" s="110"/>
      <c r="NE316" s="110"/>
      <c r="NF316" s="110"/>
      <c r="NG316" s="110"/>
      <c r="NH316" s="110"/>
      <c r="NI316" s="110"/>
      <c r="NJ316" s="110"/>
      <c r="NK316" s="110"/>
      <c r="NL316" s="110"/>
      <c r="NM316" s="110"/>
      <c r="NN316" s="110"/>
      <c r="NO316" s="110"/>
      <c r="NP316" s="110"/>
      <c r="NQ316" s="110"/>
      <c r="NR316" s="110"/>
      <c r="NS316" s="110"/>
      <c r="NT316" s="110"/>
      <c r="NU316" s="110"/>
      <c r="NV316" s="110"/>
      <c r="NW316" s="110"/>
      <c r="NX316" s="110"/>
      <c r="NY316" s="110"/>
      <c r="NZ316" s="110"/>
      <c r="OA316" s="110"/>
      <c r="OB316" s="110"/>
      <c r="OC316" s="110"/>
      <c r="OD316" s="110"/>
      <c r="OE316" s="110"/>
      <c r="OF316" s="110"/>
      <c r="OG316" s="110"/>
      <c r="OH316" s="110"/>
      <c r="OI316" s="110"/>
      <c r="OJ316" s="110"/>
      <c r="OK316" s="110"/>
      <c r="OL316" s="110"/>
      <c r="OM316" s="110"/>
      <c r="ON316" s="110"/>
      <c r="OO316" s="110"/>
      <c r="OP316" s="110"/>
      <c r="OQ316" s="110"/>
      <c r="OR316" s="110"/>
      <c r="OS316" s="110"/>
      <c r="OT316" s="110"/>
      <c r="OU316" s="110"/>
      <c r="OV316" s="110"/>
      <c r="OW316" s="110"/>
      <c r="OX316" s="110"/>
      <c r="OY316" s="110"/>
      <c r="OZ316" s="110"/>
      <c r="PA316" s="110"/>
      <c r="PB316" s="110"/>
      <c r="PC316" s="110"/>
      <c r="PD316" s="110"/>
      <c r="PE316" s="110"/>
      <c r="PF316" s="110"/>
      <c r="PG316" s="110"/>
      <c r="PH316" s="110"/>
      <c r="PI316" s="110"/>
      <c r="PJ316" s="110"/>
      <c r="PK316" s="110"/>
      <c r="PL316" s="110"/>
      <c r="PM316" s="110"/>
      <c r="PN316" s="110"/>
      <c r="PO316" s="110"/>
      <c r="PP316" s="110"/>
      <c r="PQ316" s="110"/>
      <c r="PR316" s="110"/>
      <c r="PS316" s="110"/>
      <c r="PT316" s="110"/>
      <c r="PU316" s="110"/>
      <c r="PV316" s="110"/>
      <c r="PW316" s="110"/>
      <c r="PX316" s="110"/>
      <c r="PY316" s="110"/>
      <c r="PZ316" s="110"/>
      <c r="QA316" s="110"/>
      <c r="QB316" s="110"/>
      <c r="QC316" s="110"/>
      <c r="QD316" s="110"/>
      <c r="QE316" s="110"/>
      <c r="QF316" s="110"/>
      <c r="QG316" s="110"/>
      <c r="QH316" s="110"/>
      <c r="QI316" s="110"/>
      <c r="QJ316" s="110"/>
      <c r="QK316" s="110"/>
      <c r="QL316" s="110"/>
      <c r="QM316" s="110"/>
      <c r="QN316" s="110"/>
      <c r="QO316" s="110"/>
      <c r="QP316" s="110"/>
      <c r="QQ316" s="110"/>
      <c r="QR316" s="110"/>
      <c r="QS316" s="110"/>
      <c r="QT316" s="110"/>
      <c r="QU316" s="110"/>
      <c r="QV316" s="110"/>
      <c r="QW316" s="110"/>
      <c r="QX316" s="110"/>
      <c r="QY316" s="110"/>
      <c r="QZ316" s="110"/>
      <c r="RA316" s="110"/>
      <c r="RB316" s="110"/>
      <c r="RC316" s="110"/>
      <c r="RD316" s="110"/>
      <c r="RE316" s="110"/>
      <c r="RF316" s="110"/>
      <c r="RG316" s="110"/>
      <c r="RH316" s="110"/>
      <c r="RI316" s="110"/>
      <c r="RJ316" s="110"/>
      <c r="RK316" s="110"/>
      <c r="RL316" s="110"/>
      <c r="RM316" s="110"/>
      <c r="RN316" s="110"/>
      <c r="RO316" s="110"/>
      <c r="RP316" s="110"/>
      <c r="RQ316" s="110"/>
      <c r="RR316" s="110"/>
      <c r="RS316" s="110"/>
      <c r="RT316" s="110"/>
      <c r="RU316" s="110"/>
      <c r="RV316" s="110"/>
      <c r="RW316" s="110"/>
      <c r="RX316" s="110"/>
      <c r="RY316" s="110"/>
      <c r="RZ316" s="110"/>
      <c r="SA316" s="110"/>
      <c r="SB316" s="110"/>
      <c r="SC316" s="110"/>
      <c r="SD316" s="110"/>
      <c r="SE316" s="110"/>
      <c r="SF316" s="110"/>
      <c r="SG316" s="110"/>
      <c r="SH316" s="110"/>
      <c r="SI316" s="110"/>
      <c r="SJ316" s="110"/>
      <c r="SK316" s="110"/>
      <c r="SL316" s="110"/>
      <c r="SM316" s="110"/>
      <c r="SN316" s="110"/>
      <c r="SO316" s="110"/>
      <c r="SP316" s="110"/>
      <c r="SQ316" s="110"/>
      <c r="SR316" s="110"/>
      <c r="SS316" s="110"/>
      <c r="ST316" s="110"/>
      <c r="SU316" s="110"/>
      <c r="SV316" s="110"/>
      <c r="SW316" s="110"/>
      <c r="SX316" s="110"/>
      <c r="SY316" s="110"/>
      <c r="SZ316" s="110"/>
      <c r="TA316" s="110"/>
      <c r="TB316" s="110"/>
      <c r="TC316" s="110"/>
      <c r="TD316" s="110"/>
      <c r="TE316" s="110"/>
      <c r="TF316" s="110"/>
      <c r="TG316" s="110"/>
      <c r="TH316" s="110"/>
      <c r="TI316" s="110"/>
      <c r="TJ316" s="110"/>
      <c r="TK316" s="110"/>
      <c r="TL316" s="110"/>
      <c r="TM316" s="110"/>
      <c r="TN316" s="110"/>
      <c r="TO316" s="110"/>
      <c r="TP316" s="110"/>
      <c r="TQ316" s="110"/>
      <c r="TR316" s="110"/>
      <c r="TS316" s="110"/>
      <c r="TT316" s="110"/>
      <c r="TU316" s="110"/>
      <c r="TV316" s="110"/>
      <c r="TW316" s="110"/>
      <c r="TX316" s="110"/>
      <c r="TY316" s="110"/>
      <c r="TZ316" s="110"/>
      <c r="UA316" s="110"/>
      <c r="UB316" s="110"/>
      <c r="UC316" s="110"/>
      <c r="UD316" s="110"/>
      <c r="UE316" s="110"/>
      <c r="UF316" s="110"/>
      <c r="UG316" s="110"/>
      <c r="UH316" s="110"/>
      <c r="UI316" s="110"/>
      <c r="UJ316" s="110"/>
      <c r="UK316" s="110"/>
      <c r="UL316" s="110"/>
      <c r="UM316" s="110"/>
      <c r="UN316" s="110"/>
      <c r="UO316" s="110"/>
      <c r="UP316" s="110"/>
      <c r="UQ316" s="110"/>
      <c r="UR316" s="110"/>
      <c r="US316" s="110"/>
      <c r="UT316" s="110"/>
      <c r="UU316" s="110"/>
      <c r="UV316" s="110"/>
      <c r="UW316" s="110"/>
      <c r="UX316" s="110"/>
      <c r="UY316" s="110"/>
      <c r="UZ316" s="110"/>
      <c r="VA316" s="110"/>
      <c r="VB316" s="110"/>
      <c r="VC316" s="110"/>
      <c r="VD316" s="110"/>
      <c r="VE316" s="110"/>
      <c r="VF316" s="110"/>
      <c r="VG316" s="110"/>
      <c r="VH316" s="110"/>
      <c r="VI316" s="110"/>
      <c r="VJ316" s="110"/>
      <c r="VK316" s="110"/>
      <c r="VL316" s="110"/>
      <c r="VM316" s="110"/>
      <c r="VN316" s="110"/>
      <c r="VO316" s="110"/>
      <c r="VP316" s="110"/>
      <c r="VQ316" s="110"/>
      <c r="VR316" s="110"/>
      <c r="VS316" s="110"/>
      <c r="VT316" s="110"/>
      <c r="VU316" s="110"/>
      <c r="VV316" s="110"/>
      <c r="VW316" s="110"/>
      <c r="VX316" s="110"/>
      <c r="VY316" s="110"/>
      <c r="VZ316" s="110"/>
      <c r="WA316" s="110"/>
      <c r="WB316" s="110"/>
      <c r="WC316" s="110"/>
      <c r="WD316" s="110"/>
      <c r="WE316" s="110"/>
      <c r="WF316" s="110"/>
      <c r="WG316" s="110"/>
      <c r="WH316" s="110"/>
      <c r="WI316" s="110"/>
      <c r="WJ316" s="110"/>
      <c r="WK316" s="110"/>
      <c r="WL316" s="110"/>
      <c r="WM316" s="110"/>
      <c r="WN316" s="110"/>
      <c r="WO316" s="110"/>
      <c r="WP316" s="110"/>
      <c r="WQ316" s="110"/>
      <c r="WR316" s="110"/>
      <c r="WS316" s="110"/>
      <c r="WT316" s="110"/>
      <c r="WU316" s="110"/>
      <c r="WV316" s="110"/>
      <c r="WW316" s="110"/>
      <c r="WX316" s="110"/>
      <c r="WY316" s="110"/>
      <c r="WZ316" s="110"/>
      <c r="XA316" s="110"/>
      <c r="XB316" s="110"/>
      <c r="XC316" s="110"/>
      <c r="XD316" s="110"/>
      <c r="XE316" s="110"/>
      <c r="XF316" s="110"/>
      <c r="XG316" s="110"/>
      <c r="XH316" s="110"/>
      <c r="XI316" s="110"/>
      <c r="XJ316" s="110"/>
      <c r="XK316" s="110"/>
      <c r="XL316" s="110"/>
      <c r="XM316" s="110"/>
      <c r="XN316" s="110"/>
      <c r="XO316" s="110"/>
      <c r="XP316" s="110"/>
      <c r="XQ316" s="110"/>
      <c r="XR316" s="110"/>
      <c r="XS316" s="110"/>
      <c r="XT316" s="110"/>
      <c r="XU316" s="110"/>
      <c r="XV316" s="110"/>
      <c r="XW316" s="110"/>
      <c r="XX316" s="110"/>
      <c r="XY316" s="110"/>
      <c r="XZ316" s="110"/>
      <c r="YA316" s="110"/>
      <c r="YB316" s="110"/>
      <c r="YC316" s="110"/>
      <c r="YD316" s="110"/>
      <c r="YE316" s="110"/>
      <c r="YF316" s="110"/>
      <c r="YG316" s="110"/>
      <c r="YH316" s="110"/>
      <c r="YI316" s="110"/>
      <c r="YJ316" s="110"/>
      <c r="YK316" s="110"/>
      <c r="YL316" s="110"/>
      <c r="YM316" s="110"/>
      <c r="YN316" s="110"/>
      <c r="YO316" s="110"/>
      <c r="YP316" s="110"/>
      <c r="YQ316" s="110"/>
      <c r="YR316" s="110"/>
      <c r="YS316" s="110"/>
      <c r="YT316" s="110"/>
      <c r="YU316" s="110"/>
      <c r="YV316" s="110"/>
      <c r="YW316" s="110"/>
      <c r="YX316" s="110"/>
      <c r="YY316" s="110"/>
      <c r="YZ316" s="110"/>
      <c r="ZA316" s="110"/>
      <c r="ZB316" s="110"/>
      <c r="ZC316" s="110"/>
      <c r="ZD316" s="110"/>
      <c r="ZE316" s="110"/>
      <c r="ZF316" s="110"/>
      <c r="ZG316" s="110"/>
      <c r="ZH316" s="110"/>
      <c r="ZI316" s="110"/>
      <c r="ZJ316" s="110"/>
      <c r="ZK316" s="110"/>
      <c r="ZL316" s="110"/>
      <c r="ZM316" s="110"/>
      <c r="ZN316" s="110"/>
      <c r="ZO316" s="110"/>
      <c r="ZP316" s="110"/>
      <c r="ZQ316" s="110"/>
      <c r="ZR316" s="110"/>
      <c r="ZS316" s="110"/>
      <c r="ZT316" s="110"/>
      <c r="ZU316" s="110"/>
      <c r="ZV316" s="110"/>
      <c r="ZW316" s="110"/>
      <c r="ZX316" s="110"/>
      <c r="ZY316" s="110"/>
      <c r="ZZ316" s="110"/>
      <c r="AAA316" s="110"/>
      <c r="AAB316" s="110"/>
      <c r="AAC316" s="110"/>
      <c r="AAD316" s="110"/>
      <c r="AAE316" s="110"/>
      <c r="AAF316" s="110"/>
      <c r="AAG316" s="110"/>
      <c r="AAH316" s="110"/>
      <c r="AAI316" s="110"/>
      <c r="AAJ316" s="110"/>
      <c r="AAK316" s="110"/>
      <c r="AAL316" s="110"/>
      <c r="AAM316" s="110"/>
      <c r="AAN316" s="110"/>
      <c r="AAO316" s="110"/>
      <c r="AAP316" s="110"/>
      <c r="AAQ316" s="110"/>
      <c r="AAR316" s="110"/>
      <c r="AAS316" s="110"/>
      <c r="AAT316" s="110"/>
      <c r="AAU316" s="110"/>
      <c r="AAV316" s="110"/>
      <c r="AAW316" s="110"/>
      <c r="AAX316" s="110"/>
      <c r="AAY316" s="110"/>
      <c r="AAZ316" s="110"/>
      <c r="ABA316" s="110"/>
      <c r="ABB316" s="110"/>
      <c r="ABC316" s="110"/>
      <c r="ABD316" s="110"/>
      <c r="ABE316" s="110"/>
      <c r="ABF316" s="110"/>
      <c r="ABG316" s="110"/>
      <c r="ABH316" s="110"/>
      <c r="ABI316" s="110"/>
      <c r="ABJ316" s="110"/>
      <c r="ABK316" s="110"/>
      <c r="ABL316" s="110"/>
      <c r="ABM316" s="110"/>
      <c r="ABN316" s="110"/>
      <c r="ABO316" s="110"/>
      <c r="ABP316" s="110"/>
      <c r="ABQ316" s="110"/>
      <c r="ABR316" s="110"/>
      <c r="ABS316" s="110"/>
      <c r="ABT316" s="110"/>
      <c r="ABU316" s="110"/>
      <c r="ABV316" s="110"/>
      <c r="ABW316" s="110"/>
      <c r="ABX316" s="110"/>
      <c r="ABY316" s="110"/>
      <c r="ABZ316" s="110"/>
      <c r="ACA316" s="110"/>
      <c r="ACB316" s="110"/>
      <c r="ACC316" s="110"/>
      <c r="ACD316" s="110"/>
      <c r="ACE316" s="110"/>
      <c r="ACF316" s="110"/>
      <c r="ACG316" s="110"/>
      <c r="ACH316" s="110"/>
      <c r="ACI316" s="110"/>
      <c r="ACJ316" s="110"/>
      <c r="ACK316" s="110"/>
      <c r="ACL316" s="110"/>
      <c r="ACM316" s="110"/>
      <c r="ACN316" s="110"/>
      <c r="ACO316" s="110"/>
      <c r="ACP316" s="110"/>
      <c r="ACQ316" s="110"/>
      <c r="ACR316" s="110"/>
      <c r="ACS316" s="110"/>
      <c r="ACT316" s="110"/>
      <c r="ACU316" s="110"/>
      <c r="ACV316" s="110"/>
      <c r="ACW316" s="110"/>
      <c r="ACX316" s="110"/>
      <c r="ACY316" s="110"/>
      <c r="ACZ316" s="110"/>
      <c r="ADA316" s="110"/>
      <c r="ADB316" s="110"/>
      <c r="ADC316" s="110"/>
      <c r="ADD316" s="110"/>
      <c r="ADE316" s="110"/>
      <c r="ADF316" s="110"/>
      <c r="ADG316" s="110"/>
      <c r="ADH316" s="110"/>
      <c r="ADI316" s="110"/>
      <c r="ADJ316" s="110"/>
      <c r="ADK316" s="110"/>
      <c r="ADL316" s="110"/>
      <c r="ADM316" s="110"/>
      <c r="ADN316" s="110"/>
      <c r="ADO316" s="110"/>
      <c r="ADP316" s="110"/>
      <c r="ADQ316" s="110"/>
      <c r="ADR316" s="110"/>
      <c r="ADS316" s="110"/>
      <c r="ADT316" s="110"/>
      <c r="ADU316" s="110"/>
      <c r="ADV316" s="110"/>
      <c r="ADW316" s="110"/>
      <c r="ADX316" s="110"/>
      <c r="ADY316" s="110"/>
      <c r="ADZ316" s="110"/>
      <c r="AEA316" s="110"/>
      <c r="AEB316" s="110"/>
      <c r="AEC316" s="110"/>
      <c r="AED316" s="110"/>
      <c r="AEE316" s="110"/>
      <c r="AEF316" s="110"/>
      <c r="AEG316" s="110"/>
      <c r="AEH316" s="110"/>
      <c r="AEI316" s="110"/>
      <c r="AEJ316" s="110"/>
      <c r="AEK316" s="110"/>
      <c r="AEL316" s="110"/>
      <c r="AEM316" s="110"/>
      <c r="AEN316" s="110"/>
      <c r="AEO316" s="110"/>
      <c r="AEP316" s="110"/>
      <c r="AEQ316" s="110"/>
      <c r="AER316" s="110"/>
      <c r="AES316" s="110"/>
      <c r="AET316" s="110"/>
      <c r="AEU316" s="110"/>
      <c r="AEV316" s="110"/>
      <c r="AEW316" s="110"/>
      <c r="AEX316" s="110"/>
      <c r="AEY316" s="110"/>
      <c r="AEZ316" s="110"/>
      <c r="AFA316" s="110"/>
      <c r="AFB316" s="110"/>
      <c r="AFC316" s="110"/>
      <c r="AFD316" s="110"/>
      <c r="AFE316" s="110"/>
      <c r="AFF316" s="110"/>
      <c r="AFG316" s="110"/>
      <c r="AFH316" s="110"/>
      <c r="AFI316" s="110"/>
      <c r="AFJ316" s="110"/>
      <c r="AFK316" s="110"/>
      <c r="AFL316" s="110"/>
      <c r="AFM316" s="110"/>
      <c r="AFN316" s="110"/>
      <c r="AFO316" s="110"/>
      <c r="AFP316" s="110"/>
      <c r="AFQ316" s="110"/>
      <c r="AFR316" s="110"/>
      <c r="AFS316" s="110"/>
      <c r="AFT316" s="110"/>
      <c r="AFU316" s="110"/>
      <c r="AFV316" s="110"/>
      <c r="AFW316" s="110"/>
      <c r="AFX316" s="110"/>
      <c r="AFY316" s="110"/>
      <c r="AFZ316" s="110"/>
      <c r="AGA316" s="110"/>
      <c r="AGB316" s="110"/>
      <c r="AGC316" s="110"/>
      <c r="AGD316" s="110"/>
      <c r="AGE316" s="110"/>
      <c r="AGF316" s="110"/>
      <c r="AGG316" s="110"/>
      <c r="AGH316" s="110"/>
      <c r="AGI316" s="110"/>
      <c r="AGJ316" s="110"/>
      <c r="AGK316" s="110"/>
      <c r="AGL316" s="110"/>
      <c r="AGM316" s="110"/>
      <c r="AGN316" s="110"/>
      <c r="AGO316" s="110"/>
      <c r="AGP316" s="110"/>
      <c r="AGQ316" s="110"/>
      <c r="AGR316" s="110"/>
      <c r="AGS316" s="110"/>
      <c r="AGT316" s="110"/>
      <c r="AGU316" s="110"/>
      <c r="AGV316" s="110"/>
      <c r="AGW316" s="110"/>
      <c r="AGX316" s="110"/>
      <c r="AGY316" s="110"/>
      <c r="AGZ316" s="110"/>
      <c r="AHA316" s="110"/>
      <c r="AHB316" s="110"/>
      <c r="AHC316" s="110"/>
      <c r="AHD316" s="110"/>
      <c r="AHE316" s="110"/>
      <c r="AHF316" s="110"/>
      <c r="AHG316" s="110"/>
      <c r="AHH316" s="110"/>
      <c r="AHI316" s="110"/>
      <c r="AHJ316" s="110"/>
      <c r="AHK316" s="110"/>
      <c r="AHL316" s="110"/>
      <c r="AHM316" s="110"/>
      <c r="AHN316" s="110"/>
      <c r="AHO316" s="110"/>
      <c r="AHP316" s="110"/>
      <c r="AHQ316" s="110"/>
      <c r="AHR316" s="110"/>
      <c r="AHS316" s="110"/>
      <c r="AHT316" s="110"/>
      <c r="AHU316" s="110"/>
      <c r="AHV316" s="110"/>
      <c r="AHW316" s="110"/>
      <c r="AHX316" s="110"/>
      <c r="AHY316" s="110"/>
      <c r="AHZ316" s="110"/>
      <c r="AIA316" s="110"/>
      <c r="AIB316" s="110"/>
      <c r="AIC316" s="110"/>
      <c r="AID316" s="110"/>
      <c r="AIE316" s="110"/>
      <c r="AIF316" s="110"/>
      <c r="AIG316" s="110"/>
      <c r="AIH316" s="110"/>
      <c r="AII316" s="110"/>
      <c r="AIJ316" s="110"/>
      <c r="AIK316" s="110"/>
      <c r="AIL316" s="110"/>
      <c r="AIM316" s="110"/>
      <c r="AIN316" s="110"/>
      <c r="AIO316" s="110"/>
      <c r="AIP316" s="110"/>
      <c r="AIQ316" s="110"/>
      <c r="AIR316" s="110"/>
      <c r="AIS316" s="110"/>
      <c r="AIT316" s="110"/>
      <c r="AIU316" s="110"/>
      <c r="AIV316" s="110"/>
      <c r="AIW316" s="110"/>
      <c r="AIX316" s="110"/>
      <c r="AIY316" s="110"/>
      <c r="AIZ316" s="110"/>
      <c r="AJA316" s="110"/>
      <c r="AJB316" s="110"/>
      <c r="AJC316" s="110"/>
      <c r="AJD316" s="110"/>
      <c r="AJE316" s="110"/>
      <c r="AJF316" s="110"/>
      <c r="AJG316" s="110"/>
      <c r="AJH316" s="110"/>
      <c r="AJI316" s="110"/>
      <c r="AJJ316" s="110"/>
      <c r="AJK316" s="110"/>
      <c r="AJL316" s="110"/>
      <c r="AJM316" s="110"/>
      <c r="AJN316" s="110"/>
      <c r="AJO316" s="110"/>
      <c r="AJP316" s="110"/>
      <c r="AJQ316" s="110"/>
      <c r="AJR316" s="110"/>
      <c r="AJS316" s="110"/>
      <c r="AJT316" s="110"/>
      <c r="AJU316" s="110"/>
      <c r="AJV316" s="110"/>
      <c r="AJW316" s="110"/>
      <c r="AJX316" s="110"/>
      <c r="AJY316" s="110"/>
      <c r="AJZ316" s="110"/>
      <c r="AKA316" s="110"/>
      <c r="AKB316" s="110"/>
      <c r="AKC316" s="110"/>
      <c r="AKD316" s="110"/>
      <c r="AKE316" s="110"/>
      <c r="AKF316" s="110"/>
      <c r="AKG316" s="110"/>
      <c r="AKH316" s="110"/>
      <c r="AKI316" s="110"/>
      <c r="AKJ316" s="110"/>
      <c r="AKK316" s="110"/>
      <c r="AKL316" s="110"/>
      <c r="AKM316" s="110"/>
      <c r="AKN316" s="110"/>
      <c r="AKO316" s="110"/>
      <c r="AKP316" s="110"/>
      <c r="AKQ316" s="110"/>
      <c r="AKR316" s="110"/>
      <c r="AKS316" s="110"/>
      <c r="AKT316" s="110"/>
      <c r="AKU316" s="110"/>
      <c r="AKV316" s="110"/>
      <c r="AKW316" s="110"/>
      <c r="AKX316" s="110"/>
      <c r="AKY316" s="110"/>
      <c r="AKZ316" s="110"/>
      <c r="ALA316" s="110"/>
      <c r="ALB316" s="110"/>
      <c r="ALC316" s="110"/>
      <c r="ALD316" s="110"/>
      <c r="ALE316" s="110"/>
      <c r="ALF316" s="110"/>
      <c r="ALG316" s="110"/>
      <c r="ALH316" s="110"/>
      <c r="ALI316" s="110"/>
      <c r="ALJ316" s="110"/>
      <c r="ALK316" s="110"/>
      <c r="ALL316" s="110"/>
      <c r="ALM316" s="110"/>
      <c r="ALN316" s="110"/>
      <c r="ALO316" s="110"/>
      <c r="ALP316" s="110"/>
      <c r="ALQ316" s="110"/>
      <c r="ALR316" s="110"/>
      <c r="ALS316" s="110"/>
      <c r="ALT316" s="110"/>
      <c r="ALU316" s="110"/>
      <c r="ALV316" s="110"/>
      <c r="ALW316" s="110"/>
      <c r="ALX316" s="110"/>
      <c r="ALY316" s="110"/>
      <c r="ALZ316" s="110"/>
      <c r="AMA316" s="110"/>
      <c r="AMB316" s="110"/>
      <c r="AMC316" s="110"/>
      <c r="AMD316" s="110"/>
      <c r="AME316" s="110"/>
      <c r="AMF316" s="110"/>
    </row>
    <row r="317" spans="1:1020" s="142" customFormat="1" ht="11.25" customHeight="1">
      <c r="A317" s="123"/>
      <c r="B317" s="141">
        <v>13</v>
      </c>
      <c r="C317" s="126">
        <v>310</v>
      </c>
      <c r="D317" s="127" t="s">
        <v>491</v>
      </c>
      <c r="E317" s="194">
        <f t="shared" si="52"/>
        <v>2015</v>
      </c>
      <c r="F317" s="125">
        <f>ROUND(E317*Valores!$C$2,2)</f>
        <v>109716.75</v>
      </c>
      <c r="G317" s="192">
        <v>0</v>
      </c>
      <c r="H317" s="125">
        <f>ROUND(G317*Valores!$C$2,2)</f>
        <v>0</v>
      </c>
      <c r="I317" s="192">
        <v>0</v>
      </c>
      <c r="J317" s="125">
        <f>ROUND(I317*Valores!$C$2,2)</f>
        <v>0</v>
      </c>
      <c r="K317" s="192">
        <v>0</v>
      </c>
      <c r="L317" s="125">
        <f>ROUND(K317*Valores!$C$2,2)</f>
        <v>0</v>
      </c>
      <c r="M317" s="125">
        <f>ROUND(IF($H$2=0,IF(AND(A317&lt;&gt;"13-930",A317&lt;&gt;"13-940"),(SUM(F317,H317,J317,L317,X317,T317,R317)*Valores!$C$4),0),0),2)</f>
        <v>30590.14</v>
      </c>
      <c r="N317" s="125">
        <f t="shared" si="42"/>
        <v>0</v>
      </c>
      <c r="O317" s="125">
        <v>0</v>
      </c>
      <c r="P317" s="125">
        <v>0</v>
      </c>
      <c r="Q317" s="125">
        <v>0</v>
      </c>
      <c r="R317" s="125">
        <f>IF($F$4="NO",IF(Valores!$C$49*B317&gt;Valores!$C$46,Valores!$C$46,Valores!$C$49*B317),IF(Valores!$C$49*B317&gt;Valores!$C$46,Valores!$C$46,Valores!$C$49*B317)/2)</f>
        <v>12643.800000000001</v>
      </c>
      <c r="S317" s="125">
        <v>0</v>
      </c>
      <c r="T317" s="125">
        <f t="shared" si="51"/>
        <v>0</v>
      </c>
      <c r="U317" s="125">
        <v>0</v>
      </c>
      <c r="V317" s="125">
        <v>0</v>
      </c>
      <c r="W317" s="192">
        <v>0</v>
      </c>
      <c r="X317" s="125">
        <f>ROUND(W317*Valores!$C$2,2)</f>
        <v>0</v>
      </c>
      <c r="Y317" s="125">
        <v>0</v>
      </c>
      <c r="Z317" s="125">
        <v>0</v>
      </c>
      <c r="AA317" s="125">
        <v>0</v>
      </c>
      <c r="AB317" s="214">
        <v>0</v>
      </c>
      <c r="AC317" s="125">
        <f t="shared" si="43"/>
        <v>0</v>
      </c>
      <c r="AD317" s="125">
        <v>0</v>
      </c>
      <c r="AE317" s="192">
        <v>0</v>
      </c>
      <c r="AF317" s="125">
        <f>ROUND(AE317*Valores!$C$2,2)</f>
        <v>0</v>
      </c>
      <c r="AG317" s="125">
        <v>0</v>
      </c>
      <c r="AH317" s="125">
        <f t="shared" si="46"/>
        <v>152950.69</v>
      </c>
      <c r="AI317" s="125">
        <v>0</v>
      </c>
      <c r="AJ317" s="125">
        <v>0</v>
      </c>
      <c r="AK317" s="125">
        <v>0</v>
      </c>
      <c r="AL317" s="125">
        <v>0</v>
      </c>
      <c r="AM317" s="125">
        <f t="shared" si="44"/>
        <v>0</v>
      </c>
      <c r="AN317" s="125">
        <f>AH317*Valores!$C$71</f>
        <v>-16824.5759</v>
      </c>
      <c r="AO317" s="125">
        <f>AH317*-Valores!$C$72</f>
        <v>0</v>
      </c>
      <c r="AP317" s="125">
        <f>AH317*Valores!$C$73</f>
        <v>-6882.78105</v>
      </c>
      <c r="AQ317" s="125">
        <v>0</v>
      </c>
      <c r="AR317" s="125">
        <v>0</v>
      </c>
      <c r="AS317" s="125">
        <f t="shared" si="47"/>
        <v>129243.33305</v>
      </c>
      <c r="AT317" s="125">
        <f t="shared" si="41"/>
        <v>-16824.5759</v>
      </c>
      <c r="AU317" s="125">
        <f>AH317*Valores!$C$74</f>
        <v>-4129.66863</v>
      </c>
      <c r="AV317" s="125">
        <f>AH317*Valores!$C$75</f>
        <v>-458.85207</v>
      </c>
      <c r="AW317" s="125">
        <f t="shared" si="45"/>
        <v>131537.5934</v>
      </c>
      <c r="AX317" s="126"/>
      <c r="AY317" s="126"/>
      <c r="AZ317" s="123"/>
      <c r="BA317" s="110"/>
      <c r="BB317" s="110"/>
      <c r="BC317" s="110"/>
      <c r="BD317" s="110"/>
      <c r="BE317" s="110"/>
      <c r="BF317" s="110"/>
      <c r="BG317" s="110"/>
      <c r="BH317" s="110"/>
      <c r="BI317" s="110"/>
      <c r="BJ317" s="110"/>
      <c r="BK317" s="110"/>
      <c r="BL317" s="110"/>
      <c r="BM317" s="110"/>
      <c r="BN317" s="110"/>
      <c r="BO317" s="110"/>
      <c r="BP317" s="110"/>
      <c r="BQ317" s="110"/>
      <c r="BR317" s="110"/>
      <c r="BS317" s="110"/>
      <c r="BT317" s="110"/>
      <c r="BU317" s="110"/>
      <c r="BV317" s="110"/>
      <c r="BW317" s="110"/>
      <c r="BX317" s="110"/>
      <c r="BY317" s="110"/>
      <c r="BZ317" s="110"/>
      <c r="CA317" s="110"/>
      <c r="CB317" s="110"/>
      <c r="CC317" s="110"/>
      <c r="CD317" s="110"/>
      <c r="CE317" s="110"/>
      <c r="CF317" s="110"/>
      <c r="CG317" s="110"/>
      <c r="CH317" s="110"/>
      <c r="CI317" s="110"/>
      <c r="CJ317" s="110"/>
      <c r="CK317" s="110"/>
      <c r="CL317" s="110"/>
      <c r="CM317" s="110"/>
      <c r="CN317" s="110"/>
      <c r="CO317" s="110"/>
      <c r="CP317" s="110"/>
      <c r="CQ317" s="110"/>
      <c r="CR317" s="110"/>
      <c r="CS317" s="110"/>
      <c r="CT317" s="110"/>
      <c r="CU317" s="110"/>
      <c r="CV317" s="110"/>
      <c r="CW317" s="110"/>
      <c r="CX317" s="110"/>
      <c r="CY317" s="110"/>
      <c r="CZ317" s="110"/>
      <c r="DA317" s="110"/>
      <c r="DB317" s="110"/>
      <c r="DC317" s="110"/>
      <c r="DD317" s="110"/>
      <c r="DE317" s="110"/>
      <c r="DF317" s="110"/>
      <c r="DG317" s="110"/>
      <c r="DH317" s="110"/>
      <c r="DI317" s="110"/>
      <c r="DJ317" s="110"/>
      <c r="DK317" s="110"/>
      <c r="DL317" s="110"/>
      <c r="DM317" s="110"/>
      <c r="DN317" s="110"/>
      <c r="DO317" s="110"/>
      <c r="DP317" s="110"/>
      <c r="DQ317" s="110"/>
      <c r="DR317" s="110"/>
      <c r="DS317" s="110"/>
      <c r="DT317" s="110"/>
      <c r="DU317" s="110"/>
      <c r="DV317" s="110"/>
      <c r="DW317" s="110"/>
      <c r="DX317" s="110"/>
      <c r="DY317" s="110"/>
      <c r="DZ317" s="110"/>
      <c r="EA317" s="110"/>
      <c r="EB317" s="110"/>
      <c r="EC317" s="110"/>
      <c r="ED317" s="110"/>
      <c r="EE317" s="110"/>
      <c r="EF317" s="110"/>
      <c r="EG317" s="110"/>
      <c r="EH317" s="110"/>
      <c r="EI317" s="110"/>
      <c r="EJ317" s="110"/>
      <c r="EK317" s="110"/>
      <c r="EL317" s="110"/>
      <c r="EM317" s="110"/>
      <c r="EN317" s="110"/>
      <c r="EO317" s="110"/>
      <c r="EP317" s="110"/>
      <c r="EQ317" s="110"/>
      <c r="ER317" s="110"/>
      <c r="ES317" s="110"/>
      <c r="ET317" s="110"/>
      <c r="EU317" s="110"/>
      <c r="EV317" s="110"/>
      <c r="EW317" s="110"/>
      <c r="EX317" s="110"/>
      <c r="EY317" s="110"/>
      <c r="EZ317" s="110"/>
      <c r="FA317" s="110"/>
      <c r="FB317" s="110"/>
      <c r="FC317" s="110"/>
      <c r="FD317" s="110"/>
      <c r="FE317" s="110"/>
      <c r="FF317" s="110"/>
      <c r="FG317" s="110"/>
      <c r="FH317" s="110"/>
      <c r="FI317" s="110"/>
      <c r="FJ317" s="110"/>
      <c r="FK317" s="110"/>
      <c r="FL317" s="110"/>
      <c r="FM317" s="110"/>
      <c r="FN317" s="110"/>
      <c r="FO317" s="110"/>
      <c r="FP317" s="110"/>
      <c r="FQ317" s="110"/>
      <c r="FR317" s="110"/>
      <c r="FS317" s="110"/>
      <c r="FT317" s="110"/>
      <c r="FU317" s="110"/>
      <c r="FV317" s="110"/>
      <c r="FW317" s="110"/>
      <c r="FX317" s="110"/>
      <c r="FY317" s="110"/>
      <c r="FZ317" s="110"/>
      <c r="GA317" s="110"/>
      <c r="GB317" s="110"/>
      <c r="GC317" s="110"/>
      <c r="GD317" s="110"/>
      <c r="GE317" s="110"/>
      <c r="GF317" s="110"/>
      <c r="GG317" s="110"/>
      <c r="GH317" s="110"/>
      <c r="GI317" s="110"/>
      <c r="GJ317" s="110"/>
      <c r="GK317" s="110"/>
      <c r="GL317" s="110"/>
      <c r="GM317" s="110"/>
      <c r="GN317" s="110"/>
      <c r="GO317" s="110"/>
      <c r="GP317" s="110"/>
      <c r="GQ317" s="110"/>
      <c r="GR317" s="110"/>
      <c r="GS317" s="110"/>
      <c r="GT317" s="110"/>
      <c r="GU317" s="110"/>
      <c r="GV317" s="110"/>
      <c r="GW317" s="110"/>
      <c r="GX317" s="110"/>
      <c r="GY317" s="110"/>
      <c r="GZ317" s="110"/>
      <c r="HA317" s="110"/>
      <c r="HB317" s="110"/>
      <c r="HC317" s="110"/>
      <c r="HD317" s="110"/>
      <c r="HE317" s="110"/>
      <c r="HF317" s="110"/>
      <c r="HG317" s="110"/>
      <c r="HH317" s="110"/>
      <c r="HI317" s="110"/>
      <c r="HJ317" s="110"/>
      <c r="HK317" s="110"/>
      <c r="HL317" s="110"/>
      <c r="HM317" s="110"/>
      <c r="HN317" s="110"/>
      <c r="HO317" s="110"/>
      <c r="HP317" s="110"/>
      <c r="HQ317" s="110"/>
      <c r="HR317" s="110"/>
      <c r="HS317" s="110"/>
      <c r="HT317" s="110"/>
      <c r="HU317" s="110"/>
      <c r="HV317" s="110"/>
      <c r="HW317" s="110"/>
      <c r="HX317" s="110"/>
      <c r="HY317" s="110"/>
      <c r="HZ317" s="110"/>
      <c r="IA317" s="110"/>
      <c r="IB317" s="110"/>
      <c r="IC317" s="110"/>
      <c r="ID317" s="110"/>
      <c r="IE317" s="110"/>
      <c r="IF317" s="110"/>
      <c r="IG317" s="110"/>
      <c r="IH317" s="110"/>
      <c r="II317" s="110"/>
      <c r="IJ317" s="110"/>
      <c r="IK317" s="110"/>
      <c r="IL317" s="110"/>
      <c r="IM317" s="110"/>
      <c r="IN317" s="110"/>
      <c r="IO317" s="110"/>
      <c r="IP317" s="110"/>
      <c r="IQ317" s="110"/>
      <c r="IR317" s="110"/>
      <c r="IS317" s="110"/>
      <c r="IT317" s="110"/>
      <c r="IU317" s="110"/>
      <c r="IV317" s="110"/>
      <c r="IW317" s="110"/>
      <c r="IX317" s="110"/>
      <c r="IY317" s="110"/>
      <c r="IZ317" s="110"/>
      <c r="JA317" s="110"/>
      <c r="JB317" s="110"/>
      <c r="JC317" s="110"/>
      <c r="JD317" s="110"/>
      <c r="JE317" s="110"/>
      <c r="JF317" s="110"/>
      <c r="JG317" s="110"/>
      <c r="JH317" s="110"/>
      <c r="JI317" s="110"/>
      <c r="JJ317" s="110"/>
      <c r="JK317" s="110"/>
      <c r="JL317" s="110"/>
      <c r="JM317" s="110"/>
      <c r="JN317" s="110"/>
      <c r="JO317" s="110"/>
      <c r="JP317" s="110"/>
      <c r="JQ317" s="110"/>
      <c r="JR317" s="110"/>
      <c r="JS317" s="110"/>
      <c r="JT317" s="110"/>
      <c r="JU317" s="110"/>
      <c r="JV317" s="110"/>
      <c r="JW317" s="110"/>
      <c r="JX317" s="110"/>
      <c r="JY317" s="110"/>
      <c r="JZ317" s="110"/>
      <c r="KA317" s="110"/>
      <c r="KB317" s="110"/>
      <c r="KC317" s="110"/>
      <c r="KD317" s="110"/>
      <c r="KE317" s="110"/>
      <c r="KF317" s="110"/>
      <c r="KG317" s="110"/>
      <c r="KH317" s="110"/>
      <c r="KI317" s="110"/>
      <c r="KJ317" s="110"/>
      <c r="KK317" s="110"/>
      <c r="KL317" s="110"/>
      <c r="KM317" s="110"/>
      <c r="KN317" s="110"/>
      <c r="KO317" s="110"/>
      <c r="KP317" s="110"/>
      <c r="KQ317" s="110"/>
      <c r="KR317" s="110"/>
      <c r="KS317" s="110"/>
      <c r="KT317" s="110"/>
      <c r="KU317" s="110"/>
      <c r="KV317" s="110"/>
      <c r="KW317" s="110"/>
      <c r="KX317" s="110"/>
      <c r="KY317" s="110"/>
      <c r="KZ317" s="110"/>
      <c r="LA317" s="110"/>
      <c r="LB317" s="110"/>
      <c r="LC317" s="110"/>
      <c r="LD317" s="110"/>
      <c r="LE317" s="110"/>
      <c r="LF317" s="110"/>
      <c r="LG317" s="110"/>
      <c r="LH317" s="110"/>
      <c r="LI317" s="110"/>
      <c r="LJ317" s="110"/>
      <c r="LK317" s="110"/>
      <c r="LL317" s="110"/>
      <c r="LM317" s="110"/>
      <c r="LN317" s="110"/>
      <c r="LO317" s="110"/>
      <c r="LP317" s="110"/>
      <c r="LQ317" s="110"/>
      <c r="LR317" s="110"/>
      <c r="LS317" s="110"/>
      <c r="LT317" s="110"/>
      <c r="LU317" s="110"/>
      <c r="LV317" s="110"/>
      <c r="LW317" s="110"/>
      <c r="LX317" s="110"/>
      <c r="LY317" s="110"/>
      <c r="LZ317" s="110"/>
      <c r="MA317" s="110"/>
      <c r="MB317" s="110"/>
      <c r="MC317" s="110"/>
      <c r="MD317" s="110"/>
      <c r="ME317" s="110"/>
      <c r="MF317" s="110"/>
      <c r="MG317" s="110"/>
      <c r="MH317" s="110"/>
      <c r="MI317" s="110"/>
      <c r="MJ317" s="110"/>
      <c r="MK317" s="110"/>
      <c r="ML317" s="110"/>
      <c r="MM317" s="110"/>
      <c r="MN317" s="110"/>
      <c r="MO317" s="110"/>
      <c r="MP317" s="110"/>
      <c r="MQ317" s="110"/>
      <c r="MR317" s="110"/>
      <c r="MS317" s="110"/>
      <c r="MT317" s="110"/>
      <c r="MU317" s="110"/>
      <c r="MV317" s="110"/>
      <c r="MW317" s="110"/>
      <c r="MX317" s="110"/>
      <c r="MY317" s="110"/>
      <c r="MZ317" s="110"/>
      <c r="NA317" s="110"/>
      <c r="NB317" s="110"/>
      <c r="NC317" s="110"/>
      <c r="ND317" s="110"/>
      <c r="NE317" s="110"/>
      <c r="NF317" s="110"/>
      <c r="NG317" s="110"/>
      <c r="NH317" s="110"/>
      <c r="NI317" s="110"/>
      <c r="NJ317" s="110"/>
      <c r="NK317" s="110"/>
      <c r="NL317" s="110"/>
      <c r="NM317" s="110"/>
      <c r="NN317" s="110"/>
      <c r="NO317" s="110"/>
      <c r="NP317" s="110"/>
      <c r="NQ317" s="110"/>
      <c r="NR317" s="110"/>
      <c r="NS317" s="110"/>
      <c r="NT317" s="110"/>
      <c r="NU317" s="110"/>
      <c r="NV317" s="110"/>
      <c r="NW317" s="110"/>
      <c r="NX317" s="110"/>
      <c r="NY317" s="110"/>
      <c r="NZ317" s="110"/>
      <c r="OA317" s="110"/>
      <c r="OB317" s="110"/>
      <c r="OC317" s="110"/>
      <c r="OD317" s="110"/>
      <c r="OE317" s="110"/>
      <c r="OF317" s="110"/>
      <c r="OG317" s="110"/>
      <c r="OH317" s="110"/>
      <c r="OI317" s="110"/>
      <c r="OJ317" s="110"/>
      <c r="OK317" s="110"/>
      <c r="OL317" s="110"/>
      <c r="OM317" s="110"/>
      <c r="ON317" s="110"/>
      <c r="OO317" s="110"/>
      <c r="OP317" s="110"/>
      <c r="OQ317" s="110"/>
      <c r="OR317" s="110"/>
      <c r="OS317" s="110"/>
      <c r="OT317" s="110"/>
      <c r="OU317" s="110"/>
      <c r="OV317" s="110"/>
      <c r="OW317" s="110"/>
      <c r="OX317" s="110"/>
      <c r="OY317" s="110"/>
      <c r="OZ317" s="110"/>
      <c r="PA317" s="110"/>
      <c r="PB317" s="110"/>
      <c r="PC317" s="110"/>
      <c r="PD317" s="110"/>
      <c r="PE317" s="110"/>
      <c r="PF317" s="110"/>
      <c r="PG317" s="110"/>
      <c r="PH317" s="110"/>
      <c r="PI317" s="110"/>
      <c r="PJ317" s="110"/>
      <c r="PK317" s="110"/>
      <c r="PL317" s="110"/>
      <c r="PM317" s="110"/>
      <c r="PN317" s="110"/>
      <c r="PO317" s="110"/>
      <c r="PP317" s="110"/>
      <c r="PQ317" s="110"/>
      <c r="PR317" s="110"/>
      <c r="PS317" s="110"/>
      <c r="PT317" s="110"/>
      <c r="PU317" s="110"/>
      <c r="PV317" s="110"/>
      <c r="PW317" s="110"/>
      <c r="PX317" s="110"/>
      <c r="PY317" s="110"/>
      <c r="PZ317" s="110"/>
      <c r="QA317" s="110"/>
      <c r="QB317" s="110"/>
      <c r="QC317" s="110"/>
      <c r="QD317" s="110"/>
      <c r="QE317" s="110"/>
      <c r="QF317" s="110"/>
      <c r="QG317" s="110"/>
      <c r="QH317" s="110"/>
      <c r="QI317" s="110"/>
      <c r="QJ317" s="110"/>
      <c r="QK317" s="110"/>
      <c r="QL317" s="110"/>
      <c r="QM317" s="110"/>
      <c r="QN317" s="110"/>
      <c r="QO317" s="110"/>
      <c r="QP317" s="110"/>
      <c r="QQ317" s="110"/>
      <c r="QR317" s="110"/>
      <c r="QS317" s="110"/>
      <c r="QT317" s="110"/>
      <c r="QU317" s="110"/>
      <c r="QV317" s="110"/>
      <c r="QW317" s="110"/>
      <c r="QX317" s="110"/>
      <c r="QY317" s="110"/>
      <c r="QZ317" s="110"/>
      <c r="RA317" s="110"/>
      <c r="RB317" s="110"/>
      <c r="RC317" s="110"/>
      <c r="RD317" s="110"/>
      <c r="RE317" s="110"/>
      <c r="RF317" s="110"/>
      <c r="RG317" s="110"/>
      <c r="RH317" s="110"/>
      <c r="RI317" s="110"/>
      <c r="RJ317" s="110"/>
      <c r="RK317" s="110"/>
      <c r="RL317" s="110"/>
      <c r="RM317" s="110"/>
      <c r="RN317" s="110"/>
      <c r="RO317" s="110"/>
      <c r="RP317" s="110"/>
      <c r="RQ317" s="110"/>
      <c r="RR317" s="110"/>
      <c r="RS317" s="110"/>
      <c r="RT317" s="110"/>
      <c r="RU317" s="110"/>
      <c r="RV317" s="110"/>
      <c r="RW317" s="110"/>
      <c r="RX317" s="110"/>
      <c r="RY317" s="110"/>
      <c r="RZ317" s="110"/>
      <c r="SA317" s="110"/>
      <c r="SB317" s="110"/>
      <c r="SC317" s="110"/>
      <c r="SD317" s="110"/>
      <c r="SE317" s="110"/>
      <c r="SF317" s="110"/>
      <c r="SG317" s="110"/>
      <c r="SH317" s="110"/>
      <c r="SI317" s="110"/>
      <c r="SJ317" s="110"/>
      <c r="SK317" s="110"/>
      <c r="SL317" s="110"/>
      <c r="SM317" s="110"/>
      <c r="SN317" s="110"/>
      <c r="SO317" s="110"/>
      <c r="SP317" s="110"/>
      <c r="SQ317" s="110"/>
      <c r="SR317" s="110"/>
      <c r="SS317" s="110"/>
      <c r="ST317" s="110"/>
      <c r="SU317" s="110"/>
      <c r="SV317" s="110"/>
      <c r="SW317" s="110"/>
      <c r="SX317" s="110"/>
      <c r="SY317" s="110"/>
      <c r="SZ317" s="110"/>
      <c r="TA317" s="110"/>
      <c r="TB317" s="110"/>
      <c r="TC317" s="110"/>
      <c r="TD317" s="110"/>
      <c r="TE317" s="110"/>
      <c r="TF317" s="110"/>
      <c r="TG317" s="110"/>
      <c r="TH317" s="110"/>
      <c r="TI317" s="110"/>
      <c r="TJ317" s="110"/>
      <c r="TK317" s="110"/>
      <c r="TL317" s="110"/>
      <c r="TM317" s="110"/>
      <c r="TN317" s="110"/>
      <c r="TO317" s="110"/>
      <c r="TP317" s="110"/>
      <c r="TQ317" s="110"/>
      <c r="TR317" s="110"/>
      <c r="TS317" s="110"/>
      <c r="TT317" s="110"/>
      <c r="TU317" s="110"/>
      <c r="TV317" s="110"/>
      <c r="TW317" s="110"/>
      <c r="TX317" s="110"/>
      <c r="TY317" s="110"/>
      <c r="TZ317" s="110"/>
      <c r="UA317" s="110"/>
      <c r="UB317" s="110"/>
      <c r="UC317" s="110"/>
      <c r="UD317" s="110"/>
      <c r="UE317" s="110"/>
      <c r="UF317" s="110"/>
      <c r="UG317" s="110"/>
      <c r="UH317" s="110"/>
      <c r="UI317" s="110"/>
      <c r="UJ317" s="110"/>
      <c r="UK317" s="110"/>
      <c r="UL317" s="110"/>
      <c r="UM317" s="110"/>
      <c r="UN317" s="110"/>
      <c r="UO317" s="110"/>
      <c r="UP317" s="110"/>
      <c r="UQ317" s="110"/>
      <c r="UR317" s="110"/>
      <c r="US317" s="110"/>
      <c r="UT317" s="110"/>
      <c r="UU317" s="110"/>
      <c r="UV317" s="110"/>
      <c r="UW317" s="110"/>
      <c r="UX317" s="110"/>
      <c r="UY317" s="110"/>
      <c r="UZ317" s="110"/>
      <c r="VA317" s="110"/>
      <c r="VB317" s="110"/>
      <c r="VC317" s="110"/>
      <c r="VD317" s="110"/>
      <c r="VE317" s="110"/>
      <c r="VF317" s="110"/>
      <c r="VG317" s="110"/>
      <c r="VH317" s="110"/>
      <c r="VI317" s="110"/>
      <c r="VJ317" s="110"/>
      <c r="VK317" s="110"/>
      <c r="VL317" s="110"/>
      <c r="VM317" s="110"/>
      <c r="VN317" s="110"/>
      <c r="VO317" s="110"/>
      <c r="VP317" s="110"/>
      <c r="VQ317" s="110"/>
      <c r="VR317" s="110"/>
      <c r="VS317" s="110"/>
      <c r="VT317" s="110"/>
      <c r="VU317" s="110"/>
      <c r="VV317" s="110"/>
      <c r="VW317" s="110"/>
      <c r="VX317" s="110"/>
      <c r="VY317" s="110"/>
      <c r="VZ317" s="110"/>
      <c r="WA317" s="110"/>
      <c r="WB317" s="110"/>
      <c r="WC317" s="110"/>
      <c r="WD317" s="110"/>
      <c r="WE317" s="110"/>
      <c r="WF317" s="110"/>
      <c r="WG317" s="110"/>
      <c r="WH317" s="110"/>
      <c r="WI317" s="110"/>
      <c r="WJ317" s="110"/>
      <c r="WK317" s="110"/>
      <c r="WL317" s="110"/>
      <c r="WM317" s="110"/>
      <c r="WN317" s="110"/>
      <c r="WO317" s="110"/>
      <c r="WP317" s="110"/>
      <c r="WQ317" s="110"/>
      <c r="WR317" s="110"/>
      <c r="WS317" s="110"/>
      <c r="WT317" s="110"/>
      <c r="WU317" s="110"/>
      <c r="WV317" s="110"/>
      <c r="WW317" s="110"/>
      <c r="WX317" s="110"/>
      <c r="WY317" s="110"/>
      <c r="WZ317" s="110"/>
      <c r="XA317" s="110"/>
      <c r="XB317" s="110"/>
      <c r="XC317" s="110"/>
      <c r="XD317" s="110"/>
      <c r="XE317" s="110"/>
      <c r="XF317" s="110"/>
      <c r="XG317" s="110"/>
      <c r="XH317" s="110"/>
      <c r="XI317" s="110"/>
      <c r="XJ317" s="110"/>
      <c r="XK317" s="110"/>
      <c r="XL317" s="110"/>
      <c r="XM317" s="110"/>
      <c r="XN317" s="110"/>
      <c r="XO317" s="110"/>
      <c r="XP317" s="110"/>
      <c r="XQ317" s="110"/>
      <c r="XR317" s="110"/>
      <c r="XS317" s="110"/>
      <c r="XT317" s="110"/>
      <c r="XU317" s="110"/>
      <c r="XV317" s="110"/>
      <c r="XW317" s="110"/>
      <c r="XX317" s="110"/>
      <c r="XY317" s="110"/>
      <c r="XZ317" s="110"/>
      <c r="YA317" s="110"/>
      <c r="YB317" s="110"/>
      <c r="YC317" s="110"/>
      <c r="YD317" s="110"/>
      <c r="YE317" s="110"/>
      <c r="YF317" s="110"/>
      <c r="YG317" s="110"/>
      <c r="YH317" s="110"/>
      <c r="YI317" s="110"/>
      <c r="YJ317" s="110"/>
      <c r="YK317" s="110"/>
      <c r="YL317" s="110"/>
      <c r="YM317" s="110"/>
      <c r="YN317" s="110"/>
      <c r="YO317" s="110"/>
      <c r="YP317" s="110"/>
      <c r="YQ317" s="110"/>
      <c r="YR317" s="110"/>
      <c r="YS317" s="110"/>
      <c r="YT317" s="110"/>
      <c r="YU317" s="110"/>
      <c r="YV317" s="110"/>
      <c r="YW317" s="110"/>
      <c r="YX317" s="110"/>
      <c r="YY317" s="110"/>
      <c r="YZ317" s="110"/>
      <c r="ZA317" s="110"/>
      <c r="ZB317" s="110"/>
      <c r="ZC317" s="110"/>
      <c r="ZD317" s="110"/>
      <c r="ZE317" s="110"/>
      <c r="ZF317" s="110"/>
      <c r="ZG317" s="110"/>
      <c r="ZH317" s="110"/>
      <c r="ZI317" s="110"/>
      <c r="ZJ317" s="110"/>
      <c r="ZK317" s="110"/>
      <c r="ZL317" s="110"/>
      <c r="ZM317" s="110"/>
      <c r="ZN317" s="110"/>
      <c r="ZO317" s="110"/>
      <c r="ZP317" s="110"/>
      <c r="ZQ317" s="110"/>
      <c r="ZR317" s="110"/>
      <c r="ZS317" s="110"/>
      <c r="ZT317" s="110"/>
      <c r="ZU317" s="110"/>
      <c r="ZV317" s="110"/>
      <c r="ZW317" s="110"/>
      <c r="ZX317" s="110"/>
      <c r="ZY317" s="110"/>
      <c r="ZZ317" s="110"/>
      <c r="AAA317" s="110"/>
      <c r="AAB317" s="110"/>
      <c r="AAC317" s="110"/>
      <c r="AAD317" s="110"/>
      <c r="AAE317" s="110"/>
      <c r="AAF317" s="110"/>
      <c r="AAG317" s="110"/>
      <c r="AAH317" s="110"/>
      <c r="AAI317" s="110"/>
      <c r="AAJ317" s="110"/>
      <c r="AAK317" s="110"/>
      <c r="AAL317" s="110"/>
      <c r="AAM317" s="110"/>
      <c r="AAN317" s="110"/>
      <c r="AAO317" s="110"/>
      <c r="AAP317" s="110"/>
      <c r="AAQ317" s="110"/>
      <c r="AAR317" s="110"/>
      <c r="AAS317" s="110"/>
      <c r="AAT317" s="110"/>
      <c r="AAU317" s="110"/>
      <c r="AAV317" s="110"/>
      <c r="AAW317" s="110"/>
      <c r="AAX317" s="110"/>
      <c r="AAY317" s="110"/>
      <c r="AAZ317" s="110"/>
      <c r="ABA317" s="110"/>
      <c r="ABB317" s="110"/>
      <c r="ABC317" s="110"/>
      <c r="ABD317" s="110"/>
      <c r="ABE317" s="110"/>
      <c r="ABF317" s="110"/>
      <c r="ABG317" s="110"/>
      <c r="ABH317" s="110"/>
      <c r="ABI317" s="110"/>
      <c r="ABJ317" s="110"/>
      <c r="ABK317" s="110"/>
      <c r="ABL317" s="110"/>
      <c r="ABM317" s="110"/>
      <c r="ABN317" s="110"/>
      <c r="ABO317" s="110"/>
      <c r="ABP317" s="110"/>
      <c r="ABQ317" s="110"/>
      <c r="ABR317" s="110"/>
      <c r="ABS317" s="110"/>
      <c r="ABT317" s="110"/>
      <c r="ABU317" s="110"/>
      <c r="ABV317" s="110"/>
      <c r="ABW317" s="110"/>
      <c r="ABX317" s="110"/>
      <c r="ABY317" s="110"/>
      <c r="ABZ317" s="110"/>
      <c r="ACA317" s="110"/>
      <c r="ACB317" s="110"/>
      <c r="ACC317" s="110"/>
      <c r="ACD317" s="110"/>
      <c r="ACE317" s="110"/>
      <c r="ACF317" s="110"/>
      <c r="ACG317" s="110"/>
      <c r="ACH317" s="110"/>
      <c r="ACI317" s="110"/>
      <c r="ACJ317" s="110"/>
      <c r="ACK317" s="110"/>
      <c r="ACL317" s="110"/>
      <c r="ACM317" s="110"/>
      <c r="ACN317" s="110"/>
      <c r="ACO317" s="110"/>
      <c r="ACP317" s="110"/>
      <c r="ACQ317" s="110"/>
      <c r="ACR317" s="110"/>
      <c r="ACS317" s="110"/>
      <c r="ACT317" s="110"/>
      <c r="ACU317" s="110"/>
      <c r="ACV317" s="110"/>
      <c r="ACW317" s="110"/>
      <c r="ACX317" s="110"/>
      <c r="ACY317" s="110"/>
      <c r="ACZ317" s="110"/>
      <c r="ADA317" s="110"/>
      <c r="ADB317" s="110"/>
      <c r="ADC317" s="110"/>
      <c r="ADD317" s="110"/>
      <c r="ADE317" s="110"/>
      <c r="ADF317" s="110"/>
      <c r="ADG317" s="110"/>
      <c r="ADH317" s="110"/>
      <c r="ADI317" s="110"/>
      <c r="ADJ317" s="110"/>
      <c r="ADK317" s="110"/>
      <c r="ADL317" s="110"/>
      <c r="ADM317" s="110"/>
      <c r="ADN317" s="110"/>
      <c r="ADO317" s="110"/>
      <c r="ADP317" s="110"/>
      <c r="ADQ317" s="110"/>
      <c r="ADR317" s="110"/>
      <c r="ADS317" s="110"/>
      <c r="ADT317" s="110"/>
      <c r="ADU317" s="110"/>
      <c r="ADV317" s="110"/>
      <c r="ADW317" s="110"/>
      <c r="ADX317" s="110"/>
      <c r="ADY317" s="110"/>
      <c r="ADZ317" s="110"/>
      <c r="AEA317" s="110"/>
      <c r="AEB317" s="110"/>
      <c r="AEC317" s="110"/>
      <c r="AED317" s="110"/>
      <c r="AEE317" s="110"/>
      <c r="AEF317" s="110"/>
      <c r="AEG317" s="110"/>
      <c r="AEH317" s="110"/>
      <c r="AEI317" s="110"/>
      <c r="AEJ317" s="110"/>
      <c r="AEK317" s="110"/>
      <c r="AEL317" s="110"/>
      <c r="AEM317" s="110"/>
      <c r="AEN317" s="110"/>
      <c r="AEO317" s="110"/>
      <c r="AEP317" s="110"/>
      <c r="AEQ317" s="110"/>
      <c r="AER317" s="110"/>
      <c r="AES317" s="110"/>
      <c r="AET317" s="110"/>
      <c r="AEU317" s="110"/>
      <c r="AEV317" s="110"/>
      <c r="AEW317" s="110"/>
      <c r="AEX317" s="110"/>
      <c r="AEY317" s="110"/>
      <c r="AEZ317" s="110"/>
      <c r="AFA317" s="110"/>
      <c r="AFB317" s="110"/>
      <c r="AFC317" s="110"/>
      <c r="AFD317" s="110"/>
      <c r="AFE317" s="110"/>
      <c r="AFF317" s="110"/>
      <c r="AFG317" s="110"/>
      <c r="AFH317" s="110"/>
      <c r="AFI317" s="110"/>
      <c r="AFJ317" s="110"/>
      <c r="AFK317" s="110"/>
      <c r="AFL317" s="110"/>
      <c r="AFM317" s="110"/>
      <c r="AFN317" s="110"/>
      <c r="AFO317" s="110"/>
      <c r="AFP317" s="110"/>
      <c r="AFQ317" s="110"/>
      <c r="AFR317" s="110"/>
      <c r="AFS317" s="110"/>
      <c r="AFT317" s="110"/>
      <c r="AFU317" s="110"/>
      <c r="AFV317" s="110"/>
      <c r="AFW317" s="110"/>
      <c r="AFX317" s="110"/>
      <c r="AFY317" s="110"/>
      <c r="AFZ317" s="110"/>
      <c r="AGA317" s="110"/>
      <c r="AGB317" s="110"/>
      <c r="AGC317" s="110"/>
      <c r="AGD317" s="110"/>
      <c r="AGE317" s="110"/>
      <c r="AGF317" s="110"/>
      <c r="AGG317" s="110"/>
      <c r="AGH317" s="110"/>
      <c r="AGI317" s="110"/>
      <c r="AGJ317" s="110"/>
      <c r="AGK317" s="110"/>
      <c r="AGL317" s="110"/>
      <c r="AGM317" s="110"/>
      <c r="AGN317" s="110"/>
      <c r="AGO317" s="110"/>
      <c r="AGP317" s="110"/>
      <c r="AGQ317" s="110"/>
      <c r="AGR317" s="110"/>
      <c r="AGS317" s="110"/>
      <c r="AGT317" s="110"/>
      <c r="AGU317" s="110"/>
      <c r="AGV317" s="110"/>
      <c r="AGW317" s="110"/>
      <c r="AGX317" s="110"/>
      <c r="AGY317" s="110"/>
      <c r="AGZ317" s="110"/>
      <c r="AHA317" s="110"/>
      <c r="AHB317" s="110"/>
      <c r="AHC317" s="110"/>
      <c r="AHD317" s="110"/>
      <c r="AHE317" s="110"/>
      <c r="AHF317" s="110"/>
      <c r="AHG317" s="110"/>
      <c r="AHH317" s="110"/>
      <c r="AHI317" s="110"/>
      <c r="AHJ317" s="110"/>
      <c r="AHK317" s="110"/>
      <c r="AHL317" s="110"/>
      <c r="AHM317" s="110"/>
      <c r="AHN317" s="110"/>
      <c r="AHO317" s="110"/>
      <c r="AHP317" s="110"/>
      <c r="AHQ317" s="110"/>
      <c r="AHR317" s="110"/>
      <c r="AHS317" s="110"/>
      <c r="AHT317" s="110"/>
      <c r="AHU317" s="110"/>
      <c r="AHV317" s="110"/>
      <c r="AHW317" s="110"/>
      <c r="AHX317" s="110"/>
      <c r="AHY317" s="110"/>
      <c r="AHZ317" s="110"/>
      <c r="AIA317" s="110"/>
      <c r="AIB317" s="110"/>
      <c r="AIC317" s="110"/>
      <c r="AID317" s="110"/>
      <c r="AIE317" s="110"/>
      <c r="AIF317" s="110"/>
      <c r="AIG317" s="110"/>
      <c r="AIH317" s="110"/>
      <c r="AII317" s="110"/>
      <c r="AIJ317" s="110"/>
      <c r="AIK317" s="110"/>
      <c r="AIL317" s="110"/>
      <c r="AIM317" s="110"/>
      <c r="AIN317" s="110"/>
      <c r="AIO317" s="110"/>
      <c r="AIP317" s="110"/>
      <c r="AIQ317" s="110"/>
      <c r="AIR317" s="110"/>
      <c r="AIS317" s="110"/>
      <c r="AIT317" s="110"/>
      <c r="AIU317" s="110"/>
      <c r="AIV317" s="110"/>
      <c r="AIW317" s="110"/>
      <c r="AIX317" s="110"/>
      <c r="AIY317" s="110"/>
      <c r="AIZ317" s="110"/>
      <c r="AJA317" s="110"/>
      <c r="AJB317" s="110"/>
      <c r="AJC317" s="110"/>
      <c r="AJD317" s="110"/>
      <c r="AJE317" s="110"/>
      <c r="AJF317" s="110"/>
      <c r="AJG317" s="110"/>
      <c r="AJH317" s="110"/>
      <c r="AJI317" s="110"/>
      <c r="AJJ317" s="110"/>
      <c r="AJK317" s="110"/>
      <c r="AJL317" s="110"/>
      <c r="AJM317" s="110"/>
      <c r="AJN317" s="110"/>
      <c r="AJO317" s="110"/>
      <c r="AJP317" s="110"/>
      <c r="AJQ317" s="110"/>
      <c r="AJR317" s="110"/>
      <c r="AJS317" s="110"/>
      <c r="AJT317" s="110"/>
      <c r="AJU317" s="110"/>
      <c r="AJV317" s="110"/>
      <c r="AJW317" s="110"/>
      <c r="AJX317" s="110"/>
      <c r="AJY317" s="110"/>
      <c r="AJZ317" s="110"/>
      <c r="AKA317" s="110"/>
      <c r="AKB317" s="110"/>
      <c r="AKC317" s="110"/>
      <c r="AKD317" s="110"/>
      <c r="AKE317" s="110"/>
      <c r="AKF317" s="110"/>
      <c r="AKG317" s="110"/>
      <c r="AKH317" s="110"/>
      <c r="AKI317" s="110"/>
      <c r="AKJ317" s="110"/>
      <c r="AKK317" s="110"/>
      <c r="AKL317" s="110"/>
      <c r="AKM317" s="110"/>
      <c r="AKN317" s="110"/>
      <c r="AKO317" s="110"/>
      <c r="AKP317" s="110"/>
      <c r="AKQ317" s="110"/>
      <c r="AKR317" s="110"/>
      <c r="AKS317" s="110"/>
      <c r="AKT317" s="110"/>
      <c r="AKU317" s="110"/>
      <c r="AKV317" s="110"/>
      <c r="AKW317" s="110"/>
      <c r="AKX317" s="110"/>
      <c r="AKY317" s="110"/>
      <c r="AKZ317" s="110"/>
      <c r="ALA317" s="110"/>
      <c r="ALB317" s="110"/>
      <c r="ALC317" s="110"/>
      <c r="ALD317" s="110"/>
      <c r="ALE317" s="110"/>
      <c r="ALF317" s="110"/>
      <c r="ALG317" s="110"/>
      <c r="ALH317" s="110"/>
      <c r="ALI317" s="110"/>
      <c r="ALJ317" s="110"/>
      <c r="ALK317" s="110"/>
      <c r="ALL317" s="110"/>
      <c r="ALM317" s="110"/>
      <c r="ALN317" s="110"/>
      <c r="ALO317" s="110"/>
      <c r="ALP317" s="110"/>
      <c r="ALQ317" s="110"/>
      <c r="ALR317" s="110"/>
      <c r="ALS317" s="110"/>
      <c r="ALT317" s="110"/>
      <c r="ALU317" s="110"/>
      <c r="ALV317" s="110"/>
      <c r="ALW317" s="110"/>
      <c r="ALX317" s="110"/>
      <c r="ALY317" s="110"/>
      <c r="ALZ317" s="110"/>
      <c r="AMA317" s="110"/>
      <c r="AMB317" s="110"/>
      <c r="AMC317" s="110"/>
      <c r="AMD317" s="110"/>
      <c r="AME317" s="110"/>
      <c r="AMF317" s="110"/>
    </row>
    <row r="318" spans="1:1020" s="142" customFormat="1" ht="11.25" customHeight="1">
      <c r="A318" s="123"/>
      <c r="B318" s="141">
        <v>14</v>
      </c>
      <c r="C318" s="126">
        <v>311</v>
      </c>
      <c r="D318" s="127" t="s">
        <v>492</v>
      </c>
      <c r="E318" s="194">
        <f t="shared" si="52"/>
        <v>2170</v>
      </c>
      <c r="F318" s="125">
        <f>ROUND(E318*Valores!$C$2,2)</f>
        <v>118156.5</v>
      </c>
      <c r="G318" s="192">
        <v>0</v>
      </c>
      <c r="H318" s="125">
        <f>ROUND(G318*Valores!$C$2,2)</f>
        <v>0</v>
      </c>
      <c r="I318" s="192">
        <v>0</v>
      </c>
      <c r="J318" s="125">
        <f>ROUND(I318*Valores!$C$2,2)</f>
        <v>0</v>
      </c>
      <c r="K318" s="192">
        <v>0</v>
      </c>
      <c r="L318" s="125">
        <f>ROUND(K318*Valores!$C$2,2)</f>
        <v>0</v>
      </c>
      <c r="M318" s="125">
        <f>ROUND(IF($H$2=0,IF(AND(A318&lt;&gt;"13-930",A318&lt;&gt;"13-940"),(SUM(F318,H318,J318,L318,X318,T318,R318)*Valores!$C$4),0),0),2)</f>
        <v>32943.23</v>
      </c>
      <c r="N318" s="125">
        <f t="shared" si="42"/>
        <v>0</v>
      </c>
      <c r="O318" s="125">
        <v>0</v>
      </c>
      <c r="P318" s="125">
        <v>0</v>
      </c>
      <c r="Q318" s="125">
        <v>0</v>
      </c>
      <c r="R318" s="125">
        <f>IF($F$4="NO",IF(Valores!$C$49*B318&gt;Valores!$C$46,Valores!$C$46,Valores!$C$49*B318),IF(Valores!$C$49*B318&gt;Valores!$C$46,Valores!$C$46,Valores!$C$49*B318)/2)</f>
        <v>13616.4</v>
      </c>
      <c r="S318" s="125">
        <v>0</v>
      </c>
      <c r="T318" s="125">
        <f t="shared" si="51"/>
        <v>0</v>
      </c>
      <c r="U318" s="125">
        <v>0</v>
      </c>
      <c r="V318" s="125">
        <v>0</v>
      </c>
      <c r="W318" s="192">
        <v>0</v>
      </c>
      <c r="X318" s="125">
        <f>ROUND(W318*Valores!$C$2,2)</f>
        <v>0</v>
      </c>
      <c r="Y318" s="125">
        <v>0</v>
      </c>
      <c r="Z318" s="125">
        <v>0</v>
      </c>
      <c r="AA318" s="125">
        <v>0</v>
      </c>
      <c r="AB318" s="214">
        <v>0</v>
      </c>
      <c r="AC318" s="125">
        <f t="shared" si="43"/>
        <v>0</v>
      </c>
      <c r="AD318" s="125">
        <v>0</v>
      </c>
      <c r="AE318" s="192">
        <v>0</v>
      </c>
      <c r="AF318" s="125">
        <f>ROUND(AE318*Valores!$C$2,2)</f>
        <v>0</v>
      </c>
      <c r="AG318" s="125">
        <v>0</v>
      </c>
      <c r="AH318" s="125">
        <f t="shared" si="46"/>
        <v>164716.13</v>
      </c>
      <c r="AI318" s="125">
        <v>0</v>
      </c>
      <c r="AJ318" s="125">
        <v>0</v>
      </c>
      <c r="AK318" s="125">
        <v>0</v>
      </c>
      <c r="AL318" s="125">
        <v>0</v>
      </c>
      <c r="AM318" s="125">
        <f t="shared" si="44"/>
        <v>0</v>
      </c>
      <c r="AN318" s="125">
        <f>AH318*Valores!$C$71</f>
        <v>-18118.7743</v>
      </c>
      <c r="AO318" s="125">
        <f>AH318*-Valores!$C$72</f>
        <v>0</v>
      </c>
      <c r="AP318" s="125">
        <f>AH318*Valores!$C$73</f>
        <v>-7412.22585</v>
      </c>
      <c r="AQ318" s="125">
        <v>0</v>
      </c>
      <c r="AR318" s="125">
        <v>0</v>
      </c>
      <c r="AS318" s="125">
        <f t="shared" si="47"/>
        <v>139185.12985</v>
      </c>
      <c r="AT318" s="125">
        <f t="shared" si="41"/>
        <v>-18118.7743</v>
      </c>
      <c r="AU318" s="125">
        <f>AH318*Valores!$C$74</f>
        <v>-4447.33551</v>
      </c>
      <c r="AV318" s="125">
        <f>AH318*Valores!$C$75</f>
        <v>-494.14839</v>
      </c>
      <c r="AW318" s="125">
        <f t="shared" si="45"/>
        <v>141655.8718</v>
      </c>
      <c r="AX318" s="126"/>
      <c r="AY318" s="126"/>
      <c r="AZ318" s="123"/>
      <c r="BA318" s="110"/>
      <c r="BB318" s="110"/>
      <c r="BC318" s="110"/>
      <c r="BD318" s="110"/>
      <c r="BE318" s="110"/>
      <c r="BF318" s="110"/>
      <c r="BG318" s="110"/>
      <c r="BH318" s="110"/>
      <c r="BI318" s="110"/>
      <c r="BJ318" s="110"/>
      <c r="BK318" s="110"/>
      <c r="BL318" s="110"/>
      <c r="BM318" s="110"/>
      <c r="BN318" s="110"/>
      <c r="BO318" s="110"/>
      <c r="BP318" s="110"/>
      <c r="BQ318" s="110"/>
      <c r="BR318" s="110"/>
      <c r="BS318" s="110"/>
      <c r="BT318" s="110"/>
      <c r="BU318" s="110"/>
      <c r="BV318" s="110"/>
      <c r="BW318" s="110"/>
      <c r="BX318" s="110"/>
      <c r="BY318" s="110"/>
      <c r="BZ318" s="110"/>
      <c r="CA318" s="110"/>
      <c r="CB318" s="110"/>
      <c r="CC318" s="110"/>
      <c r="CD318" s="110"/>
      <c r="CE318" s="110"/>
      <c r="CF318" s="110"/>
      <c r="CG318" s="110"/>
      <c r="CH318" s="110"/>
      <c r="CI318" s="110"/>
      <c r="CJ318" s="110"/>
      <c r="CK318" s="110"/>
      <c r="CL318" s="110"/>
      <c r="CM318" s="110"/>
      <c r="CN318" s="110"/>
      <c r="CO318" s="110"/>
      <c r="CP318" s="110"/>
      <c r="CQ318" s="110"/>
      <c r="CR318" s="110"/>
      <c r="CS318" s="110"/>
      <c r="CT318" s="110"/>
      <c r="CU318" s="110"/>
      <c r="CV318" s="110"/>
      <c r="CW318" s="110"/>
      <c r="CX318" s="110"/>
      <c r="CY318" s="110"/>
      <c r="CZ318" s="110"/>
      <c r="DA318" s="110"/>
      <c r="DB318" s="110"/>
      <c r="DC318" s="110"/>
      <c r="DD318" s="110"/>
      <c r="DE318" s="110"/>
      <c r="DF318" s="110"/>
      <c r="DG318" s="110"/>
      <c r="DH318" s="110"/>
      <c r="DI318" s="110"/>
      <c r="DJ318" s="110"/>
      <c r="DK318" s="110"/>
      <c r="DL318" s="110"/>
      <c r="DM318" s="110"/>
      <c r="DN318" s="110"/>
      <c r="DO318" s="110"/>
      <c r="DP318" s="110"/>
      <c r="DQ318" s="110"/>
      <c r="DR318" s="110"/>
      <c r="DS318" s="110"/>
      <c r="DT318" s="110"/>
      <c r="DU318" s="110"/>
      <c r="DV318" s="110"/>
      <c r="DW318" s="110"/>
      <c r="DX318" s="110"/>
      <c r="DY318" s="110"/>
      <c r="DZ318" s="110"/>
      <c r="EA318" s="110"/>
      <c r="EB318" s="110"/>
      <c r="EC318" s="110"/>
      <c r="ED318" s="110"/>
      <c r="EE318" s="110"/>
      <c r="EF318" s="110"/>
      <c r="EG318" s="110"/>
      <c r="EH318" s="110"/>
      <c r="EI318" s="110"/>
      <c r="EJ318" s="110"/>
      <c r="EK318" s="110"/>
      <c r="EL318" s="110"/>
      <c r="EM318" s="110"/>
      <c r="EN318" s="110"/>
      <c r="EO318" s="110"/>
      <c r="EP318" s="110"/>
      <c r="EQ318" s="110"/>
      <c r="ER318" s="110"/>
      <c r="ES318" s="110"/>
      <c r="ET318" s="110"/>
      <c r="EU318" s="110"/>
      <c r="EV318" s="110"/>
      <c r="EW318" s="110"/>
      <c r="EX318" s="110"/>
      <c r="EY318" s="110"/>
      <c r="EZ318" s="110"/>
      <c r="FA318" s="110"/>
      <c r="FB318" s="110"/>
      <c r="FC318" s="110"/>
      <c r="FD318" s="110"/>
      <c r="FE318" s="110"/>
      <c r="FF318" s="110"/>
      <c r="FG318" s="110"/>
      <c r="FH318" s="110"/>
      <c r="FI318" s="110"/>
      <c r="FJ318" s="110"/>
      <c r="FK318" s="110"/>
      <c r="FL318" s="110"/>
      <c r="FM318" s="110"/>
      <c r="FN318" s="110"/>
      <c r="FO318" s="110"/>
      <c r="FP318" s="110"/>
      <c r="FQ318" s="110"/>
      <c r="FR318" s="110"/>
      <c r="FS318" s="110"/>
      <c r="FT318" s="110"/>
      <c r="FU318" s="110"/>
      <c r="FV318" s="110"/>
      <c r="FW318" s="110"/>
      <c r="FX318" s="110"/>
      <c r="FY318" s="110"/>
      <c r="FZ318" s="110"/>
      <c r="GA318" s="110"/>
      <c r="GB318" s="110"/>
      <c r="GC318" s="110"/>
      <c r="GD318" s="110"/>
      <c r="GE318" s="110"/>
      <c r="GF318" s="110"/>
      <c r="GG318" s="110"/>
      <c r="GH318" s="110"/>
      <c r="GI318" s="110"/>
      <c r="GJ318" s="110"/>
      <c r="GK318" s="110"/>
      <c r="GL318" s="110"/>
      <c r="GM318" s="110"/>
      <c r="GN318" s="110"/>
      <c r="GO318" s="110"/>
      <c r="GP318" s="110"/>
      <c r="GQ318" s="110"/>
      <c r="GR318" s="110"/>
      <c r="GS318" s="110"/>
      <c r="GT318" s="110"/>
      <c r="GU318" s="110"/>
      <c r="GV318" s="110"/>
      <c r="GW318" s="110"/>
      <c r="GX318" s="110"/>
      <c r="GY318" s="110"/>
      <c r="GZ318" s="110"/>
      <c r="HA318" s="110"/>
      <c r="HB318" s="110"/>
      <c r="HC318" s="110"/>
      <c r="HD318" s="110"/>
      <c r="HE318" s="110"/>
      <c r="HF318" s="110"/>
      <c r="HG318" s="110"/>
      <c r="HH318" s="110"/>
      <c r="HI318" s="110"/>
      <c r="HJ318" s="110"/>
      <c r="HK318" s="110"/>
      <c r="HL318" s="110"/>
      <c r="HM318" s="110"/>
      <c r="HN318" s="110"/>
      <c r="HO318" s="110"/>
      <c r="HP318" s="110"/>
      <c r="HQ318" s="110"/>
      <c r="HR318" s="110"/>
      <c r="HS318" s="110"/>
      <c r="HT318" s="110"/>
      <c r="HU318" s="110"/>
      <c r="HV318" s="110"/>
      <c r="HW318" s="110"/>
      <c r="HX318" s="110"/>
      <c r="HY318" s="110"/>
      <c r="HZ318" s="110"/>
      <c r="IA318" s="110"/>
      <c r="IB318" s="110"/>
      <c r="IC318" s="110"/>
      <c r="ID318" s="110"/>
      <c r="IE318" s="110"/>
      <c r="IF318" s="110"/>
      <c r="IG318" s="110"/>
      <c r="IH318" s="110"/>
      <c r="II318" s="110"/>
      <c r="IJ318" s="110"/>
      <c r="IK318" s="110"/>
      <c r="IL318" s="110"/>
      <c r="IM318" s="110"/>
      <c r="IN318" s="110"/>
      <c r="IO318" s="110"/>
      <c r="IP318" s="110"/>
      <c r="IQ318" s="110"/>
      <c r="IR318" s="110"/>
      <c r="IS318" s="110"/>
      <c r="IT318" s="110"/>
      <c r="IU318" s="110"/>
      <c r="IV318" s="110"/>
      <c r="IW318" s="110"/>
      <c r="IX318" s="110"/>
      <c r="IY318" s="110"/>
      <c r="IZ318" s="110"/>
      <c r="JA318" s="110"/>
      <c r="JB318" s="110"/>
      <c r="JC318" s="110"/>
      <c r="JD318" s="110"/>
      <c r="JE318" s="110"/>
      <c r="JF318" s="110"/>
      <c r="JG318" s="110"/>
      <c r="JH318" s="110"/>
      <c r="JI318" s="110"/>
      <c r="JJ318" s="110"/>
      <c r="JK318" s="110"/>
      <c r="JL318" s="110"/>
      <c r="JM318" s="110"/>
      <c r="JN318" s="110"/>
      <c r="JO318" s="110"/>
      <c r="JP318" s="110"/>
      <c r="JQ318" s="110"/>
      <c r="JR318" s="110"/>
      <c r="JS318" s="110"/>
      <c r="JT318" s="110"/>
      <c r="JU318" s="110"/>
      <c r="JV318" s="110"/>
      <c r="JW318" s="110"/>
      <c r="JX318" s="110"/>
      <c r="JY318" s="110"/>
      <c r="JZ318" s="110"/>
      <c r="KA318" s="110"/>
      <c r="KB318" s="110"/>
      <c r="KC318" s="110"/>
      <c r="KD318" s="110"/>
      <c r="KE318" s="110"/>
      <c r="KF318" s="110"/>
      <c r="KG318" s="110"/>
      <c r="KH318" s="110"/>
      <c r="KI318" s="110"/>
      <c r="KJ318" s="110"/>
      <c r="KK318" s="110"/>
      <c r="KL318" s="110"/>
      <c r="KM318" s="110"/>
      <c r="KN318" s="110"/>
      <c r="KO318" s="110"/>
      <c r="KP318" s="110"/>
      <c r="KQ318" s="110"/>
      <c r="KR318" s="110"/>
      <c r="KS318" s="110"/>
      <c r="KT318" s="110"/>
      <c r="KU318" s="110"/>
      <c r="KV318" s="110"/>
      <c r="KW318" s="110"/>
      <c r="KX318" s="110"/>
      <c r="KY318" s="110"/>
      <c r="KZ318" s="110"/>
      <c r="LA318" s="110"/>
      <c r="LB318" s="110"/>
      <c r="LC318" s="110"/>
      <c r="LD318" s="110"/>
      <c r="LE318" s="110"/>
      <c r="LF318" s="110"/>
      <c r="LG318" s="110"/>
      <c r="LH318" s="110"/>
      <c r="LI318" s="110"/>
      <c r="LJ318" s="110"/>
      <c r="LK318" s="110"/>
      <c r="LL318" s="110"/>
      <c r="LM318" s="110"/>
      <c r="LN318" s="110"/>
      <c r="LO318" s="110"/>
      <c r="LP318" s="110"/>
      <c r="LQ318" s="110"/>
      <c r="LR318" s="110"/>
      <c r="LS318" s="110"/>
      <c r="LT318" s="110"/>
      <c r="LU318" s="110"/>
      <c r="LV318" s="110"/>
      <c r="LW318" s="110"/>
      <c r="LX318" s="110"/>
      <c r="LY318" s="110"/>
      <c r="LZ318" s="110"/>
      <c r="MA318" s="110"/>
      <c r="MB318" s="110"/>
      <c r="MC318" s="110"/>
      <c r="MD318" s="110"/>
      <c r="ME318" s="110"/>
      <c r="MF318" s="110"/>
      <c r="MG318" s="110"/>
      <c r="MH318" s="110"/>
      <c r="MI318" s="110"/>
      <c r="MJ318" s="110"/>
      <c r="MK318" s="110"/>
      <c r="ML318" s="110"/>
      <c r="MM318" s="110"/>
      <c r="MN318" s="110"/>
      <c r="MO318" s="110"/>
      <c r="MP318" s="110"/>
      <c r="MQ318" s="110"/>
      <c r="MR318" s="110"/>
      <c r="MS318" s="110"/>
      <c r="MT318" s="110"/>
      <c r="MU318" s="110"/>
      <c r="MV318" s="110"/>
      <c r="MW318" s="110"/>
      <c r="MX318" s="110"/>
      <c r="MY318" s="110"/>
      <c r="MZ318" s="110"/>
      <c r="NA318" s="110"/>
      <c r="NB318" s="110"/>
      <c r="NC318" s="110"/>
      <c r="ND318" s="110"/>
      <c r="NE318" s="110"/>
      <c r="NF318" s="110"/>
      <c r="NG318" s="110"/>
      <c r="NH318" s="110"/>
      <c r="NI318" s="110"/>
      <c r="NJ318" s="110"/>
      <c r="NK318" s="110"/>
      <c r="NL318" s="110"/>
      <c r="NM318" s="110"/>
      <c r="NN318" s="110"/>
      <c r="NO318" s="110"/>
      <c r="NP318" s="110"/>
      <c r="NQ318" s="110"/>
      <c r="NR318" s="110"/>
      <c r="NS318" s="110"/>
      <c r="NT318" s="110"/>
      <c r="NU318" s="110"/>
      <c r="NV318" s="110"/>
      <c r="NW318" s="110"/>
      <c r="NX318" s="110"/>
      <c r="NY318" s="110"/>
      <c r="NZ318" s="110"/>
      <c r="OA318" s="110"/>
      <c r="OB318" s="110"/>
      <c r="OC318" s="110"/>
      <c r="OD318" s="110"/>
      <c r="OE318" s="110"/>
      <c r="OF318" s="110"/>
      <c r="OG318" s="110"/>
      <c r="OH318" s="110"/>
      <c r="OI318" s="110"/>
      <c r="OJ318" s="110"/>
      <c r="OK318" s="110"/>
      <c r="OL318" s="110"/>
      <c r="OM318" s="110"/>
      <c r="ON318" s="110"/>
      <c r="OO318" s="110"/>
      <c r="OP318" s="110"/>
      <c r="OQ318" s="110"/>
      <c r="OR318" s="110"/>
      <c r="OS318" s="110"/>
      <c r="OT318" s="110"/>
      <c r="OU318" s="110"/>
      <c r="OV318" s="110"/>
      <c r="OW318" s="110"/>
      <c r="OX318" s="110"/>
      <c r="OY318" s="110"/>
      <c r="OZ318" s="110"/>
      <c r="PA318" s="110"/>
      <c r="PB318" s="110"/>
      <c r="PC318" s="110"/>
      <c r="PD318" s="110"/>
      <c r="PE318" s="110"/>
      <c r="PF318" s="110"/>
      <c r="PG318" s="110"/>
      <c r="PH318" s="110"/>
      <c r="PI318" s="110"/>
      <c r="PJ318" s="110"/>
      <c r="PK318" s="110"/>
      <c r="PL318" s="110"/>
      <c r="PM318" s="110"/>
      <c r="PN318" s="110"/>
      <c r="PO318" s="110"/>
      <c r="PP318" s="110"/>
      <c r="PQ318" s="110"/>
      <c r="PR318" s="110"/>
      <c r="PS318" s="110"/>
      <c r="PT318" s="110"/>
      <c r="PU318" s="110"/>
      <c r="PV318" s="110"/>
      <c r="PW318" s="110"/>
      <c r="PX318" s="110"/>
      <c r="PY318" s="110"/>
      <c r="PZ318" s="110"/>
      <c r="QA318" s="110"/>
      <c r="QB318" s="110"/>
      <c r="QC318" s="110"/>
      <c r="QD318" s="110"/>
      <c r="QE318" s="110"/>
      <c r="QF318" s="110"/>
      <c r="QG318" s="110"/>
      <c r="QH318" s="110"/>
      <c r="QI318" s="110"/>
      <c r="QJ318" s="110"/>
      <c r="QK318" s="110"/>
      <c r="QL318" s="110"/>
      <c r="QM318" s="110"/>
      <c r="QN318" s="110"/>
      <c r="QO318" s="110"/>
      <c r="QP318" s="110"/>
      <c r="QQ318" s="110"/>
      <c r="QR318" s="110"/>
      <c r="QS318" s="110"/>
      <c r="QT318" s="110"/>
      <c r="QU318" s="110"/>
      <c r="QV318" s="110"/>
      <c r="QW318" s="110"/>
      <c r="QX318" s="110"/>
      <c r="QY318" s="110"/>
      <c r="QZ318" s="110"/>
      <c r="RA318" s="110"/>
      <c r="RB318" s="110"/>
      <c r="RC318" s="110"/>
      <c r="RD318" s="110"/>
      <c r="RE318" s="110"/>
      <c r="RF318" s="110"/>
      <c r="RG318" s="110"/>
      <c r="RH318" s="110"/>
      <c r="RI318" s="110"/>
      <c r="RJ318" s="110"/>
      <c r="RK318" s="110"/>
      <c r="RL318" s="110"/>
      <c r="RM318" s="110"/>
      <c r="RN318" s="110"/>
      <c r="RO318" s="110"/>
      <c r="RP318" s="110"/>
      <c r="RQ318" s="110"/>
      <c r="RR318" s="110"/>
      <c r="RS318" s="110"/>
      <c r="RT318" s="110"/>
      <c r="RU318" s="110"/>
      <c r="RV318" s="110"/>
      <c r="RW318" s="110"/>
      <c r="RX318" s="110"/>
      <c r="RY318" s="110"/>
      <c r="RZ318" s="110"/>
      <c r="SA318" s="110"/>
      <c r="SB318" s="110"/>
      <c r="SC318" s="110"/>
      <c r="SD318" s="110"/>
      <c r="SE318" s="110"/>
      <c r="SF318" s="110"/>
      <c r="SG318" s="110"/>
      <c r="SH318" s="110"/>
      <c r="SI318" s="110"/>
      <c r="SJ318" s="110"/>
      <c r="SK318" s="110"/>
      <c r="SL318" s="110"/>
      <c r="SM318" s="110"/>
      <c r="SN318" s="110"/>
      <c r="SO318" s="110"/>
      <c r="SP318" s="110"/>
      <c r="SQ318" s="110"/>
      <c r="SR318" s="110"/>
      <c r="SS318" s="110"/>
      <c r="ST318" s="110"/>
      <c r="SU318" s="110"/>
      <c r="SV318" s="110"/>
      <c r="SW318" s="110"/>
      <c r="SX318" s="110"/>
      <c r="SY318" s="110"/>
      <c r="SZ318" s="110"/>
      <c r="TA318" s="110"/>
      <c r="TB318" s="110"/>
      <c r="TC318" s="110"/>
      <c r="TD318" s="110"/>
      <c r="TE318" s="110"/>
      <c r="TF318" s="110"/>
      <c r="TG318" s="110"/>
      <c r="TH318" s="110"/>
      <c r="TI318" s="110"/>
      <c r="TJ318" s="110"/>
      <c r="TK318" s="110"/>
      <c r="TL318" s="110"/>
      <c r="TM318" s="110"/>
      <c r="TN318" s="110"/>
      <c r="TO318" s="110"/>
      <c r="TP318" s="110"/>
      <c r="TQ318" s="110"/>
      <c r="TR318" s="110"/>
      <c r="TS318" s="110"/>
      <c r="TT318" s="110"/>
      <c r="TU318" s="110"/>
      <c r="TV318" s="110"/>
      <c r="TW318" s="110"/>
      <c r="TX318" s="110"/>
      <c r="TY318" s="110"/>
      <c r="TZ318" s="110"/>
      <c r="UA318" s="110"/>
      <c r="UB318" s="110"/>
      <c r="UC318" s="110"/>
      <c r="UD318" s="110"/>
      <c r="UE318" s="110"/>
      <c r="UF318" s="110"/>
      <c r="UG318" s="110"/>
      <c r="UH318" s="110"/>
      <c r="UI318" s="110"/>
      <c r="UJ318" s="110"/>
      <c r="UK318" s="110"/>
      <c r="UL318" s="110"/>
      <c r="UM318" s="110"/>
      <c r="UN318" s="110"/>
      <c r="UO318" s="110"/>
      <c r="UP318" s="110"/>
      <c r="UQ318" s="110"/>
      <c r="UR318" s="110"/>
      <c r="US318" s="110"/>
      <c r="UT318" s="110"/>
      <c r="UU318" s="110"/>
      <c r="UV318" s="110"/>
      <c r="UW318" s="110"/>
      <c r="UX318" s="110"/>
      <c r="UY318" s="110"/>
      <c r="UZ318" s="110"/>
      <c r="VA318" s="110"/>
      <c r="VB318" s="110"/>
      <c r="VC318" s="110"/>
      <c r="VD318" s="110"/>
      <c r="VE318" s="110"/>
      <c r="VF318" s="110"/>
      <c r="VG318" s="110"/>
      <c r="VH318" s="110"/>
      <c r="VI318" s="110"/>
      <c r="VJ318" s="110"/>
      <c r="VK318" s="110"/>
      <c r="VL318" s="110"/>
      <c r="VM318" s="110"/>
      <c r="VN318" s="110"/>
      <c r="VO318" s="110"/>
      <c r="VP318" s="110"/>
      <c r="VQ318" s="110"/>
      <c r="VR318" s="110"/>
      <c r="VS318" s="110"/>
      <c r="VT318" s="110"/>
      <c r="VU318" s="110"/>
      <c r="VV318" s="110"/>
      <c r="VW318" s="110"/>
      <c r="VX318" s="110"/>
      <c r="VY318" s="110"/>
      <c r="VZ318" s="110"/>
      <c r="WA318" s="110"/>
      <c r="WB318" s="110"/>
      <c r="WC318" s="110"/>
      <c r="WD318" s="110"/>
      <c r="WE318" s="110"/>
      <c r="WF318" s="110"/>
      <c r="WG318" s="110"/>
      <c r="WH318" s="110"/>
      <c r="WI318" s="110"/>
      <c r="WJ318" s="110"/>
      <c r="WK318" s="110"/>
      <c r="WL318" s="110"/>
      <c r="WM318" s="110"/>
      <c r="WN318" s="110"/>
      <c r="WO318" s="110"/>
      <c r="WP318" s="110"/>
      <c r="WQ318" s="110"/>
      <c r="WR318" s="110"/>
      <c r="WS318" s="110"/>
      <c r="WT318" s="110"/>
      <c r="WU318" s="110"/>
      <c r="WV318" s="110"/>
      <c r="WW318" s="110"/>
      <c r="WX318" s="110"/>
      <c r="WY318" s="110"/>
      <c r="WZ318" s="110"/>
      <c r="XA318" s="110"/>
      <c r="XB318" s="110"/>
      <c r="XC318" s="110"/>
      <c r="XD318" s="110"/>
      <c r="XE318" s="110"/>
      <c r="XF318" s="110"/>
      <c r="XG318" s="110"/>
      <c r="XH318" s="110"/>
      <c r="XI318" s="110"/>
      <c r="XJ318" s="110"/>
      <c r="XK318" s="110"/>
      <c r="XL318" s="110"/>
      <c r="XM318" s="110"/>
      <c r="XN318" s="110"/>
      <c r="XO318" s="110"/>
      <c r="XP318" s="110"/>
      <c r="XQ318" s="110"/>
      <c r="XR318" s="110"/>
      <c r="XS318" s="110"/>
      <c r="XT318" s="110"/>
      <c r="XU318" s="110"/>
      <c r="XV318" s="110"/>
      <c r="XW318" s="110"/>
      <c r="XX318" s="110"/>
      <c r="XY318" s="110"/>
      <c r="XZ318" s="110"/>
      <c r="YA318" s="110"/>
      <c r="YB318" s="110"/>
      <c r="YC318" s="110"/>
      <c r="YD318" s="110"/>
      <c r="YE318" s="110"/>
      <c r="YF318" s="110"/>
      <c r="YG318" s="110"/>
      <c r="YH318" s="110"/>
      <c r="YI318" s="110"/>
      <c r="YJ318" s="110"/>
      <c r="YK318" s="110"/>
      <c r="YL318" s="110"/>
      <c r="YM318" s="110"/>
      <c r="YN318" s="110"/>
      <c r="YO318" s="110"/>
      <c r="YP318" s="110"/>
      <c r="YQ318" s="110"/>
      <c r="YR318" s="110"/>
      <c r="YS318" s="110"/>
      <c r="YT318" s="110"/>
      <c r="YU318" s="110"/>
      <c r="YV318" s="110"/>
      <c r="YW318" s="110"/>
      <c r="YX318" s="110"/>
      <c r="YY318" s="110"/>
      <c r="YZ318" s="110"/>
      <c r="ZA318" s="110"/>
      <c r="ZB318" s="110"/>
      <c r="ZC318" s="110"/>
      <c r="ZD318" s="110"/>
      <c r="ZE318" s="110"/>
      <c r="ZF318" s="110"/>
      <c r="ZG318" s="110"/>
      <c r="ZH318" s="110"/>
      <c r="ZI318" s="110"/>
      <c r="ZJ318" s="110"/>
      <c r="ZK318" s="110"/>
      <c r="ZL318" s="110"/>
      <c r="ZM318" s="110"/>
      <c r="ZN318" s="110"/>
      <c r="ZO318" s="110"/>
      <c r="ZP318" s="110"/>
      <c r="ZQ318" s="110"/>
      <c r="ZR318" s="110"/>
      <c r="ZS318" s="110"/>
      <c r="ZT318" s="110"/>
      <c r="ZU318" s="110"/>
      <c r="ZV318" s="110"/>
      <c r="ZW318" s="110"/>
      <c r="ZX318" s="110"/>
      <c r="ZY318" s="110"/>
      <c r="ZZ318" s="110"/>
      <c r="AAA318" s="110"/>
      <c r="AAB318" s="110"/>
      <c r="AAC318" s="110"/>
      <c r="AAD318" s="110"/>
      <c r="AAE318" s="110"/>
      <c r="AAF318" s="110"/>
      <c r="AAG318" s="110"/>
      <c r="AAH318" s="110"/>
      <c r="AAI318" s="110"/>
      <c r="AAJ318" s="110"/>
      <c r="AAK318" s="110"/>
      <c r="AAL318" s="110"/>
      <c r="AAM318" s="110"/>
      <c r="AAN318" s="110"/>
      <c r="AAO318" s="110"/>
      <c r="AAP318" s="110"/>
      <c r="AAQ318" s="110"/>
      <c r="AAR318" s="110"/>
      <c r="AAS318" s="110"/>
      <c r="AAT318" s="110"/>
      <c r="AAU318" s="110"/>
      <c r="AAV318" s="110"/>
      <c r="AAW318" s="110"/>
      <c r="AAX318" s="110"/>
      <c r="AAY318" s="110"/>
      <c r="AAZ318" s="110"/>
      <c r="ABA318" s="110"/>
      <c r="ABB318" s="110"/>
      <c r="ABC318" s="110"/>
      <c r="ABD318" s="110"/>
      <c r="ABE318" s="110"/>
      <c r="ABF318" s="110"/>
      <c r="ABG318" s="110"/>
      <c r="ABH318" s="110"/>
      <c r="ABI318" s="110"/>
      <c r="ABJ318" s="110"/>
      <c r="ABK318" s="110"/>
      <c r="ABL318" s="110"/>
      <c r="ABM318" s="110"/>
      <c r="ABN318" s="110"/>
      <c r="ABO318" s="110"/>
      <c r="ABP318" s="110"/>
      <c r="ABQ318" s="110"/>
      <c r="ABR318" s="110"/>
      <c r="ABS318" s="110"/>
      <c r="ABT318" s="110"/>
      <c r="ABU318" s="110"/>
      <c r="ABV318" s="110"/>
      <c r="ABW318" s="110"/>
      <c r="ABX318" s="110"/>
      <c r="ABY318" s="110"/>
      <c r="ABZ318" s="110"/>
      <c r="ACA318" s="110"/>
      <c r="ACB318" s="110"/>
      <c r="ACC318" s="110"/>
      <c r="ACD318" s="110"/>
      <c r="ACE318" s="110"/>
      <c r="ACF318" s="110"/>
      <c r="ACG318" s="110"/>
      <c r="ACH318" s="110"/>
      <c r="ACI318" s="110"/>
      <c r="ACJ318" s="110"/>
      <c r="ACK318" s="110"/>
      <c r="ACL318" s="110"/>
      <c r="ACM318" s="110"/>
      <c r="ACN318" s="110"/>
      <c r="ACO318" s="110"/>
      <c r="ACP318" s="110"/>
      <c r="ACQ318" s="110"/>
      <c r="ACR318" s="110"/>
      <c r="ACS318" s="110"/>
      <c r="ACT318" s="110"/>
      <c r="ACU318" s="110"/>
      <c r="ACV318" s="110"/>
      <c r="ACW318" s="110"/>
      <c r="ACX318" s="110"/>
      <c r="ACY318" s="110"/>
      <c r="ACZ318" s="110"/>
      <c r="ADA318" s="110"/>
      <c r="ADB318" s="110"/>
      <c r="ADC318" s="110"/>
      <c r="ADD318" s="110"/>
      <c r="ADE318" s="110"/>
      <c r="ADF318" s="110"/>
      <c r="ADG318" s="110"/>
      <c r="ADH318" s="110"/>
      <c r="ADI318" s="110"/>
      <c r="ADJ318" s="110"/>
      <c r="ADK318" s="110"/>
      <c r="ADL318" s="110"/>
      <c r="ADM318" s="110"/>
      <c r="ADN318" s="110"/>
      <c r="ADO318" s="110"/>
      <c r="ADP318" s="110"/>
      <c r="ADQ318" s="110"/>
      <c r="ADR318" s="110"/>
      <c r="ADS318" s="110"/>
      <c r="ADT318" s="110"/>
      <c r="ADU318" s="110"/>
      <c r="ADV318" s="110"/>
      <c r="ADW318" s="110"/>
      <c r="ADX318" s="110"/>
      <c r="ADY318" s="110"/>
      <c r="ADZ318" s="110"/>
      <c r="AEA318" s="110"/>
      <c r="AEB318" s="110"/>
      <c r="AEC318" s="110"/>
      <c r="AED318" s="110"/>
      <c r="AEE318" s="110"/>
      <c r="AEF318" s="110"/>
      <c r="AEG318" s="110"/>
      <c r="AEH318" s="110"/>
      <c r="AEI318" s="110"/>
      <c r="AEJ318" s="110"/>
      <c r="AEK318" s="110"/>
      <c r="AEL318" s="110"/>
      <c r="AEM318" s="110"/>
      <c r="AEN318" s="110"/>
      <c r="AEO318" s="110"/>
      <c r="AEP318" s="110"/>
      <c r="AEQ318" s="110"/>
      <c r="AER318" s="110"/>
      <c r="AES318" s="110"/>
      <c r="AET318" s="110"/>
      <c r="AEU318" s="110"/>
      <c r="AEV318" s="110"/>
      <c r="AEW318" s="110"/>
      <c r="AEX318" s="110"/>
      <c r="AEY318" s="110"/>
      <c r="AEZ318" s="110"/>
      <c r="AFA318" s="110"/>
      <c r="AFB318" s="110"/>
      <c r="AFC318" s="110"/>
      <c r="AFD318" s="110"/>
      <c r="AFE318" s="110"/>
      <c r="AFF318" s="110"/>
      <c r="AFG318" s="110"/>
      <c r="AFH318" s="110"/>
      <c r="AFI318" s="110"/>
      <c r="AFJ318" s="110"/>
      <c r="AFK318" s="110"/>
      <c r="AFL318" s="110"/>
      <c r="AFM318" s="110"/>
      <c r="AFN318" s="110"/>
      <c r="AFO318" s="110"/>
      <c r="AFP318" s="110"/>
      <c r="AFQ318" s="110"/>
      <c r="AFR318" s="110"/>
      <c r="AFS318" s="110"/>
      <c r="AFT318" s="110"/>
      <c r="AFU318" s="110"/>
      <c r="AFV318" s="110"/>
      <c r="AFW318" s="110"/>
      <c r="AFX318" s="110"/>
      <c r="AFY318" s="110"/>
      <c r="AFZ318" s="110"/>
      <c r="AGA318" s="110"/>
      <c r="AGB318" s="110"/>
      <c r="AGC318" s="110"/>
      <c r="AGD318" s="110"/>
      <c r="AGE318" s="110"/>
      <c r="AGF318" s="110"/>
      <c r="AGG318" s="110"/>
      <c r="AGH318" s="110"/>
      <c r="AGI318" s="110"/>
      <c r="AGJ318" s="110"/>
      <c r="AGK318" s="110"/>
      <c r="AGL318" s="110"/>
      <c r="AGM318" s="110"/>
      <c r="AGN318" s="110"/>
      <c r="AGO318" s="110"/>
      <c r="AGP318" s="110"/>
      <c r="AGQ318" s="110"/>
      <c r="AGR318" s="110"/>
      <c r="AGS318" s="110"/>
      <c r="AGT318" s="110"/>
      <c r="AGU318" s="110"/>
      <c r="AGV318" s="110"/>
      <c r="AGW318" s="110"/>
      <c r="AGX318" s="110"/>
      <c r="AGY318" s="110"/>
      <c r="AGZ318" s="110"/>
      <c r="AHA318" s="110"/>
      <c r="AHB318" s="110"/>
      <c r="AHC318" s="110"/>
      <c r="AHD318" s="110"/>
      <c r="AHE318" s="110"/>
      <c r="AHF318" s="110"/>
      <c r="AHG318" s="110"/>
      <c r="AHH318" s="110"/>
      <c r="AHI318" s="110"/>
      <c r="AHJ318" s="110"/>
      <c r="AHK318" s="110"/>
      <c r="AHL318" s="110"/>
      <c r="AHM318" s="110"/>
      <c r="AHN318" s="110"/>
      <c r="AHO318" s="110"/>
      <c r="AHP318" s="110"/>
      <c r="AHQ318" s="110"/>
      <c r="AHR318" s="110"/>
      <c r="AHS318" s="110"/>
      <c r="AHT318" s="110"/>
      <c r="AHU318" s="110"/>
      <c r="AHV318" s="110"/>
      <c r="AHW318" s="110"/>
      <c r="AHX318" s="110"/>
      <c r="AHY318" s="110"/>
      <c r="AHZ318" s="110"/>
      <c r="AIA318" s="110"/>
      <c r="AIB318" s="110"/>
      <c r="AIC318" s="110"/>
      <c r="AID318" s="110"/>
      <c r="AIE318" s="110"/>
      <c r="AIF318" s="110"/>
      <c r="AIG318" s="110"/>
      <c r="AIH318" s="110"/>
      <c r="AII318" s="110"/>
      <c r="AIJ318" s="110"/>
      <c r="AIK318" s="110"/>
      <c r="AIL318" s="110"/>
      <c r="AIM318" s="110"/>
      <c r="AIN318" s="110"/>
      <c r="AIO318" s="110"/>
      <c r="AIP318" s="110"/>
      <c r="AIQ318" s="110"/>
      <c r="AIR318" s="110"/>
      <c r="AIS318" s="110"/>
      <c r="AIT318" s="110"/>
      <c r="AIU318" s="110"/>
      <c r="AIV318" s="110"/>
      <c r="AIW318" s="110"/>
      <c r="AIX318" s="110"/>
      <c r="AIY318" s="110"/>
      <c r="AIZ318" s="110"/>
      <c r="AJA318" s="110"/>
      <c r="AJB318" s="110"/>
      <c r="AJC318" s="110"/>
      <c r="AJD318" s="110"/>
      <c r="AJE318" s="110"/>
      <c r="AJF318" s="110"/>
      <c r="AJG318" s="110"/>
      <c r="AJH318" s="110"/>
      <c r="AJI318" s="110"/>
      <c r="AJJ318" s="110"/>
      <c r="AJK318" s="110"/>
      <c r="AJL318" s="110"/>
      <c r="AJM318" s="110"/>
      <c r="AJN318" s="110"/>
      <c r="AJO318" s="110"/>
      <c r="AJP318" s="110"/>
      <c r="AJQ318" s="110"/>
      <c r="AJR318" s="110"/>
      <c r="AJS318" s="110"/>
      <c r="AJT318" s="110"/>
      <c r="AJU318" s="110"/>
      <c r="AJV318" s="110"/>
      <c r="AJW318" s="110"/>
      <c r="AJX318" s="110"/>
      <c r="AJY318" s="110"/>
      <c r="AJZ318" s="110"/>
      <c r="AKA318" s="110"/>
      <c r="AKB318" s="110"/>
      <c r="AKC318" s="110"/>
      <c r="AKD318" s="110"/>
      <c r="AKE318" s="110"/>
      <c r="AKF318" s="110"/>
      <c r="AKG318" s="110"/>
      <c r="AKH318" s="110"/>
      <c r="AKI318" s="110"/>
      <c r="AKJ318" s="110"/>
      <c r="AKK318" s="110"/>
      <c r="AKL318" s="110"/>
      <c r="AKM318" s="110"/>
      <c r="AKN318" s="110"/>
      <c r="AKO318" s="110"/>
      <c r="AKP318" s="110"/>
      <c r="AKQ318" s="110"/>
      <c r="AKR318" s="110"/>
      <c r="AKS318" s="110"/>
      <c r="AKT318" s="110"/>
      <c r="AKU318" s="110"/>
      <c r="AKV318" s="110"/>
      <c r="AKW318" s="110"/>
      <c r="AKX318" s="110"/>
      <c r="AKY318" s="110"/>
      <c r="AKZ318" s="110"/>
      <c r="ALA318" s="110"/>
      <c r="ALB318" s="110"/>
      <c r="ALC318" s="110"/>
      <c r="ALD318" s="110"/>
      <c r="ALE318" s="110"/>
      <c r="ALF318" s="110"/>
      <c r="ALG318" s="110"/>
      <c r="ALH318" s="110"/>
      <c r="ALI318" s="110"/>
      <c r="ALJ318" s="110"/>
      <c r="ALK318" s="110"/>
      <c r="ALL318" s="110"/>
      <c r="ALM318" s="110"/>
      <c r="ALN318" s="110"/>
      <c r="ALO318" s="110"/>
      <c r="ALP318" s="110"/>
      <c r="ALQ318" s="110"/>
      <c r="ALR318" s="110"/>
      <c r="ALS318" s="110"/>
      <c r="ALT318" s="110"/>
      <c r="ALU318" s="110"/>
      <c r="ALV318" s="110"/>
      <c r="ALW318" s="110"/>
      <c r="ALX318" s="110"/>
      <c r="ALY318" s="110"/>
      <c r="ALZ318" s="110"/>
      <c r="AMA318" s="110"/>
      <c r="AMB318" s="110"/>
      <c r="AMC318" s="110"/>
      <c r="AMD318" s="110"/>
      <c r="AME318" s="110"/>
      <c r="AMF318" s="110"/>
    </row>
    <row r="319" spans="1:1020" s="142" customFormat="1" ht="11.25" customHeight="1">
      <c r="A319" s="123"/>
      <c r="B319" s="141">
        <v>15</v>
      </c>
      <c r="C319" s="126">
        <v>312</v>
      </c>
      <c r="D319" s="127" t="s">
        <v>493</v>
      </c>
      <c r="E319" s="194">
        <f t="shared" si="52"/>
        <v>2325</v>
      </c>
      <c r="F319" s="125">
        <f>ROUND(E319*Valores!$C$2,2)</f>
        <v>126596.25</v>
      </c>
      <c r="G319" s="192">
        <v>0</v>
      </c>
      <c r="H319" s="125">
        <f>ROUND(G319*Valores!$C$2,2)</f>
        <v>0</v>
      </c>
      <c r="I319" s="192">
        <v>0</v>
      </c>
      <c r="J319" s="125">
        <f>ROUND(I319*Valores!$C$2,2)</f>
        <v>0</v>
      </c>
      <c r="K319" s="192">
        <v>0</v>
      </c>
      <c r="L319" s="125">
        <f>ROUND(K319*Valores!$C$2,2)</f>
        <v>0</v>
      </c>
      <c r="M319" s="125">
        <f>ROUND(IF($H$2=0,IF(AND(A319&lt;&gt;"13-930",A319&lt;&gt;"13-940"),(SUM(F319,H319,J319,L319,X319,T319,R319)*Valores!$C$4),0),0),2)</f>
        <v>35296.31</v>
      </c>
      <c r="N319" s="125">
        <f t="shared" si="42"/>
        <v>0</v>
      </c>
      <c r="O319" s="125">
        <v>0</v>
      </c>
      <c r="P319" s="125">
        <v>0</v>
      </c>
      <c r="Q319" s="125">
        <v>0</v>
      </c>
      <c r="R319" s="125">
        <f>IF($F$4="NO",IF(Valores!$C$49*B319&gt;Valores!$C$46,Valores!$C$46,Valores!$C$49*B319),IF(Valores!$C$49*B319&gt;Valores!$C$46,Valores!$C$46,Valores!$C$49*B319)/2)</f>
        <v>14589</v>
      </c>
      <c r="S319" s="125">
        <v>0</v>
      </c>
      <c r="T319" s="125">
        <f t="shared" si="51"/>
        <v>0</v>
      </c>
      <c r="U319" s="125">
        <v>0</v>
      </c>
      <c r="V319" s="125">
        <v>0</v>
      </c>
      <c r="W319" s="192">
        <v>0</v>
      </c>
      <c r="X319" s="125">
        <f>ROUND(W319*Valores!$C$2,2)</f>
        <v>0</v>
      </c>
      <c r="Y319" s="125">
        <v>0</v>
      </c>
      <c r="Z319" s="125">
        <v>0</v>
      </c>
      <c r="AA319" s="125">
        <v>0</v>
      </c>
      <c r="AB319" s="214">
        <v>0</v>
      </c>
      <c r="AC319" s="125">
        <f t="shared" si="43"/>
        <v>0</v>
      </c>
      <c r="AD319" s="125">
        <v>0</v>
      </c>
      <c r="AE319" s="192">
        <v>0</v>
      </c>
      <c r="AF319" s="125">
        <f>ROUND(AE319*Valores!$C$2,2)</f>
        <v>0</v>
      </c>
      <c r="AG319" s="125">
        <v>0</v>
      </c>
      <c r="AH319" s="125">
        <f t="shared" si="46"/>
        <v>176481.56</v>
      </c>
      <c r="AI319" s="125">
        <v>0</v>
      </c>
      <c r="AJ319" s="125">
        <v>0</v>
      </c>
      <c r="AK319" s="125">
        <v>0</v>
      </c>
      <c r="AL319" s="125">
        <v>0</v>
      </c>
      <c r="AM319" s="125">
        <f t="shared" si="44"/>
        <v>0</v>
      </c>
      <c r="AN319" s="125">
        <f>AH319*Valores!$C$71</f>
        <v>-19412.9716</v>
      </c>
      <c r="AO319" s="125">
        <f>AH319*-Valores!$C$72</f>
        <v>0</v>
      </c>
      <c r="AP319" s="125">
        <f>AH319*Valores!$C$73</f>
        <v>-7941.6702</v>
      </c>
      <c r="AQ319" s="125">
        <v>0</v>
      </c>
      <c r="AR319" s="125">
        <v>0</v>
      </c>
      <c r="AS319" s="125">
        <f t="shared" si="47"/>
        <v>149126.9182</v>
      </c>
      <c r="AT319" s="125">
        <f t="shared" si="41"/>
        <v>-19412.9716</v>
      </c>
      <c r="AU319" s="125">
        <f>AH319*Valores!$C$74</f>
        <v>-4765.00212</v>
      </c>
      <c r="AV319" s="125">
        <f>AH319*Valores!$C$75</f>
        <v>-529.44468</v>
      </c>
      <c r="AW319" s="125">
        <f t="shared" si="45"/>
        <v>151774.1416</v>
      </c>
      <c r="AX319" s="126"/>
      <c r="AY319" s="126"/>
      <c r="AZ319" s="123"/>
      <c r="BA319" s="110"/>
      <c r="BB319" s="110"/>
      <c r="BC319" s="110"/>
      <c r="BD319" s="110"/>
      <c r="BE319" s="110"/>
      <c r="BF319" s="110"/>
      <c r="BG319" s="110"/>
      <c r="BH319" s="110"/>
      <c r="BI319" s="110"/>
      <c r="BJ319" s="110"/>
      <c r="BK319" s="110"/>
      <c r="BL319" s="110"/>
      <c r="BM319" s="110"/>
      <c r="BN319" s="110"/>
      <c r="BO319" s="110"/>
      <c r="BP319" s="110"/>
      <c r="BQ319" s="110"/>
      <c r="BR319" s="110"/>
      <c r="BS319" s="110"/>
      <c r="BT319" s="110"/>
      <c r="BU319" s="110"/>
      <c r="BV319" s="110"/>
      <c r="BW319" s="110"/>
      <c r="BX319" s="110"/>
      <c r="BY319" s="110"/>
      <c r="BZ319" s="110"/>
      <c r="CA319" s="110"/>
      <c r="CB319" s="110"/>
      <c r="CC319" s="110"/>
      <c r="CD319" s="110"/>
      <c r="CE319" s="110"/>
      <c r="CF319" s="110"/>
      <c r="CG319" s="110"/>
      <c r="CH319" s="110"/>
      <c r="CI319" s="110"/>
      <c r="CJ319" s="110"/>
      <c r="CK319" s="110"/>
      <c r="CL319" s="110"/>
      <c r="CM319" s="110"/>
      <c r="CN319" s="110"/>
      <c r="CO319" s="110"/>
      <c r="CP319" s="110"/>
      <c r="CQ319" s="110"/>
      <c r="CR319" s="110"/>
      <c r="CS319" s="110"/>
      <c r="CT319" s="110"/>
      <c r="CU319" s="110"/>
      <c r="CV319" s="110"/>
      <c r="CW319" s="110"/>
      <c r="CX319" s="110"/>
      <c r="CY319" s="110"/>
      <c r="CZ319" s="110"/>
      <c r="DA319" s="110"/>
      <c r="DB319" s="110"/>
      <c r="DC319" s="110"/>
      <c r="DD319" s="110"/>
      <c r="DE319" s="110"/>
      <c r="DF319" s="110"/>
      <c r="DG319" s="110"/>
      <c r="DH319" s="110"/>
      <c r="DI319" s="110"/>
      <c r="DJ319" s="110"/>
      <c r="DK319" s="110"/>
      <c r="DL319" s="110"/>
      <c r="DM319" s="110"/>
      <c r="DN319" s="110"/>
      <c r="DO319" s="110"/>
      <c r="DP319" s="110"/>
      <c r="DQ319" s="110"/>
      <c r="DR319" s="110"/>
      <c r="DS319" s="110"/>
      <c r="DT319" s="110"/>
      <c r="DU319" s="110"/>
      <c r="DV319" s="110"/>
      <c r="DW319" s="110"/>
      <c r="DX319" s="110"/>
      <c r="DY319" s="110"/>
      <c r="DZ319" s="110"/>
      <c r="EA319" s="110"/>
      <c r="EB319" s="110"/>
      <c r="EC319" s="110"/>
      <c r="ED319" s="110"/>
      <c r="EE319" s="110"/>
      <c r="EF319" s="110"/>
      <c r="EG319" s="110"/>
      <c r="EH319" s="110"/>
      <c r="EI319" s="110"/>
      <c r="EJ319" s="110"/>
      <c r="EK319" s="110"/>
      <c r="EL319" s="110"/>
      <c r="EM319" s="110"/>
      <c r="EN319" s="110"/>
      <c r="EO319" s="110"/>
      <c r="EP319" s="110"/>
      <c r="EQ319" s="110"/>
      <c r="ER319" s="110"/>
      <c r="ES319" s="110"/>
      <c r="ET319" s="110"/>
      <c r="EU319" s="110"/>
      <c r="EV319" s="110"/>
      <c r="EW319" s="110"/>
      <c r="EX319" s="110"/>
      <c r="EY319" s="110"/>
      <c r="EZ319" s="110"/>
      <c r="FA319" s="110"/>
      <c r="FB319" s="110"/>
      <c r="FC319" s="110"/>
      <c r="FD319" s="110"/>
      <c r="FE319" s="110"/>
      <c r="FF319" s="110"/>
      <c r="FG319" s="110"/>
      <c r="FH319" s="110"/>
      <c r="FI319" s="110"/>
      <c r="FJ319" s="110"/>
      <c r="FK319" s="110"/>
      <c r="FL319" s="110"/>
      <c r="FM319" s="110"/>
      <c r="FN319" s="110"/>
      <c r="FO319" s="110"/>
      <c r="FP319" s="110"/>
      <c r="FQ319" s="110"/>
      <c r="FR319" s="110"/>
      <c r="FS319" s="110"/>
      <c r="FT319" s="110"/>
      <c r="FU319" s="110"/>
      <c r="FV319" s="110"/>
      <c r="FW319" s="110"/>
      <c r="FX319" s="110"/>
      <c r="FY319" s="110"/>
      <c r="FZ319" s="110"/>
      <c r="GA319" s="110"/>
      <c r="GB319" s="110"/>
      <c r="GC319" s="110"/>
      <c r="GD319" s="110"/>
      <c r="GE319" s="110"/>
      <c r="GF319" s="110"/>
      <c r="GG319" s="110"/>
      <c r="GH319" s="110"/>
      <c r="GI319" s="110"/>
      <c r="GJ319" s="110"/>
      <c r="GK319" s="110"/>
      <c r="GL319" s="110"/>
      <c r="GM319" s="110"/>
      <c r="GN319" s="110"/>
      <c r="GO319" s="110"/>
      <c r="GP319" s="110"/>
      <c r="GQ319" s="110"/>
      <c r="GR319" s="110"/>
      <c r="GS319" s="110"/>
      <c r="GT319" s="110"/>
      <c r="GU319" s="110"/>
      <c r="GV319" s="110"/>
      <c r="GW319" s="110"/>
      <c r="GX319" s="110"/>
      <c r="GY319" s="110"/>
      <c r="GZ319" s="110"/>
      <c r="HA319" s="110"/>
      <c r="HB319" s="110"/>
      <c r="HC319" s="110"/>
      <c r="HD319" s="110"/>
      <c r="HE319" s="110"/>
      <c r="HF319" s="110"/>
      <c r="HG319" s="110"/>
      <c r="HH319" s="110"/>
      <c r="HI319" s="110"/>
      <c r="HJ319" s="110"/>
      <c r="HK319" s="110"/>
      <c r="HL319" s="110"/>
      <c r="HM319" s="110"/>
      <c r="HN319" s="110"/>
      <c r="HO319" s="110"/>
      <c r="HP319" s="110"/>
      <c r="HQ319" s="110"/>
      <c r="HR319" s="110"/>
      <c r="HS319" s="110"/>
      <c r="HT319" s="110"/>
      <c r="HU319" s="110"/>
      <c r="HV319" s="110"/>
      <c r="HW319" s="110"/>
      <c r="HX319" s="110"/>
      <c r="HY319" s="110"/>
      <c r="HZ319" s="110"/>
      <c r="IA319" s="110"/>
      <c r="IB319" s="110"/>
      <c r="IC319" s="110"/>
      <c r="ID319" s="110"/>
      <c r="IE319" s="110"/>
      <c r="IF319" s="110"/>
      <c r="IG319" s="110"/>
      <c r="IH319" s="110"/>
      <c r="II319" s="110"/>
      <c r="IJ319" s="110"/>
      <c r="IK319" s="110"/>
      <c r="IL319" s="110"/>
      <c r="IM319" s="110"/>
      <c r="IN319" s="110"/>
      <c r="IO319" s="110"/>
      <c r="IP319" s="110"/>
      <c r="IQ319" s="110"/>
      <c r="IR319" s="110"/>
      <c r="IS319" s="110"/>
      <c r="IT319" s="110"/>
      <c r="IU319" s="110"/>
      <c r="IV319" s="110"/>
      <c r="IW319" s="110"/>
      <c r="IX319" s="110"/>
      <c r="IY319" s="110"/>
      <c r="IZ319" s="110"/>
      <c r="JA319" s="110"/>
      <c r="JB319" s="110"/>
      <c r="JC319" s="110"/>
      <c r="JD319" s="110"/>
      <c r="JE319" s="110"/>
      <c r="JF319" s="110"/>
      <c r="JG319" s="110"/>
      <c r="JH319" s="110"/>
      <c r="JI319" s="110"/>
      <c r="JJ319" s="110"/>
      <c r="JK319" s="110"/>
      <c r="JL319" s="110"/>
      <c r="JM319" s="110"/>
      <c r="JN319" s="110"/>
      <c r="JO319" s="110"/>
      <c r="JP319" s="110"/>
      <c r="JQ319" s="110"/>
      <c r="JR319" s="110"/>
      <c r="JS319" s="110"/>
      <c r="JT319" s="110"/>
      <c r="JU319" s="110"/>
      <c r="JV319" s="110"/>
      <c r="JW319" s="110"/>
      <c r="JX319" s="110"/>
      <c r="JY319" s="110"/>
      <c r="JZ319" s="110"/>
      <c r="KA319" s="110"/>
      <c r="KB319" s="110"/>
      <c r="KC319" s="110"/>
      <c r="KD319" s="110"/>
      <c r="KE319" s="110"/>
      <c r="KF319" s="110"/>
      <c r="KG319" s="110"/>
      <c r="KH319" s="110"/>
      <c r="KI319" s="110"/>
      <c r="KJ319" s="110"/>
      <c r="KK319" s="110"/>
      <c r="KL319" s="110"/>
      <c r="KM319" s="110"/>
      <c r="KN319" s="110"/>
      <c r="KO319" s="110"/>
      <c r="KP319" s="110"/>
      <c r="KQ319" s="110"/>
      <c r="KR319" s="110"/>
      <c r="KS319" s="110"/>
      <c r="KT319" s="110"/>
      <c r="KU319" s="110"/>
      <c r="KV319" s="110"/>
      <c r="KW319" s="110"/>
      <c r="KX319" s="110"/>
      <c r="KY319" s="110"/>
      <c r="KZ319" s="110"/>
      <c r="LA319" s="110"/>
      <c r="LB319" s="110"/>
      <c r="LC319" s="110"/>
      <c r="LD319" s="110"/>
      <c r="LE319" s="110"/>
      <c r="LF319" s="110"/>
      <c r="LG319" s="110"/>
      <c r="LH319" s="110"/>
      <c r="LI319" s="110"/>
      <c r="LJ319" s="110"/>
      <c r="LK319" s="110"/>
      <c r="LL319" s="110"/>
      <c r="LM319" s="110"/>
      <c r="LN319" s="110"/>
      <c r="LO319" s="110"/>
      <c r="LP319" s="110"/>
      <c r="LQ319" s="110"/>
      <c r="LR319" s="110"/>
      <c r="LS319" s="110"/>
      <c r="LT319" s="110"/>
      <c r="LU319" s="110"/>
      <c r="LV319" s="110"/>
      <c r="LW319" s="110"/>
      <c r="LX319" s="110"/>
      <c r="LY319" s="110"/>
      <c r="LZ319" s="110"/>
      <c r="MA319" s="110"/>
      <c r="MB319" s="110"/>
      <c r="MC319" s="110"/>
      <c r="MD319" s="110"/>
      <c r="ME319" s="110"/>
      <c r="MF319" s="110"/>
      <c r="MG319" s="110"/>
      <c r="MH319" s="110"/>
      <c r="MI319" s="110"/>
      <c r="MJ319" s="110"/>
      <c r="MK319" s="110"/>
      <c r="ML319" s="110"/>
      <c r="MM319" s="110"/>
      <c r="MN319" s="110"/>
      <c r="MO319" s="110"/>
      <c r="MP319" s="110"/>
      <c r="MQ319" s="110"/>
      <c r="MR319" s="110"/>
      <c r="MS319" s="110"/>
      <c r="MT319" s="110"/>
      <c r="MU319" s="110"/>
      <c r="MV319" s="110"/>
      <c r="MW319" s="110"/>
      <c r="MX319" s="110"/>
      <c r="MY319" s="110"/>
      <c r="MZ319" s="110"/>
      <c r="NA319" s="110"/>
      <c r="NB319" s="110"/>
      <c r="NC319" s="110"/>
      <c r="ND319" s="110"/>
      <c r="NE319" s="110"/>
      <c r="NF319" s="110"/>
      <c r="NG319" s="110"/>
      <c r="NH319" s="110"/>
      <c r="NI319" s="110"/>
      <c r="NJ319" s="110"/>
      <c r="NK319" s="110"/>
      <c r="NL319" s="110"/>
      <c r="NM319" s="110"/>
      <c r="NN319" s="110"/>
      <c r="NO319" s="110"/>
      <c r="NP319" s="110"/>
      <c r="NQ319" s="110"/>
      <c r="NR319" s="110"/>
      <c r="NS319" s="110"/>
      <c r="NT319" s="110"/>
      <c r="NU319" s="110"/>
      <c r="NV319" s="110"/>
      <c r="NW319" s="110"/>
      <c r="NX319" s="110"/>
      <c r="NY319" s="110"/>
      <c r="NZ319" s="110"/>
      <c r="OA319" s="110"/>
      <c r="OB319" s="110"/>
      <c r="OC319" s="110"/>
      <c r="OD319" s="110"/>
      <c r="OE319" s="110"/>
      <c r="OF319" s="110"/>
      <c r="OG319" s="110"/>
      <c r="OH319" s="110"/>
      <c r="OI319" s="110"/>
      <c r="OJ319" s="110"/>
      <c r="OK319" s="110"/>
      <c r="OL319" s="110"/>
      <c r="OM319" s="110"/>
      <c r="ON319" s="110"/>
      <c r="OO319" s="110"/>
      <c r="OP319" s="110"/>
      <c r="OQ319" s="110"/>
      <c r="OR319" s="110"/>
      <c r="OS319" s="110"/>
      <c r="OT319" s="110"/>
      <c r="OU319" s="110"/>
      <c r="OV319" s="110"/>
      <c r="OW319" s="110"/>
      <c r="OX319" s="110"/>
      <c r="OY319" s="110"/>
      <c r="OZ319" s="110"/>
      <c r="PA319" s="110"/>
      <c r="PB319" s="110"/>
      <c r="PC319" s="110"/>
      <c r="PD319" s="110"/>
      <c r="PE319" s="110"/>
      <c r="PF319" s="110"/>
      <c r="PG319" s="110"/>
      <c r="PH319" s="110"/>
      <c r="PI319" s="110"/>
      <c r="PJ319" s="110"/>
      <c r="PK319" s="110"/>
      <c r="PL319" s="110"/>
      <c r="PM319" s="110"/>
      <c r="PN319" s="110"/>
      <c r="PO319" s="110"/>
      <c r="PP319" s="110"/>
      <c r="PQ319" s="110"/>
      <c r="PR319" s="110"/>
      <c r="PS319" s="110"/>
      <c r="PT319" s="110"/>
      <c r="PU319" s="110"/>
      <c r="PV319" s="110"/>
      <c r="PW319" s="110"/>
      <c r="PX319" s="110"/>
      <c r="PY319" s="110"/>
      <c r="PZ319" s="110"/>
      <c r="QA319" s="110"/>
      <c r="QB319" s="110"/>
      <c r="QC319" s="110"/>
      <c r="QD319" s="110"/>
      <c r="QE319" s="110"/>
      <c r="QF319" s="110"/>
      <c r="QG319" s="110"/>
      <c r="QH319" s="110"/>
      <c r="QI319" s="110"/>
      <c r="QJ319" s="110"/>
      <c r="QK319" s="110"/>
      <c r="QL319" s="110"/>
      <c r="QM319" s="110"/>
      <c r="QN319" s="110"/>
      <c r="QO319" s="110"/>
      <c r="QP319" s="110"/>
      <c r="QQ319" s="110"/>
      <c r="QR319" s="110"/>
      <c r="QS319" s="110"/>
      <c r="QT319" s="110"/>
      <c r="QU319" s="110"/>
      <c r="QV319" s="110"/>
      <c r="QW319" s="110"/>
      <c r="QX319" s="110"/>
      <c r="QY319" s="110"/>
      <c r="QZ319" s="110"/>
      <c r="RA319" s="110"/>
      <c r="RB319" s="110"/>
      <c r="RC319" s="110"/>
      <c r="RD319" s="110"/>
      <c r="RE319" s="110"/>
      <c r="RF319" s="110"/>
      <c r="RG319" s="110"/>
      <c r="RH319" s="110"/>
      <c r="RI319" s="110"/>
      <c r="RJ319" s="110"/>
      <c r="RK319" s="110"/>
      <c r="RL319" s="110"/>
      <c r="RM319" s="110"/>
      <c r="RN319" s="110"/>
      <c r="RO319" s="110"/>
      <c r="RP319" s="110"/>
      <c r="RQ319" s="110"/>
      <c r="RR319" s="110"/>
      <c r="RS319" s="110"/>
      <c r="RT319" s="110"/>
      <c r="RU319" s="110"/>
      <c r="RV319" s="110"/>
      <c r="RW319" s="110"/>
      <c r="RX319" s="110"/>
      <c r="RY319" s="110"/>
      <c r="RZ319" s="110"/>
      <c r="SA319" s="110"/>
      <c r="SB319" s="110"/>
      <c r="SC319" s="110"/>
      <c r="SD319" s="110"/>
      <c r="SE319" s="110"/>
      <c r="SF319" s="110"/>
      <c r="SG319" s="110"/>
      <c r="SH319" s="110"/>
      <c r="SI319" s="110"/>
      <c r="SJ319" s="110"/>
      <c r="SK319" s="110"/>
      <c r="SL319" s="110"/>
      <c r="SM319" s="110"/>
      <c r="SN319" s="110"/>
      <c r="SO319" s="110"/>
      <c r="SP319" s="110"/>
      <c r="SQ319" s="110"/>
      <c r="SR319" s="110"/>
      <c r="SS319" s="110"/>
      <c r="ST319" s="110"/>
      <c r="SU319" s="110"/>
      <c r="SV319" s="110"/>
      <c r="SW319" s="110"/>
      <c r="SX319" s="110"/>
      <c r="SY319" s="110"/>
      <c r="SZ319" s="110"/>
      <c r="TA319" s="110"/>
      <c r="TB319" s="110"/>
      <c r="TC319" s="110"/>
      <c r="TD319" s="110"/>
      <c r="TE319" s="110"/>
      <c r="TF319" s="110"/>
      <c r="TG319" s="110"/>
      <c r="TH319" s="110"/>
      <c r="TI319" s="110"/>
      <c r="TJ319" s="110"/>
      <c r="TK319" s="110"/>
      <c r="TL319" s="110"/>
      <c r="TM319" s="110"/>
      <c r="TN319" s="110"/>
      <c r="TO319" s="110"/>
      <c r="TP319" s="110"/>
      <c r="TQ319" s="110"/>
      <c r="TR319" s="110"/>
      <c r="TS319" s="110"/>
      <c r="TT319" s="110"/>
      <c r="TU319" s="110"/>
      <c r="TV319" s="110"/>
      <c r="TW319" s="110"/>
      <c r="TX319" s="110"/>
      <c r="TY319" s="110"/>
      <c r="TZ319" s="110"/>
      <c r="UA319" s="110"/>
      <c r="UB319" s="110"/>
      <c r="UC319" s="110"/>
      <c r="UD319" s="110"/>
      <c r="UE319" s="110"/>
      <c r="UF319" s="110"/>
      <c r="UG319" s="110"/>
      <c r="UH319" s="110"/>
      <c r="UI319" s="110"/>
      <c r="UJ319" s="110"/>
      <c r="UK319" s="110"/>
      <c r="UL319" s="110"/>
      <c r="UM319" s="110"/>
      <c r="UN319" s="110"/>
      <c r="UO319" s="110"/>
      <c r="UP319" s="110"/>
      <c r="UQ319" s="110"/>
      <c r="UR319" s="110"/>
      <c r="US319" s="110"/>
      <c r="UT319" s="110"/>
      <c r="UU319" s="110"/>
      <c r="UV319" s="110"/>
      <c r="UW319" s="110"/>
      <c r="UX319" s="110"/>
      <c r="UY319" s="110"/>
      <c r="UZ319" s="110"/>
      <c r="VA319" s="110"/>
      <c r="VB319" s="110"/>
      <c r="VC319" s="110"/>
      <c r="VD319" s="110"/>
      <c r="VE319" s="110"/>
      <c r="VF319" s="110"/>
      <c r="VG319" s="110"/>
      <c r="VH319" s="110"/>
      <c r="VI319" s="110"/>
      <c r="VJ319" s="110"/>
      <c r="VK319" s="110"/>
      <c r="VL319" s="110"/>
      <c r="VM319" s="110"/>
      <c r="VN319" s="110"/>
      <c r="VO319" s="110"/>
      <c r="VP319" s="110"/>
      <c r="VQ319" s="110"/>
      <c r="VR319" s="110"/>
      <c r="VS319" s="110"/>
      <c r="VT319" s="110"/>
      <c r="VU319" s="110"/>
      <c r="VV319" s="110"/>
      <c r="VW319" s="110"/>
      <c r="VX319" s="110"/>
      <c r="VY319" s="110"/>
      <c r="VZ319" s="110"/>
      <c r="WA319" s="110"/>
      <c r="WB319" s="110"/>
      <c r="WC319" s="110"/>
      <c r="WD319" s="110"/>
      <c r="WE319" s="110"/>
      <c r="WF319" s="110"/>
      <c r="WG319" s="110"/>
      <c r="WH319" s="110"/>
      <c r="WI319" s="110"/>
      <c r="WJ319" s="110"/>
      <c r="WK319" s="110"/>
      <c r="WL319" s="110"/>
      <c r="WM319" s="110"/>
      <c r="WN319" s="110"/>
      <c r="WO319" s="110"/>
      <c r="WP319" s="110"/>
      <c r="WQ319" s="110"/>
      <c r="WR319" s="110"/>
      <c r="WS319" s="110"/>
      <c r="WT319" s="110"/>
      <c r="WU319" s="110"/>
      <c r="WV319" s="110"/>
      <c r="WW319" s="110"/>
      <c r="WX319" s="110"/>
      <c r="WY319" s="110"/>
      <c r="WZ319" s="110"/>
      <c r="XA319" s="110"/>
      <c r="XB319" s="110"/>
      <c r="XC319" s="110"/>
      <c r="XD319" s="110"/>
      <c r="XE319" s="110"/>
      <c r="XF319" s="110"/>
      <c r="XG319" s="110"/>
      <c r="XH319" s="110"/>
      <c r="XI319" s="110"/>
      <c r="XJ319" s="110"/>
      <c r="XK319" s="110"/>
      <c r="XL319" s="110"/>
      <c r="XM319" s="110"/>
      <c r="XN319" s="110"/>
      <c r="XO319" s="110"/>
      <c r="XP319" s="110"/>
      <c r="XQ319" s="110"/>
      <c r="XR319" s="110"/>
      <c r="XS319" s="110"/>
      <c r="XT319" s="110"/>
      <c r="XU319" s="110"/>
      <c r="XV319" s="110"/>
      <c r="XW319" s="110"/>
      <c r="XX319" s="110"/>
      <c r="XY319" s="110"/>
      <c r="XZ319" s="110"/>
      <c r="YA319" s="110"/>
      <c r="YB319" s="110"/>
      <c r="YC319" s="110"/>
      <c r="YD319" s="110"/>
      <c r="YE319" s="110"/>
      <c r="YF319" s="110"/>
      <c r="YG319" s="110"/>
      <c r="YH319" s="110"/>
      <c r="YI319" s="110"/>
      <c r="YJ319" s="110"/>
      <c r="YK319" s="110"/>
      <c r="YL319" s="110"/>
      <c r="YM319" s="110"/>
      <c r="YN319" s="110"/>
      <c r="YO319" s="110"/>
      <c r="YP319" s="110"/>
      <c r="YQ319" s="110"/>
      <c r="YR319" s="110"/>
      <c r="YS319" s="110"/>
      <c r="YT319" s="110"/>
      <c r="YU319" s="110"/>
      <c r="YV319" s="110"/>
      <c r="YW319" s="110"/>
      <c r="YX319" s="110"/>
      <c r="YY319" s="110"/>
      <c r="YZ319" s="110"/>
      <c r="ZA319" s="110"/>
      <c r="ZB319" s="110"/>
      <c r="ZC319" s="110"/>
      <c r="ZD319" s="110"/>
      <c r="ZE319" s="110"/>
      <c r="ZF319" s="110"/>
      <c r="ZG319" s="110"/>
      <c r="ZH319" s="110"/>
      <c r="ZI319" s="110"/>
      <c r="ZJ319" s="110"/>
      <c r="ZK319" s="110"/>
      <c r="ZL319" s="110"/>
      <c r="ZM319" s="110"/>
      <c r="ZN319" s="110"/>
      <c r="ZO319" s="110"/>
      <c r="ZP319" s="110"/>
      <c r="ZQ319" s="110"/>
      <c r="ZR319" s="110"/>
      <c r="ZS319" s="110"/>
      <c r="ZT319" s="110"/>
      <c r="ZU319" s="110"/>
      <c r="ZV319" s="110"/>
      <c r="ZW319" s="110"/>
      <c r="ZX319" s="110"/>
      <c r="ZY319" s="110"/>
      <c r="ZZ319" s="110"/>
      <c r="AAA319" s="110"/>
      <c r="AAB319" s="110"/>
      <c r="AAC319" s="110"/>
      <c r="AAD319" s="110"/>
      <c r="AAE319" s="110"/>
      <c r="AAF319" s="110"/>
      <c r="AAG319" s="110"/>
      <c r="AAH319" s="110"/>
      <c r="AAI319" s="110"/>
      <c r="AAJ319" s="110"/>
      <c r="AAK319" s="110"/>
      <c r="AAL319" s="110"/>
      <c r="AAM319" s="110"/>
      <c r="AAN319" s="110"/>
      <c r="AAO319" s="110"/>
      <c r="AAP319" s="110"/>
      <c r="AAQ319" s="110"/>
      <c r="AAR319" s="110"/>
      <c r="AAS319" s="110"/>
      <c r="AAT319" s="110"/>
      <c r="AAU319" s="110"/>
      <c r="AAV319" s="110"/>
      <c r="AAW319" s="110"/>
      <c r="AAX319" s="110"/>
      <c r="AAY319" s="110"/>
      <c r="AAZ319" s="110"/>
      <c r="ABA319" s="110"/>
      <c r="ABB319" s="110"/>
      <c r="ABC319" s="110"/>
      <c r="ABD319" s="110"/>
      <c r="ABE319" s="110"/>
      <c r="ABF319" s="110"/>
      <c r="ABG319" s="110"/>
      <c r="ABH319" s="110"/>
      <c r="ABI319" s="110"/>
      <c r="ABJ319" s="110"/>
      <c r="ABK319" s="110"/>
      <c r="ABL319" s="110"/>
      <c r="ABM319" s="110"/>
      <c r="ABN319" s="110"/>
      <c r="ABO319" s="110"/>
      <c r="ABP319" s="110"/>
      <c r="ABQ319" s="110"/>
      <c r="ABR319" s="110"/>
      <c r="ABS319" s="110"/>
      <c r="ABT319" s="110"/>
      <c r="ABU319" s="110"/>
      <c r="ABV319" s="110"/>
      <c r="ABW319" s="110"/>
      <c r="ABX319" s="110"/>
      <c r="ABY319" s="110"/>
      <c r="ABZ319" s="110"/>
      <c r="ACA319" s="110"/>
      <c r="ACB319" s="110"/>
      <c r="ACC319" s="110"/>
      <c r="ACD319" s="110"/>
      <c r="ACE319" s="110"/>
      <c r="ACF319" s="110"/>
      <c r="ACG319" s="110"/>
      <c r="ACH319" s="110"/>
      <c r="ACI319" s="110"/>
      <c r="ACJ319" s="110"/>
      <c r="ACK319" s="110"/>
      <c r="ACL319" s="110"/>
      <c r="ACM319" s="110"/>
      <c r="ACN319" s="110"/>
      <c r="ACO319" s="110"/>
      <c r="ACP319" s="110"/>
      <c r="ACQ319" s="110"/>
      <c r="ACR319" s="110"/>
      <c r="ACS319" s="110"/>
      <c r="ACT319" s="110"/>
      <c r="ACU319" s="110"/>
      <c r="ACV319" s="110"/>
      <c r="ACW319" s="110"/>
      <c r="ACX319" s="110"/>
      <c r="ACY319" s="110"/>
      <c r="ACZ319" s="110"/>
      <c r="ADA319" s="110"/>
      <c r="ADB319" s="110"/>
      <c r="ADC319" s="110"/>
      <c r="ADD319" s="110"/>
      <c r="ADE319" s="110"/>
      <c r="ADF319" s="110"/>
      <c r="ADG319" s="110"/>
      <c r="ADH319" s="110"/>
      <c r="ADI319" s="110"/>
      <c r="ADJ319" s="110"/>
      <c r="ADK319" s="110"/>
      <c r="ADL319" s="110"/>
      <c r="ADM319" s="110"/>
      <c r="ADN319" s="110"/>
      <c r="ADO319" s="110"/>
      <c r="ADP319" s="110"/>
      <c r="ADQ319" s="110"/>
      <c r="ADR319" s="110"/>
      <c r="ADS319" s="110"/>
      <c r="ADT319" s="110"/>
      <c r="ADU319" s="110"/>
      <c r="ADV319" s="110"/>
      <c r="ADW319" s="110"/>
      <c r="ADX319" s="110"/>
      <c r="ADY319" s="110"/>
      <c r="ADZ319" s="110"/>
      <c r="AEA319" s="110"/>
      <c r="AEB319" s="110"/>
      <c r="AEC319" s="110"/>
      <c r="AED319" s="110"/>
      <c r="AEE319" s="110"/>
      <c r="AEF319" s="110"/>
      <c r="AEG319" s="110"/>
      <c r="AEH319" s="110"/>
      <c r="AEI319" s="110"/>
      <c r="AEJ319" s="110"/>
      <c r="AEK319" s="110"/>
      <c r="AEL319" s="110"/>
      <c r="AEM319" s="110"/>
      <c r="AEN319" s="110"/>
      <c r="AEO319" s="110"/>
      <c r="AEP319" s="110"/>
      <c r="AEQ319" s="110"/>
      <c r="AER319" s="110"/>
      <c r="AES319" s="110"/>
      <c r="AET319" s="110"/>
      <c r="AEU319" s="110"/>
      <c r="AEV319" s="110"/>
      <c r="AEW319" s="110"/>
      <c r="AEX319" s="110"/>
      <c r="AEY319" s="110"/>
      <c r="AEZ319" s="110"/>
      <c r="AFA319" s="110"/>
      <c r="AFB319" s="110"/>
      <c r="AFC319" s="110"/>
      <c r="AFD319" s="110"/>
      <c r="AFE319" s="110"/>
      <c r="AFF319" s="110"/>
      <c r="AFG319" s="110"/>
      <c r="AFH319" s="110"/>
      <c r="AFI319" s="110"/>
      <c r="AFJ319" s="110"/>
      <c r="AFK319" s="110"/>
      <c r="AFL319" s="110"/>
      <c r="AFM319" s="110"/>
      <c r="AFN319" s="110"/>
      <c r="AFO319" s="110"/>
      <c r="AFP319" s="110"/>
      <c r="AFQ319" s="110"/>
      <c r="AFR319" s="110"/>
      <c r="AFS319" s="110"/>
      <c r="AFT319" s="110"/>
      <c r="AFU319" s="110"/>
      <c r="AFV319" s="110"/>
      <c r="AFW319" s="110"/>
      <c r="AFX319" s="110"/>
      <c r="AFY319" s="110"/>
      <c r="AFZ319" s="110"/>
      <c r="AGA319" s="110"/>
      <c r="AGB319" s="110"/>
      <c r="AGC319" s="110"/>
      <c r="AGD319" s="110"/>
      <c r="AGE319" s="110"/>
      <c r="AGF319" s="110"/>
      <c r="AGG319" s="110"/>
      <c r="AGH319" s="110"/>
      <c r="AGI319" s="110"/>
      <c r="AGJ319" s="110"/>
      <c r="AGK319" s="110"/>
      <c r="AGL319" s="110"/>
      <c r="AGM319" s="110"/>
      <c r="AGN319" s="110"/>
      <c r="AGO319" s="110"/>
      <c r="AGP319" s="110"/>
      <c r="AGQ319" s="110"/>
      <c r="AGR319" s="110"/>
      <c r="AGS319" s="110"/>
      <c r="AGT319" s="110"/>
      <c r="AGU319" s="110"/>
      <c r="AGV319" s="110"/>
      <c r="AGW319" s="110"/>
      <c r="AGX319" s="110"/>
      <c r="AGY319" s="110"/>
      <c r="AGZ319" s="110"/>
      <c r="AHA319" s="110"/>
      <c r="AHB319" s="110"/>
      <c r="AHC319" s="110"/>
      <c r="AHD319" s="110"/>
      <c r="AHE319" s="110"/>
      <c r="AHF319" s="110"/>
      <c r="AHG319" s="110"/>
      <c r="AHH319" s="110"/>
      <c r="AHI319" s="110"/>
      <c r="AHJ319" s="110"/>
      <c r="AHK319" s="110"/>
      <c r="AHL319" s="110"/>
      <c r="AHM319" s="110"/>
      <c r="AHN319" s="110"/>
      <c r="AHO319" s="110"/>
      <c r="AHP319" s="110"/>
      <c r="AHQ319" s="110"/>
      <c r="AHR319" s="110"/>
      <c r="AHS319" s="110"/>
      <c r="AHT319" s="110"/>
      <c r="AHU319" s="110"/>
      <c r="AHV319" s="110"/>
      <c r="AHW319" s="110"/>
      <c r="AHX319" s="110"/>
      <c r="AHY319" s="110"/>
      <c r="AHZ319" s="110"/>
      <c r="AIA319" s="110"/>
      <c r="AIB319" s="110"/>
      <c r="AIC319" s="110"/>
      <c r="AID319" s="110"/>
      <c r="AIE319" s="110"/>
      <c r="AIF319" s="110"/>
      <c r="AIG319" s="110"/>
      <c r="AIH319" s="110"/>
      <c r="AII319" s="110"/>
      <c r="AIJ319" s="110"/>
      <c r="AIK319" s="110"/>
      <c r="AIL319" s="110"/>
      <c r="AIM319" s="110"/>
      <c r="AIN319" s="110"/>
      <c r="AIO319" s="110"/>
      <c r="AIP319" s="110"/>
      <c r="AIQ319" s="110"/>
      <c r="AIR319" s="110"/>
      <c r="AIS319" s="110"/>
      <c r="AIT319" s="110"/>
      <c r="AIU319" s="110"/>
      <c r="AIV319" s="110"/>
      <c r="AIW319" s="110"/>
      <c r="AIX319" s="110"/>
      <c r="AIY319" s="110"/>
      <c r="AIZ319" s="110"/>
      <c r="AJA319" s="110"/>
      <c r="AJB319" s="110"/>
      <c r="AJC319" s="110"/>
      <c r="AJD319" s="110"/>
      <c r="AJE319" s="110"/>
      <c r="AJF319" s="110"/>
      <c r="AJG319" s="110"/>
      <c r="AJH319" s="110"/>
      <c r="AJI319" s="110"/>
      <c r="AJJ319" s="110"/>
      <c r="AJK319" s="110"/>
      <c r="AJL319" s="110"/>
      <c r="AJM319" s="110"/>
      <c r="AJN319" s="110"/>
      <c r="AJO319" s="110"/>
      <c r="AJP319" s="110"/>
      <c r="AJQ319" s="110"/>
      <c r="AJR319" s="110"/>
      <c r="AJS319" s="110"/>
      <c r="AJT319" s="110"/>
      <c r="AJU319" s="110"/>
      <c r="AJV319" s="110"/>
      <c r="AJW319" s="110"/>
      <c r="AJX319" s="110"/>
      <c r="AJY319" s="110"/>
      <c r="AJZ319" s="110"/>
      <c r="AKA319" s="110"/>
      <c r="AKB319" s="110"/>
      <c r="AKC319" s="110"/>
      <c r="AKD319" s="110"/>
      <c r="AKE319" s="110"/>
      <c r="AKF319" s="110"/>
      <c r="AKG319" s="110"/>
      <c r="AKH319" s="110"/>
      <c r="AKI319" s="110"/>
      <c r="AKJ319" s="110"/>
      <c r="AKK319" s="110"/>
      <c r="AKL319" s="110"/>
      <c r="AKM319" s="110"/>
      <c r="AKN319" s="110"/>
      <c r="AKO319" s="110"/>
      <c r="AKP319" s="110"/>
      <c r="AKQ319" s="110"/>
      <c r="AKR319" s="110"/>
      <c r="AKS319" s="110"/>
      <c r="AKT319" s="110"/>
      <c r="AKU319" s="110"/>
      <c r="AKV319" s="110"/>
      <c r="AKW319" s="110"/>
      <c r="AKX319" s="110"/>
      <c r="AKY319" s="110"/>
      <c r="AKZ319" s="110"/>
      <c r="ALA319" s="110"/>
      <c r="ALB319" s="110"/>
      <c r="ALC319" s="110"/>
      <c r="ALD319" s="110"/>
      <c r="ALE319" s="110"/>
      <c r="ALF319" s="110"/>
      <c r="ALG319" s="110"/>
      <c r="ALH319" s="110"/>
      <c r="ALI319" s="110"/>
      <c r="ALJ319" s="110"/>
      <c r="ALK319" s="110"/>
      <c r="ALL319" s="110"/>
      <c r="ALM319" s="110"/>
      <c r="ALN319" s="110"/>
      <c r="ALO319" s="110"/>
      <c r="ALP319" s="110"/>
      <c r="ALQ319" s="110"/>
      <c r="ALR319" s="110"/>
      <c r="ALS319" s="110"/>
      <c r="ALT319" s="110"/>
      <c r="ALU319" s="110"/>
      <c r="ALV319" s="110"/>
      <c r="ALW319" s="110"/>
      <c r="ALX319" s="110"/>
      <c r="ALY319" s="110"/>
      <c r="ALZ319" s="110"/>
      <c r="AMA319" s="110"/>
      <c r="AMB319" s="110"/>
      <c r="AMC319" s="110"/>
      <c r="AMD319" s="110"/>
      <c r="AME319" s="110"/>
      <c r="AMF319" s="110"/>
    </row>
    <row r="320" spans="1:1020" s="142" customFormat="1" ht="11.25" customHeight="1">
      <c r="A320" s="123"/>
      <c r="B320" s="141">
        <v>16</v>
      </c>
      <c r="C320" s="126">
        <v>313</v>
      </c>
      <c r="D320" s="127" t="s">
        <v>494</v>
      </c>
      <c r="E320" s="194">
        <f t="shared" si="52"/>
        <v>2480</v>
      </c>
      <c r="F320" s="125">
        <f>ROUND(E320*Valores!$C$2,2)</f>
        <v>135036</v>
      </c>
      <c r="G320" s="192">
        <v>0</v>
      </c>
      <c r="H320" s="125">
        <f>ROUND(G320*Valores!$C$2,2)</f>
        <v>0</v>
      </c>
      <c r="I320" s="192">
        <v>0</v>
      </c>
      <c r="J320" s="125">
        <f>ROUND(I320*Valores!$C$2,2)</f>
        <v>0</v>
      </c>
      <c r="K320" s="192">
        <v>0</v>
      </c>
      <c r="L320" s="125">
        <f>ROUND(K320*Valores!$C$2,2)</f>
        <v>0</v>
      </c>
      <c r="M320" s="125">
        <f>ROUND(IF($H$2=0,IF(AND(A320&lt;&gt;"13-930",A320&lt;&gt;"13-940"),(SUM(F320,H320,J320,L320,X320,T320,R320)*Valores!$C$4),0),0),2)</f>
        <v>37649.4</v>
      </c>
      <c r="N320" s="125">
        <f t="shared" si="42"/>
        <v>0</v>
      </c>
      <c r="O320" s="125">
        <v>0</v>
      </c>
      <c r="P320" s="125">
        <v>0</v>
      </c>
      <c r="Q320" s="125">
        <v>0</v>
      </c>
      <c r="R320" s="125">
        <f>IF($F$4="NO",IF(Valores!$C$49*B320&gt;Valores!$C$46,Valores!$C$46,Valores!$C$49*B320),IF(Valores!$C$49*B320&gt;Valores!$C$46,Valores!$C$46,Valores!$C$49*B320)/2)</f>
        <v>15561.6</v>
      </c>
      <c r="S320" s="125">
        <v>0</v>
      </c>
      <c r="T320" s="125">
        <f t="shared" si="51"/>
        <v>0</v>
      </c>
      <c r="U320" s="125">
        <v>0</v>
      </c>
      <c r="V320" s="125">
        <v>0</v>
      </c>
      <c r="W320" s="192">
        <v>0</v>
      </c>
      <c r="X320" s="125">
        <f>ROUND(W320*Valores!$C$2,2)</f>
        <v>0</v>
      </c>
      <c r="Y320" s="125">
        <v>0</v>
      </c>
      <c r="Z320" s="125">
        <v>0</v>
      </c>
      <c r="AA320" s="125">
        <v>0</v>
      </c>
      <c r="AB320" s="214">
        <v>0</v>
      </c>
      <c r="AC320" s="125">
        <f t="shared" si="43"/>
        <v>0</v>
      </c>
      <c r="AD320" s="125">
        <v>0</v>
      </c>
      <c r="AE320" s="192">
        <v>0</v>
      </c>
      <c r="AF320" s="125">
        <f>ROUND(AE320*Valores!$C$2,2)</f>
        <v>0</v>
      </c>
      <c r="AG320" s="125">
        <v>0</v>
      </c>
      <c r="AH320" s="125">
        <f t="shared" si="46"/>
        <v>188247</v>
      </c>
      <c r="AI320" s="125">
        <v>0</v>
      </c>
      <c r="AJ320" s="125">
        <v>0</v>
      </c>
      <c r="AK320" s="125">
        <v>0</v>
      </c>
      <c r="AL320" s="125">
        <v>0</v>
      </c>
      <c r="AM320" s="125">
        <f t="shared" si="44"/>
        <v>0</v>
      </c>
      <c r="AN320" s="125">
        <f>AH320*Valores!$C$71</f>
        <v>-20707.170000000002</v>
      </c>
      <c r="AO320" s="125">
        <f>AH320*-Valores!$C$72</f>
        <v>0</v>
      </c>
      <c r="AP320" s="125">
        <f>AH320*Valores!$C$73</f>
        <v>-8471.115</v>
      </c>
      <c r="AQ320" s="125">
        <v>0</v>
      </c>
      <c r="AR320" s="125">
        <v>0</v>
      </c>
      <c r="AS320" s="125">
        <f t="shared" si="47"/>
        <v>159068.715</v>
      </c>
      <c r="AT320" s="125">
        <f t="shared" si="41"/>
        <v>-20707.170000000002</v>
      </c>
      <c r="AU320" s="125">
        <f>AH320*Valores!$C$74</f>
        <v>-5082.669</v>
      </c>
      <c r="AV320" s="125">
        <f>AH320*Valores!$C$75</f>
        <v>-564.741</v>
      </c>
      <c r="AW320" s="125">
        <f t="shared" si="45"/>
        <v>161892.41999999998</v>
      </c>
      <c r="AX320" s="126"/>
      <c r="AY320" s="126"/>
      <c r="AZ320" s="123" t="s">
        <v>4</v>
      </c>
      <c r="BA320" s="110"/>
      <c r="BB320" s="110"/>
      <c r="BC320" s="110"/>
      <c r="BD320" s="110"/>
      <c r="BE320" s="110"/>
      <c r="BF320" s="110"/>
      <c r="BG320" s="110"/>
      <c r="BH320" s="110"/>
      <c r="BI320" s="110"/>
      <c r="BJ320" s="110"/>
      <c r="BK320" s="110"/>
      <c r="BL320" s="110"/>
      <c r="BM320" s="110"/>
      <c r="BN320" s="110"/>
      <c r="BO320" s="110"/>
      <c r="BP320" s="110"/>
      <c r="BQ320" s="110"/>
      <c r="BR320" s="110"/>
      <c r="BS320" s="110"/>
      <c r="BT320" s="110"/>
      <c r="BU320" s="110"/>
      <c r="BV320" s="110"/>
      <c r="BW320" s="110"/>
      <c r="BX320" s="110"/>
      <c r="BY320" s="110"/>
      <c r="BZ320" s="110"/>
      <c r="CA320" s="110"/>
      <c r="CB320" s="110"/>
      <c r="CC320" s="110"/>
      <c r="CD320" s="110"/>
      <c r="CE320" s="110"/>
      <c r="CF320" s="110"/>
      <c r="CG320" s="110"/>
      <c r="CH320" s="110"/>
      <c r="CI320" s="110"/>
      <c r="CJ320" s="110"/>
      <c r="CK320" s="110"/>
      <c r="CL320" s="110"/>
      <c r="CM320" s="110"/>
      <c r="CN320" s="110"/>
      <c r="CO320" s="110"/>
      <c r="CP320" s="110"/>
      <c r="CQ320" s="110"/>
      <c r="CR320" s="110"/>
      <c r="CS320" s="110"/>
      <c r="CT320" s="110"/>
      <c r="CU320" s="110"/>
      <c r="CV320" s="110"/>
      <c r="CW320" s="110"/>
      <c r="CX320" s="110"/>
      <c r="CY320" s="110"/>
      <c r="CZ320" s="110"/>
      <c r="DA320" s="110"/>
      <c r="DB320" s="110"/>
      <c r="DC320" s="110"/>
      <c r="DD320" s="110"/>
      <c r="DE320" s="110"/>
      <c r="DF320" s="110"/>
      <c r="DG320" s="110"/>
      <c r="DH320" s="110"/>
      <c r="DI320" s="110"/>
      <c r="DJ320" s="110"/>
      <c r="DK320" s="110"/>
      <c r="DL320" s="110"/>
      <c r="DM320" s="110"/>
      <c r="DN320" s="110"/>
      <c r="DO320" s="110"/>
      <c r="DP320" s="110"/>
      <c r="DQ320" s="110"/>
      <c r="DR320" s="110"/>
      <c r="DS320" s="110"/>
      <c r="DT320" s="110"/>
      <c r="DU320" s="110"/>
      <c r="DV320" s="110"/>
      <c r="DW320" s="110"/>
      <c r="DX320" s="110"/>
      <c r="DY320" s="110"/>
      <c r="DZ320" s="110"/>
      <c r="EA320" s="110"/>
      <c r="EB320" s="110"/>
      <c r="EC320" s="110"/>
      <c r="ED320" s="110"/>
      <c r="EE320" s="110"/>
      <c r="EF320" s="110"/>
      <c r="EG320" s="110"/>
      <c r="EH320" s="110"/>
      <c r="EI320" s="110"/>
      <c r="EJ320" s="110"/>
      <c r="EK320" s="110"/>
      <c r="EL320" s="110"/>
      <c r="EM320" s="110"/>
      <c r="EN320" s="110"/>
      <c r="EO320" s="110"/>
      <c r="EP320" s="110"/>
      <c r="EQ320" s="110"/>
      <c r="ER320" s="110"/>
      <c r="ES320" s="110"/>
      <c r="ET320" s="110"/>
      <c r="EU320" s="110"/>
      <c r="EV320" s="110"/>
      <c r="EW320" s="110"/>
      <c r="EX320" s="110"/>
      <c r="EY320" s="110"/>
      <c r="EZ320" s="110"/>
      <c r="FA320" s="110"/>
      <c r="FB320" s="110"/>
      <c r="FC320" s="110"/>
      <c r="FD320" s="110"/>
      <c r="FE320" s="110"/>
      <c r="FF320" s="110"/>
      <c r="FG320" s="110"/>
      <c r="FH320" s="110"/>
      <c r="FI320" s="110"/>
      <c r="FJ320" s="110"/>
      <c r="FK320" s="110"/>
      <c r="FL320" s="110"/>
      <c r="FM320" s="110"/>
      <c r="FN320" s="110"/>
      <c r="FO320" s="110"/>
      <c r="FP320" s="110"/>
      <c r="FQ320" s="110"/>
      <c r="FR320" s="110"/>
      <c r="FS320" s="110"/>
      <c r="FT320" s="110"/>
      <c r="FU320" s="110"/>
      <c r="FV320" s="110"/>
      <c r="FW320" s="110"/>
      <c r="FX320" s="110"/>
      <c r="FY320" s="110"/>
      <c r="FZ320" s="110"/>
      <c r="GA320" s="110"/>
      <c r="GB320" s="110"/>
      <c r="GC320" s="110"/>
      <c r="GD320" s="110"/>
      <c r="GE320" s="110"/>
      <c r="GF320" s="110"/>
      <c r="GG320" s="110"/>
      <c r="GH320" s="110"/>
      <c r="GI320" s="110"/>
      <c r="GJ320" s="110"/>
      <c r="GK320" s="110"/>
      <c r="GL320" s="110"/>
      <c r="GM320" s="110"/>
      <c r="GN320" s="110"/>
      <c r="GO320" s="110"/>
      <c r="GP320" s="110"/>
      <c r="GQ320" s="110"/>
      <c r="GR320" s="110"/>
      <c r="GS320" s="110"/>
      <c r="GT320" s="110"/>
      <c r="GU320" s="110"/>
      <c r="GV320" s="110"/>
      <c r="GW320" s="110"/>
      <c r="GX320" s="110"/>
      <c r="GY320" s="110"/>
      <c r="GZ320" s="110"/>
      <c r="HA320" s="110"/>
      <c r="HB320" s="110"/>
      <c r="HC320" s="110"/>
      <c r="HD320" s="110"/>
      <c r="HE320" s="110"/>
      <c r="HF320" s="110"/>
      <c r="HG320" s="110"/>
      <c r="HH320" s="110"/>
      <c r="HI320" s="110"/>
      <c r="HJ320" s="110"/>
      <c r="HK320" s="110"/>
      <c r="HL320" s="110"/>
      <c r="HM320" s="110"/>
      <c r="HN320" s="110"/>
      <c r="HO320" s="110"/>
      <c r="HP320" s="110"/>
      <c r="HQ320" s="110"/>
      <c r="HR320" s="110"/>
      <c r="HS320" s="110"/>
      <c r="HT320" s="110"/>
      <c r="HU320" s="110"/>
      <c r="HV320" s="110"/>
      <c r="HW320" s="110"/>
      <c r="HX320" s="110"/>
      <c r="HY320" s="110"/>
      <c r="HZ320" s="110"/>
      <c r="IA320" s="110"/>
      <c r="IB320" s="110"/>
      <c r="IC320" s="110"/>
      <c r="ID320" s="110"/>
      <c r="IE320" s="110"/>
      <c r="IF320" s="110"/>
      <c r="IG320" s="110"/>
      <c r="IH320" s="110"/>
      <c r="II320" s="110"/>
      <c r="IJ320" s="110"/>
      <c r="IK320" s="110"/>
      <c r="IL320" s="110"/>
      <c r="IM320" s="110"/>
      <c r="IN320" s="110"/>
      <c r="IO320" s="110"/>
      <c r="IP320" s="110"/>
      <c r="IQ320" s="110"/>
      <c r="IR320" s="110"/>
      <c r="IS320" s="110"/>
      <c r="IT320" s="110"/>
      <c r="IU320" s="110"/>
      <c r="IV320" s="110"/>
      <c r="IW320" s="110"/>
      <c r="IX320" s="110"/>
      <c r="IY320" s="110"/>
      <c r="IZ320" s="110"/>
      <c r="JA320" s="110"/>
      <c r="JB320" s="110"/>
      <c r="JC320" s="110"/>
      <c r="JD320" s="110"/>
      <c r="JE320" s="110"/>
      <c r="JF320" s="110"/>
      <c r="JG320" s="110"/>
      <c r="JH320" s="110"/>
      <c r="JI320" s="110"/>
      <c r="JJ320" s="110"/>
      <c r="JK320" s="110"/>
      <c r="JL320" s="110"/>
      <c r="JM320" s="110"/>
      <c r="JN320" s="110"/>
      <c r="JO320" s="110"/>
      <c r="JP320" s="110"/>
      <c r="JQ320" s="110"/>
      <c r="JR320" s="110"/>
      <c r="JS320" s="110"/>
      <c r="JT320" s="110"/>
      <c r="JU320" s="110"/>
      <c r="JV320" s="110"/>
      <c r="JW320" s="110"/>
      <c r="JX320" s="110"/>
      <c r="JY320" s="110"/>
      <c r="JZ320" s="110"/>
      <c r="KA320" s="110"/>
      <c r="KB320" s="110"/>
      <c r="KC320" s="110"/>
      <c r="KD320" s="110"/>
      <c r="KE320" s="110"/>
      <c r="KF320" s="110"/>
      <c r="KG320" s="110"/>
      <c r="KH320" s="110"/>
      <c r="KI320" s="110"/>
      <c r="KJ320" s="110"/>
      <c r="KK320" s="110"/>
      <c r="KL320" s="110"/>
      <c r="KM320" s="110"/>
      <c r="KN320" s="110"/>
      <c r="KO320" s="110"/>
      <c r="KP320" s="110"/>
      <c r="KQ320" s="110"/>
      <c r="KR320" s="110"/>
      <c r="KS320" s="110"/>
      <c r="KT320" s="110"/>
      <c r="KU320" s="110"/>
      <c r="KV320" s="110"/>
      <c r="KW320" s="110"/>
      <c r="KX320" s="110"/>
      <c r="KY320" s="110"/>
      <c r="KZ320" s="110"/>
      <c r="LA320" s="110"/>
      <c r="LB320" s="110"/>
      <c r="LC320" s="110"/>
      <c r="LD320" s="110"/>
      <c r="LE320" s="110"/>
      <c r="LF320" s="110"/>
      <c r="LG320" s="110"/>
      <c r="LH320" s="110"/>
      <c r="LI320" s="110"/>
      <c r="LJ320" s="110"/>
      <c r="LK320" s="110"/>
      <c r="LL320" s="110"/>
      <c r="LM320" s="110"/>
      <c r="LN320" s="110"/>
      <c r="LO320" s="110"/>
      <c r="LP320" s="110"/>
      <c r="LQ320" s="110"/>
      <c r="LR320" s="110"/>
      <c r="LS320" s="110"/>
      <c r="LT320" s="110"/>
      <c r="LU320" s="110"/>
      <c r="LV320" s="110"/>
      <c r="LW320" s="110"/>
      <c r="LX320" s="110"/>
      <c r="LY320" s="110"/>
      <c r="LZ320" s="110"/>
      <c r="MA320" s="110"/>
      <c r="MB320" s="110"/>
      <c r="MC320" s="110"/>
      <c r="MD320" s="110"/>
      <c r="ME320" s="110"/>
      <c r="MF320" s="110"/>
      <c r="MG320" s="110"/>
      <c r="MH320" s="110"/>
      <c r="MI320" s="110"/>
      <c r="MJ320" s="110"/>
      <c r="MK320" s="110"/>
      <c r="ML320" s="110"/>
      <c r="MM320" s="110"/>
      <c r="MN320" s="110"/>
      <c r="MO320" s="110"/>
      <c r="MP320" s="110"/>
      <c r="MQ320" s="110"/>
      <c r="MR320" s="110"/>
      <c r="MS320" s="110"/>
      <c r="MT320" s="110"/>
      <c r="MU320" s="110"/>
      <c r="MV320" s="110"/>
      <c r="MW320" s="110"/>
      <c r="MX320" s="110"/>
      <c r="MY320" s="110"/>
      <c r="MZ320" s="110"/>
      <c r="NA320" s="110"/>
      <c r="NB320" s="110"/>
      <c r="NC320" s="110"/>
      <c r="ND320" s="110"/>
      <c r="NE320" s="110"/>
      <c r="NF320" s="110"/>
      <c r="NG320" s="110"/>
      <c r="NH320" s="110"/>
      <c r="NI320" s="110"/>
      <c r="NJ320" s="110"/>
      <c r="NK320" s="110"/>
      <c r="NL320" s="110"/>
      <c r="NM320" s="110"/>
      <c r="NN320" s="110"/>
      <c r="NO320" s="110"/>
      <c r="NP320" s="110"/>
      <c r="NQ320" s="110"/>
      <c r="NR320" s="110"/>
      <c r="NS320" s="110"/>
      <c r="NT320" s="110"/>
      <c r="NU320" s="110"/>
      <c r="NV320" s="110"/>
      <c r="NW320" s="110"/>
      <c r="NX320" s="110"/>
      <c r="NY320" s="110"/>
      <c r="NZ320" s="110"/>
      <c r="OA320" s="110"/>
      <c r="OB320" s="110"/>
      <c r="OC320" s="110"/>
      <c r="OD320" s="110"/>
      <c r="OE320" s="110"/>
      <c r="OF320" s="110"/>
      <c r="OG320" s="110"/>
      <c r="OH320" s="110"/>
      <c r="OI320" s="110"/>
      <c r="OJ320" s="110"/>
      <c r="OK320" s="110"/>
      <c r="OL320" s="110"/>
      <c r="OM320" s="110"/>
      <c r="ON320" s="110"/>
      <c r="OO320" s="110"/>
      <c r="OP320" s="110"/>
      <c r="OQ320" s="110"/>
      <c r="OR320" s="110"/>
      <c r="OS320" s="110"/>
      <c r="OT320" s="110"/>
      <c r="OU320" s="110"/>
      <c r="OV320" s="110"/>
      <c r="OW320" s="110"/>
      <c r="OX320" s="110"/>
      <c r="OY320" s="110"/>
      <c r="OZ320" s="110"/>
      <c r="PA320" s="110"/>
      <c r="PB320" s="110"/>
      <c r="PC320" s="110"/>
      <c r="PD320" s="110"/>
      <c r="PE320" s="110"/>
      <c r="PF320" s="110"/>
      <c r="PG320" s="110"/>
      <c r="PH320" s="110"/>
      <c r="PI320" s="110"/>
      <c r="PJ320" s="110"/>
      <c r="PK320" s="110"/>
      <c r="PL320" s="110"/>
      <c r="PM320" s="110"/>
      <c r="PN320" s="110"/>
      <c r="PO320" s="110"/>
      <c r="PP320" s="110"/>
      <c r="PQ320" s="110"/>
      <c r="PR320" s="110"/>
      <c r="PS320" s="110"/>
      <c r="PT320" s="110"/>
      <c r="PU320" s="110"/>
      <c r="PV320" s="110"/>
      <c r="PW320" s="110"/>
      <c r="PX320" s="110"/>
      <c r="PY320" s="110"/>
      <c r="PZ320" s="110"/>
      <c r="QA320" s="110"/>
      <c r="QB320" s="110"/>
      <c r="QC320" s="110"/>
      <c r="QD320" s="110"/>
      <c r="QE320" s="110"/>
      <c r="QF320" s="110"/>
      <c r="QG320" s="110"/>
      <c r="QH320" s="110"/>
      <c r="QI320" s="110"/>
      <c r="QJ320" s="110"/>
      <c r="QK320" s="110"/>
      <c r="QL320" s="110"/>
      <c r="QM320" s="110"/>
      <c r="QN320" s="110"/>
      <c r="QO320" s="110"/>
      <c r="QP320" s="110"/>
      <c r="QQ320" s="110"/>
      <c r="QR320" s="110"/>
      <c r="QS320" s="110"/>
      <c r="QT320" s="110"/>
      <c r="QU320" s="110"/>
      <c r="QV320" s="110"/>
      <c r="QW320" s="110"/>
      <c r="QX320" s="110"/>
      <c r="QY320" s="110"/>
      <c r="QZ320" s="110"/>
      <c r="RA320" s="110"/>
      <c r="RB320" s="110"/>
      <c r="RC320" s="110"/>
      <c r="RD320" s="110"/>
      <c r="RE320" s="110"/>
      <c r="RF320" s="110"/>
      <c r="RG320" s="110"/>
      <c r="RH320" s="110"/>
      <c r="RI320" s="110"/>
      <c r="RJ320" s="110"/>
      <c r="RK320" s="110"/>
      <c r="RL320" s="110"/>
      <c r="RM320" s="110"/>
      <c r="RN320" s="110"/>
      <c r="RO320" s="110"/>
      <c r="RP320" s="110"/>
      <c r="RQ320" s="110"/>
      <c r="RR320" s="110"/>
      <c r="RS320" s="110"/>
      <c r="RT320" s="110"/>
      <c r="RU320" s="110"/>
      <c r="RV320" s="110"/>
      <c r="RW320" s="110"/>
      <c r="RX320" s="110"/>
      <c r="RY320" s="110"/>
      <c r="RZ320" s="110"/>
      <c r="SA320" s="110"/>
      <c r="SB320" s="110"/>
      <c r="SC320" s="110"/>
      <c r="SD320" s="110"/>
      <c r="SE320" s="110"/>
      <c r="SF320" s="110"/>
      <c r="SG320" s="110"/>
      <c r="SH320" s="110"/>
      <c r="SI320" s="110"/>
      <c r="SJ320" s="110"/>
      <c r="SK320" s="110"/>
      <c r="SL320" s="110"/>
      <c r="SM320" s="110"/>
      <c r="SN320" s="110"/>
      <c r="SO320" s="110"/>
      <c r="SP320" s="110"/>
      <c r="SQ320" s="110"/>
      <c r="SR320" s="110"/>
      <c r="SS320" s="110"/>
      <c r="ST320" s="110"/>
      <c r="SU320" s="110"/>
      <c r="SV320" s="110"/>
      <c r="SW320" s="110"/>
      <c r="SX320" s="110"/>
      <c r="SY320" s="110"/>
      <c r="SZ320" s="110"/>
      <c r="TA320" s="110"/>
      <c r="TB320" s="110"/>
      <c r="TC320" s="110"/>
      <c r="TD320" s="110"/>
      <c r="TE320" s="110"/>
      <c r="TF320" s="110"/>
      <c r="TG320" s="110"/>
      <c r="TH320" s="110"/>
      <c r="TI320" s="110"/>
      <c r="TJ320" s="110"/>
      <c r="TK320" s="110"/>
      <c r="TL320" s="110"/>
      <c r="TM320" s="110"/>
      <c r="TN320" s="110"/>
      <c r="TO320" s="110"/>
      <c r="TP320" s="110"/>
      <c r="TQ320" s="110"/>
      <c r="TR320" s="110"/>
      <c r="TS320" s="110"/>
      <c r="TT320" s="110"/>
      <c r="TU320" s="110"/>
      <c r="TV320" s="110"/>
      <c r="TW320" s="110"/>
      <c r="TX320" s="110"/>
      <c r="TY320" s="110"/>
      <c r="TZ320" s="110"/>
      <c r="UA320" s="110"/>
      <c r="UB320" s="110"/>
      <c r="UC320" s="110"/>
      <c r="UD320" s="110"/>
      <c r="UE320" s="110"/>
      <c r="UF320" s="110"/>
      <c r="UG320" s="110"/>
      <c r="UH320" s="110"/>
      <c r="UI320" s="110"/>
      <c r="UJ320" s="110"/>
      <c r="UK320" s="110"/>
      <c r="UL320" s="110"/>
      <c r="UM320" s="110"/>
      <c r="UN320" s="110"/>
      <c r="UO320" s="110"/>
      <c r="UP320" s="110"/>
      <c r="UQ320" s="110"/>
      <c r="UR320" s="110"/>
      <c r="US320" s="110"/>
      <c r="UT320" s="110"/>
      <c r="UU320" s="110"/>
      <c r="UV320" s="110"/>
      <c r="UW320" s="110"/>
      <c r="UX320" s="110"/>
      <c r="UY320" s="110"/>
      <c r="UZ320" s="110"/>
      <c r="VA320" s="110"/>
      <c r="VB320" s="110"/>
      <c r="VC320" s="110"/>
      <c r="VD320" s="110"/>
      <c r="VE320" s="110"/>
      <c r="VF320" s="110"/>
      <c r="VG320" s="110"/>
      <c r="VH320" s="110"/>
      <c r="VI320" s="110"/>
      <c r="VJ320" s="110"/>
      <c r="VK320" s="110"/>
      <c r="VL320" s="110"/>
      <c r="VM320" s="110"/>
      <c r="VN320" s="110"/>
      <c r="VO320" s="110"/>
      <c r="VP320" s="110"/>
      <c r="VQ320" s="110"/>
      <c r="VR320" s="110"/>
      <c r="VS320" s="110"/>
      <c r="VT320" s="110"/>
      <c r="VU320" s="110"/>
      <c r="VV320" s="110"/>
      <c r="VW320" s="110"/>
      <c r="VX320" s="110"/>
      <c r="VY320" s="110"/>
      <c r="VZ320" s="110"/>
      <c r="WA320" s="110"/>
      <c r="WB320" s="110"/>
      <c r="WC320" s="110"/>
      <c r="WD320" s="110"/>
      <c r="WE320" s="110"/>
      <c r="WF320" s="110"/>
      <c r="WG320" s="110"/>
      <c r="WH320" s="110"/>
      <c r="WI320" s="110"/>
      <c r="WJ320" s="110"/>
      <c r="WK320" s="110"/>
      <c r="WL320" s="110"/>
      <c r="WM320" s="110"/>
      <c r="WN320" s="110"/>
      <c r="WO320" s="110"/>
      <c r="WP320" s="110"/>
      <c r="WQ320" s="110"/>
      <c r="WR320" s="110"/>
      <c r="WS320" s="110"/>
      <c r="WT320" s="110"/>
      <c r="WU320" s="110"/>
      <c r="WV320" s="110"/>
      <c r="WW320" s="110"/>
      <c r="WX320" s="110"/>
      <c r="WY320" s="110"/>
      <c r="WZ320" s="110"/>
      <c r="XA320" s="110"/>
      <c r="XB320" s="110"/>
      <c r="XC320" s="110"/>
      <c r="XD320" s="110"/>
      <c r="XE320" s="110"/>
      <c r="XF320" s="110"/>
      <c r="XG320" s="110"/>
      <c r="XH320" s="110"/>
      <c r="XI320" s="110"/>
      <c r="XJ320" s="110"/>
      <c r="XK320" s="110"/>
      <c r="XL320" s="110"/>
      <c r="XM320" s="110"/>
      <c r="XN320" s="110"/>
      <c r="XO320" s="110"/>
      <c r="XP320" s="110"/>
      <c r="XQ320" s="110"/>
      <c r="XR320" s="110"/>
      <c r="XS320" s="110"/>
      <c r="XT320" s="110"/>
      <c r="XU320" s="110"/>
      <c r="XV320" s="110"/>
      <c r="XW320" s="110"/>
      <c r="XX320" s="110"/>
      <c r="XY320" s="110"/>
      <c r="XZ320" s="110"/>
      <c r="YA320" s="110"/>
      <c r="YB320" s="110"/>
      <c r="YC320" s="110"/>
      <c r="YD320" s="110"/>
      <c r="YE320" s="110"/>
      <c r="YF320" s="110"/>
      <c r="YG320" s="110"/>
      <c r="YH320" s="110"/>
      <c r="YI320" s="110"/>
      <c r="YJ320" s="110"/>
      <c r="YK320" s="110"/>
      <c r="YL320" s="110"/>
      <c r="YM320" s="110"/>
      <c r="YN320" s="110"/>
      <c r="YO320" s="110"/>
      <c r="YP320" s="110"/>
      <c r="YQ320" s="110"/>
      <c r="YR320" s="110"/>
      <c r="YS320" s="110"/>
      <c r="YT320" s="110"/>
      <c r="YU320" s="110"/>
      <c r="YV320" s="110"/>
      <c r="YW320" s="110"/>
      <c r="YX320" s="110"/>
      <c r="YY320" s="110"/>
      <c r="YZ320" s="110"/>
      <c r="ZA320" s="110"/>
      <c r="ZB320" s="110"/>
      <c r="ZC320" s="110"/>
      <c r="ZD320" s="110"/>
      <c r="ZE320" s="110"/>
      <c r="ZF320" s="110"/>
      <c r="ZG320" s="110"/>
      <c r="ZH320" s="110"/>
      <c r="ZI320" s="110"/>
      <c r="ZJ320" s="110"/>
      <c r="ZK320" s="110"/>
      <c r="ZL320" s="110"/>
      <c r="ZM320" s="110"/>
      <c r="ZN320" s="110"/>
      <c r="ZO320" s="110"/>
      <c r="ZP320" s="110"/>
      <c r="ZQ320" s="110"/>
      <c r="ZR320" s="110"/>
      <c r="ZS320" s="110"/>
      <c r="ZT320" s="110"/>
      <c r="ZU320" s="110"/>
      <c r="ZV320" s="110"/>
      <c r="ZW320" s="110"/>
      <c r="ZX320" s="110"/>
      <c r="ZY320" s="110"/>
      <c r="ZZ320" s="110"/>
      <c r="AAA320" s="110"/>
      <c r="AAB320" s="110"/>
      <c r="AAC320" s="110"/>
      <c r="AAD320" s="110"/>
      <c r="AAE320" s="110"/>
      <c r="AAF320" s="110"/>
      <c r="AAG320" s="110"/>
      <c r="AAH320" s="110"/>
      <c r="AAI320" s="110"/>
      <c r="AAJ320" s="110"/>
      <c r="AAK320" s="110"/>
      <c r="AAL320" s="110"/>
      <c r="AAM320" s="110"/>
      <c r="AAN320" s="110"/>
      <c r="AAO320" s="110"/>
      <c r="AAP320" s="110"/>
      <c r="AAQ320" s="110"/>
      <c r="AAR320" s="110"/>
      <c r="AAS320" s="110"/>
      <c r="AAT320" s="110"/>
      <c r="AAU320" s="110"/>
      <c r="AAV320" s="110"/>
      <c r="AAW320" s="110"/>
      <c r="AAX320" s="110"/>
      <c r="AAY320" s="110"/>
      <c r="AAZ320" s="110"/>
      <c r="ABA320" s="110"/>
      <c r="ABB320" s="110"/>
      <c r="ABC320" s="110"/>
      <c r="ABD320" s="110"/>
      <c r="ABE320" s="110"/>
      <c r="ABF320" s="110"/>
      <c r="ABG320" s="110"/>
      <c r="ABH320" s="110"/>
      <c r="ABI320" s="110"/>
      <c r="ABJ320" s="110"/>
      <c r="ABK320" s="110"/>
      <c r="ABL320" s="110"/>
      <c r="ABM320" s="110"/>
      <c r="ABN320" s="110"/>
      <c r="ABO320" s="110"/>
      <c r="ABP320" s="110"/>
      <c r="ABQ320" s="110"/>
      <c r="ABR320" s="110"/>
      <c r="ABS320" s="110"/>
      <c r="ABT320" s="110"/>
      <c r="ABU320" s="110"/>
      <c r="ABV320" s="110"/>
      <c r="ABW320" s="110"/>
      <c r="ABX320" s="110"/>
      <c r="ABY320" s="110"/>
      <c r="ABZ320" s="110"/>
      <c r="ACA320" s="110"/>
      <c r="ACB320" s="110"/>
      <c r="ACC320" s="110"/>
      <c r="ACD320" s="110"/>
      <c r="ACE320" s="110"/>
      <c r="ACF320" s="110"/>
      <c r="ACG320" s="110"/>
      <c r="ACH320" s="110"/>
      <c r="ACI320" s="110"/>
      <c r="ACJ320" s="110"/>
      <c r="ACK320" s="110"/>
      <c r="ACL320" s="110"/>
      <c r="ACM320" s="110"/>
      <c r="ACN320" s="110"/>
      <c r="ACO320" s="110"/>
      <c r="ACP320" s="110"/>
      <c r="ACQ320" s="110"/>
      <c r="ACR320" s="110"/>
      <c r="ACS320" s="110"/>
      <c r="ACT320" s="110"/>
      <c r="ACU320" s="110"/>
      <c r="ACV320" s="110"/>
      <c r="ACW320" s="110"/>
      <c r="ACX320" s="110"/>
      <c r="ACY320" s="110"/>
      <c r="ACZ320" s="110"/>
      <c r="ADA320" s="110"/>
      <c r="ADB320" s="110"/>
      <c r="ADC320" s="110"/>
      <c r="ADD320" s="110"/>
      <c r="ADE320" s="110"/>
      <c r="ADF320" s="110"/>
      <c r="ADG320" s="110"/>
      <c r="ADH320" s="110"/>
      <c r="ADI320" s="110"/>
      <c r="ADJ320" s="110"/>
      <c r="ADK320" s="110"/>
      <c r="ADL320" s="110"/>
      <c r="ADM320" s="110"/>
      <c r="ADN320" s="110"/>
      <c r="ADO320" s="110"/>
      <c r="ADP320" s="110"/>
      <c r="ADQ320" s="110"/>
      <c r="ADR320" s="110"/>
      <c r="ADS320" s="110"/>
      <c r="ADT320" s="110"/>
      <c r="ADU320" s="110"/>
      <c r="ADV320" s="110"/>
      <c r="ADW320" s="110"/>
      <c r="ADX320" s="110"/>
      <c r="ADY320" s="110"/>
      <c r="ADZ320" s="110"/>
      <c r="AEA320" s="110"/>
      <c r="AEB320" s="110"/>
      <c r="AEC320" s="110"/>
      <c r="AED320" s="110"/>
      <c r="AEE320" s="110"/>
      <c r="AEF320" s="110"/>
      <c r="AEG320" s="110"/>
      <c r="AEH320" s="110"/>
      <c r="AEI320" s="110"/>
      <c r="AEJ320" s="110"/>
      <c r="AEK320" s="110"/>
      <c r="AEL320" s="110"/>
      <c r="AEM320" s="110"/>
      <c r="AEN320" s="110"/>
      <c r="AEO320" s="110"/>
      <c r="AEP320" s="110"/>
      <c r="AEQ320" s="110"/>
      <c r="AER320" s="110"/>
      <c r="AES320" s="110"/>
      <c r="AET320" s="110"/>
      <c r="AEU320" s="110"/>
      <c r="AEV320" s="110"/>
      <c r="AEW320" s="110"/>
      <c r="AEX320" s="110"/>
      <c r="AEY320" s="110"/>
      <c r="AEZ320" s="110"/>
      <c r="AFA320" s="110"/>
      <c r="AFB320" s="110"/>
      <c r="AFC320" s="110"/>
      <c r="AFD320" s="110"/>
      <c r="AFE320" s="110"/>
      <c r="AFF320" s="110"/>
      <c r="AFG320" s="110"/>
      <c r="AFH320" s="110"/>
      <c r="AFI320" s="110"/>
      <c r="AFJ320" s="110"/>
      <c r="AFK320" s="110"/>
      <c r="AFL320" s="110"/>
      <c r="AFM320" s="110"/>
      <c r="AFN320" s="110"/>
      <c r="AFO320" s="110"/>
      <c r="AFP320" s="110"/>
      <c r="AFQ320" s="110"/>
      <c r="AFR320" s="110"/>
      <c r="AFS320" s="110"/>
      <c r="AFT320" s="110"/>
      <c r="AFU320" s="110"/>
      <c r="AFV320" s="110"/>
      <c r="AFW320" s="110"/>
      <c r="AFX320" s="110"/>
      <c r="AFY320" s="110"/>
      <c r="AFZ320" s="110"/>
      <c r="AGA320" s="110"/>
      <c r="AGB320" s="110"/>
      <c r="AGC320" s="110"/>
      <c r="AGD320" s="110"/>
      <c r="AGE320" s="110"/>
      <c r="AGF320" s="110"/>
      <c r="AGG320" s="110"/>
      <c r="AGH320" s="110"/>
      <c r="AGI320" s="110"/>
      <c r="AGJ320" s="110"/>
      <c r="AGK320" s="110"/>
      <c r="AGL320" s="110"/>
      <c r="AGM320" s="110"/>
      <c r="AGN320" s="110"/>
      <c r="AGO320" s="110"/>
      <c r="AGP320" s="110"/>
      <c r="AGQ320" s="110"/>
      <c r="AGR320" s="110"/>
      <c r="AGS320" s="110"/>
      <c r="AGT320" s="110"/>
      <c r="AGU320" s="110"/>
      <c r="AGV320" s="110"/>
      <c r="AGW320" s="110"/>
      <c r="AGX320" s="110"/>
      <c r="AGY320" s="110"/>
      <c r="AGZ320" s="110"/>
      <c r="AHA320" s="110"/>
      <c r="AHB320" s="110"/>
      <c r="AHC320" s="110"/>
      <c r="AHD320" s="110"/>
      <c r="AHE320" s="110"/>
      <c r="AHF320" s="110"/>
      <c r="AHG320" s="110"/>
      <c r="AHH320" s="110"/>
      <c r="AHI320" s="110"/>
      <c r="AHJ320" s="110"/>
      <c r="AHK320" s="110"/>
      <c r="AHL320" s="110"/>
      <c r="AHM320" s="110"/>
      <c r="AHN320" s="110"/>
      <c r="AHO320" s="110"/>
      <c r="AHP320" s="110"/>
      <c r="AHQ320" s="110"/>
      <c r="AHR320" s="110"/>
      <c r="AHS320" s="110"/>
      <c r="AHT320" s="110"/>
      <c r="AHU320" s="110"/>
      <c r="AHV320" s="110"/>
      <c r="AHW320" s="110"/>
      <c r="AHX320" s="110"/>
      <c r="AHY320" s="110"/>
      <c r="AHZ320" s="110"/>
      <c r="AIA320" s="110"/>
      <c r="AIB320" s="110"/>
      <c r="AIC320" s="110"/>
      <c r="AID320" s="110"/>
      <c r="AIE320" s="110"/>
      <c r="AIF320" s="110"/>
      <c r="AIG320" s="110"/>
      <c r="AIH320" s="110"/>
      <c r="AII320" s="110"/>
      <c r="AIJ320" s="110"/>
      <c r="AIK320" s="110"/>
      <c r="AIL320" s="110"/>
      <c r="AIM320" s="110"/>
      <c r="AIN320" s="110"/>
      <c r="AIO320" s="110"/>
      <c r="AIP320" s="110"/>
      <c r="AIQ320" s="110"/>
      <c r="AIR320" s="110"/>
      <c r="AIS320" s="110"/>
      <c r="AIT320" s="110"/>
      <c r="AIU320" s="110"/>
      <c r="AIV320" s="110"/>
      <c r="AIW320" s="110"/>
      <c r="AIX320" s="110"/>
      <c r="AIY320" s="110"/>
      <c r="AIZ320" s="110"/>
      <c r="AJA320" s="110"/>
      <c r="AJB320" s="110"/>
      <c r="AJC320" s="110"/>
      <c r="AJD320" s="110"/>
      <c r="AJE320" s="110"/>
      <c r="AJF320" s="110"/>
      <c r="AJG320" s="110"/>
      <c r="AJH320" s="110"/>
      <c r="AJI320" s="110"/>
      <c r="AJJ320" s="110"/>
      <c r="AJK320" s="110"/>
      <c r="AJL320" s="110"/>
      <c r="AJM320" s="110"/>
      <c r="AJN320" s="110"/>
      <c r="AJO320" s="110"/>
      <c r="AJP320" s="110"/>
      <c r="AJQ320" s="110"/>
      <c r="AJR320" s="110"/>
      <c r="AJS320" s="110"/>
      <c r="AJT320" s="110"/>
      <c r="AJU320" s="110"/>
      <c r="AJV320" s="110"/>
      <c r="AJW320" s="110"/>
      <c r="AJX320" s="110"/>
      <c r="AJY320" s="110"/>
      <c r="AJZ320" s="110"/>
      <c r="AKA320" s="110"/>
      <c r="AKB320" s="110"/>
      <c r="AKC320" s="110"/>
      <c r="AKD320" s="110"/>
      <c r="AKE320" s="110"/>
      <c r="AKF320" s="110"/>
      <c r="AKG320" s="110"/>
      <c r="AKH320" s="110"/>
      <c r="AKI320" s="110"/>
      <c r="AKJ320" s="110"/>
      <c r="AKK320" s="110"/>
      <c r="AKL320" s="110"/>
      <c r="AKM320" s="110"/>
      <c r="AKN320" s="110"/>
      <c r="AKO320" s="110"/>
      <c r="AKP320" s="110"/>
      <c r="AKQ320" s="110"/>
      <c r="AKR320" s="110"/>
      <c r="AKS320" s="110"/>
      <c r="AKT320" s="110"/>
      <c r="AKU320" s="110"/>
      <c r="AKV320" s="110"/>
      <c r="AKW320" s="110"/>
      <c r="AKX320" s="110"/>
      <c r="AKY320" s="110"/>
      <c r="AKZ320" s="110"/>
      <c r="ALA320" s="110"/>
      <c r="ALB320" s="110"/>
      <c r="ALC320" s="110"/>
      <c r="ALD320" s="110"/>
      <c r="ALE320" s="110"/>
      <c r="ALF320" s="110"/>
      <c r="ALG320" s="110"/>
      <c r="ALH320" s="110"/>
      <c r="ALI320" s="110"/>
      <c r="ALJ320" s="110"/>
      <c r="ALK320" s="110"/>
      <c r="ALL320" s="110"/>
      <c r="ALM320" s="110"/>
      <c r="ALN320" s="110"/>
      <c r="ALO320" s="110"/>
      <c r="ALP320" s="110"/>
      <c r="ALQ320" s="110"/>
      <c r="ALR320" s="110"/>
      <c r="ALS320" s="110"/>
      <c r="ALT320" s="110"/>
      <c r="ALU320" s="110"/>
      <c r="ALV320" s="110"/>
      <c r="ALW320" s="110"/>
      <c r="ALX320" s="110"/>
      <c r="ALY320" s="110"/>
      <c r="ALZ320" s="110"/>
      <c r="AMA320" s="110"/>
      <c r="AMB320" s="110"/>
      <c r="AMC320" s="110"/>
      <c r="AMD320" s="110"/>
      <c r="AME320" s="110"/>
      <c r="AMF320" s="110"/>
    </row>
    <row r="321" spans="1:1020" s="142" customFormat="1" ht="11.25" customHeight="1">
      <c r="A321" s="143" t="s">
        <v>474</v>
      </c>
      <c r="B321" s="141">
        <v>1</v>
      </c>
      <c r="C321" s="126">
        <v>314</v>
      </c>
      <c r="D321" s="127" t="s">
        <v>495</v>
      </c>
      <c r="E321" s="194">
        <v>275</v>
      </c>
      <c r="F321" s="125">
        <f>ROUND(E321*Valores!$C$2,2)</f>
        <v>14973.75</v>
      </c>
      <c r="G321" s="192">
        <v>0</v>
      </c>
      <c r="H321" s="125">
        <f>ROUND(G321*Valores!$C$2,2)</f>
        <v>0</v>
      </c>
      <c r="I321" s="192">
        <v>0</v>
      </c>
      <c r="J321" s="125">
        <f>ROUND(I321*Valores!$C$2,2)</f>
        <v>0</v>
      </c>
      <c r="K321" s="192">
        <v>0</v>
      </c>
      <c r="L321" s="125">
        <f>ROUND(K321*Valores!$C$2,2)</f>
        <v>0</v>
      </c>
      <c r="M321" s="125">
        <f>ROUND(IF($H$2=0,IF(AND(A321&lt;&gt;"13-930",A321&lt;&gt;"13-940"),(SUM(F321,H321,J321,L321,X321,T321,R321)*Valores!$C$4),0),0),2)</f>
        <v>0</v>
      </c>
      <c r="N321" s="125">
        <f t="shared" si="42"/>
        <v>0</v>
      </c>
      <c r="O321" s="125">
        <v>0</v>
      </c>
      <c r="P321" s="125">
        <v>0</v>
      </c>
      <c r="Q321" s="125">
        <v>0</v>
      </c>
      <c r="R321" s="125">
        <f>IF($F$4="NO",Valores!$C$50,Valores!$C$50/2)</f>
        <v>1446.04</v>
      </c>
      <c r="S321" s="125">
        <v>0</v>
      </c>
      <c r="T321" s="125">
        <f t="shared" si="51"/>
        <v>0</v>
      </c>
      <c r="U321" s="125">
        <v>0</v>
      </c>
      <c r="V321" s="125">
        <v>0</v>
      </c>
      <c r="W321" s="192">
        <v>0</v>
      </c>
      <c r="X321" s="125">
        <f>ROUND(W321*Valores!$C$2,2)</f>
        <v>0</v>
      </c>
      <c r="Y321" s="125">
        <v>0</v>
      </c>
      <c r="Z321" s="125">
        <f>Valores!$C$98</f>
        <v>3811.38</v>
      </c>
      <c r="AA321" s="125">
        <v>0</v>
      </c>
      <c r="AB321" s="214">
        <v>0</v>
      </c>
      <c r="AC321" s="125">
        <f t="shared" si="43"/>
        <v>0</v>
      </c>
      <c r="AD321" s="125">
        <v>0</v>
      </c>
      <c r="AE321" s="192">
        <v>0</v>
      </c>
      <c r="AF321" s="125">
        <f>ROUND(AE321*Valores!$C$2,2)</f>
        <v>0</v>
      </c>
      <c r="AG321" s="125">
        <f>Valores!$C$64</f>
        <v>1310.4</v>
      </c>
      <c r="AH321" s="125">
        <f t="shared" si="46"/>
        <v>21541.570000000003</v>
      </c>
      <c r="AI321" s="125">
        <f>Valores!$C$33</f>
        <v>0</v>
      </c>
      <c r="AJ321" s="125">
        <f>Valores!$C$91</f>
        <v>0</v>
      </c>
      <c r="AK321" s="125">
        <v>0</v>
      </c>
      <c r="AL321" s="125">
        <v>0</v>
      </c>
      <c r="AM321" s="125">
        <f t="shared" si="44"/>
        <v>0</v>
      </c>
      <c r="AN321" s="125">
        <f>AH321*Valores!$C$71</f>
        <v>-2369.5727</v>
      </c>
      <c r="AO321" s="125">
        <f>AH321*-Valores!$C$72</f>
        <v>0</v>
      </c>
      <c r="AP321" s="125">
        <f>AH321*Valores!$C$73</f>
        <v>-969.3706500000001</v>
      </c>
      <c r="AQ321" s="125">
        <v>0</v>
      </c>
      <c r="AR321" s="125">
        <v>0</v>
      </c>
      <c r="AS321" s="125">
        <f t="shared" si="47"/>
        <v>18202.626650000002</v>
      </c>
      <c r="AT321" s="125">
        <f t="shared" si="41"/>
        <v>-2369.5727</v>
      </c>
      <c r="AU321" s="125">
        <f>AH321*Valores!$C$74</f>
        <v>-581.6223900000001</v>
      </c>
      <c r="AV321" s="125">
        <f>AH321*Valores!$C$75</f>
        <v>-64.62471000000001</v>
      </c>
      <c r="AW321" s="125">
        <f t="shared" si="45"/>
        <v>18525.750200000002</v>
      </c>
      <c r="AX321" s="126"/>
      <c r="AY321" s="126"/>
      <c r="AZ321" s="123" t="s">
        <v>4</v>
      </c>
      <c r="BA321" s="110"/>
      <c r="BB321" s="110"/>
      <c r="BC321" s="110"/>
      <c r="BD321" s="110"/>
      <c r="BE321" s="110"/>
      <c r="BF321" s="110"/>
      <c r="BG321" s="110"/>
      <c r="BH321" s="110"/>
      <c r="BI321" s="110"/>
      <c r="BJ321" s="110"/>
      <c r="BK321" s="110"/>
      <c r="BL321" s="110"/>
      <c r="BM321" s="110"/>
      <c r="BN321" s="110"/>
      <c r="BO321" s="110"/>
      <c r="BP321" s="110"/>
      <c r="BQ321" s="110"/>
      <c r="BR321" s="110"/>
      <c r="BS321" s="110"/>
      <c r="BT321" s="110"/>
      <c r="BU321" s="110"/>
      <c r="BV321" s="110"/>
      <c r="BW321" s="110"/>
      <c r="BX321" s="110"/>
      <c r="BY321" s="110"/>
      <c r="BZ321" s="110"/>
      <c r="CA321" s="110"/>
      <c r="CB321" s="110"/>
      <c r="CC321" s="110"/>
      <c r="CD321" s="110"/>
      <c r="CE321" s="110"/>
      <c r="CF321" s="110"/>
      <c r="CG321" s="110"/>
      <c r="CH321" s="110"/>
      <c r="CI321" s="110"/>
      <c r="CJ321" s="110"/>
      <c r="CK321" s="110"/>
      <c r="CL321" s="110"/>
      <c r="CM321" s="110"/>
      <c r="CN321" s="110"/>
      <c r="CO321" s="110"/>
      <c r="CP321" s="110"/>
      <c r="CQ321" s="110"/>
      <c r="CR321" s="110"/>
      <c r="CS321" s="110"/>
      <c r="CT321" s="110"/>
      <c r="CU321" s="110"/>
      <c r="CV321" s="110"/>
      <c r="CW321" s="110"/>
      <c r="CX321" s="110"/>
      <c r="CY321" s="110"/>
      <c r="CZ321" s="110"/>
      <c r="DA321" s="110"/>
      <c r="DB321" s="110"/>
      <c r="DC321" s="110"/>
      <c r="DD321" s="110"/>
      <c r="DE321" s="110"/>
      <c r="DF321" s="110"/>
      <c r="DG321" s="110"/>
      <c r="DH321" s="110"/>
      <c r="DI321" s="110"/>
      <c r="DJ321" s="110"/>
      <c r="DK321" s="110"/>
      <c r="DL321" s="110"/>
      <c r="DM321" s="110"/>
      <c r="DN321" s="110"/>
      <c r="DO321" s="110"/>
      <c r="DP321" s="110"/>
      <c r="DQ321" s="110"/>
      <c r="DR321" s="110"/>
      <c r="DS321" s="110"/>
      <c r="DT321" s="110"/>
      <c r="DU321" s="110"/>
      <c r="DV321" s="110"/>
      <c r="DW321" s="110"/>
      <c r="DX321" s="110"/>
      <c r="DY321" s="110"/>
      <c r="DZ321" s="110"/>
      <c r="EA321" s="110"/>
      <c r="EB321" s="110"/>
      <c r="EC321" s="110"/>
      <c r="ED321" s="110"/>
      <c r="EE321" s="110"/>
      <c r="EF321" s="110"/>
      <c r="EG321" s="110"/>
      <c r="EH321" s="110"/>
      <c r="EI321" s="110"/>
      <c r="EJ321" s="110"/>
      <c r="EK321" s="110"/>
      <c r="EL321" s="110"/>
      <c r="EM321" s="110"/>
      <c r="EN321" s="110"/>
      <c r="EO321" s="110"/>
      <c r="EP321" s="110"/>
      <c r="EQ321" s="110"/>
      <c r="ER321" s="110"/>
      <c r="ES321" s="110"/>
      <c r="ET321" s="110"/>
      <c r="EU321" s="110"/>
      <c r="EV321" s="110"/>
      <c r="EW321" s="110"/>
      <c r="EX321" s="110"/>
      <c r="EY321" s="110"/>
      <c r="EZ321" s="110"/>
      <c r="FA321" s="110"/>
      <c r="FB321" s="110"/>
      <c r="FC321" s="110"/>
      <c r="FD321" s="110"/>
      <c r="FE321" s="110"/>
      <c r="FF321" s="110"/>
      <c r="FG321" s="110"/>
      <c r="FH321" s="110"/>
      <c r="FI321" s="110"/>
      <c r="FJ321" s="110"/>
      <c r="FK321" s="110"/>
      <c r="FL321" s="110"/>
      <c r="FM321" s="110"/>
      <c r="FN321" s="110"/>
      <c r="FO321" s="110"/>
      <c r="FP321" s="110"/>
      <c r="FQ321" s="110"/>
      <c r="FR321" s="110"/>
      <c r="FS321" s="110"/>
      <c r="FT321" s="110"/>
      <c r="FU321" s="110"/>
      <c r="FV321" s="110"/>
      <c r="FW321" s="110"/>
      <c r="FX321" s="110"/>
      <c r="FY321" s="110"/>
      <c r="FZ321" s="110"/>
      <c r="GA321" s="110"/>
      <c r="GB321" s="110"/>
      <c r="GC321" s="110"/>
      <c r="GD321" s="110"/>
      <c r="GE321" s="110"/>
      <c r="GF321" s="110"/>
      <c r="GG321" s="110"/>
      <c r="GH321" s="110"/>
      <c r="GI321" s="110"/>
      <c r="GJ321" s="110"/>
      <c r="GK321" s="110"/>
      <c r="GL321" s="110"/>
      <c r="GM321" s="110"/>
      <c r="GN321" s="110"/>
      <c r="GO321" s="110"/>
      <c r="GP321" s="110"/>
      <c r="GQ321" s="110"/>
      <c r="GR321" s="110"/>
      <c r="GS321" s="110"/>
      <c r="GT321" s="110"/>
      <c r="GU321" s="110"/>
      <c r="GV321" s="110"/>
      <c r="GW321" s="110"/>
      <c r="GX321" s="110"/>
      <c r="GY321" s="110"/>
      <c r="GZ321" s="110"/>
      <c r="HA321" s="110"/>
      <c r="HB321" s="110"/>
      <c r="HC321" s="110"/>
      <c r="HD321" s="110"/>
      <c r="HE321" s="110"/>
      <c r="HF321" s="110"/>
      <c r="HG321" s="110"/>
      <c r="HH321" s="110"/>
      <c r="HI321" s="110"/>
      <c r="HJ321" s="110"/>
      <c r="HK321" s="110"/>
      <c r="HL321" s="110"/>
      <c r="HM321" s="110"/>
      <c r="HN321" s="110"/>
      <c r="HO321" s="110"/>
      <c r="HP321" s="110"/>
      <c r="HQ321" s="110"/>
      <c r="HR321" s="110"/>
      <c r="HS321" s="110"/>
      <c r="HT321" s="110"/>
      <c r="HU321" s="110"/>
      <c r="HV321" s="110"/>
      <c r="HW321" s="110"/>
      <c r="HX321" s="110"/>
      <c r="HY321" s="110"/>
      <c r="HZ321" s="110"/>
      <c r="IA321" s="110"/>
      <c r="IB321" s="110"/>
      <c r="IC321" s="110"/>
      <c r="ID321" s="110"/>
      <c r="IE321" s="110"/>
      <c r="IF321" s="110"/>
      <c r="IG321" s="110"/>
      <c r="IH321" s="110"/>
      <c r="II321" s="110"/>
      <c r="IJ321" s="110"/>
      <c r="IK321" s="110"/>
      <c r="IL321" s="110"/>
      <c r="IM321" s="110"/>
      <c r="IN321" s="110"/>
      <c r="IO321" s="110"/>
      <c r="IP321" s="110"/>
      <c r="IQ321" s="110"/>
      <c r="IR321" s="110"/>
      <c r="IS321" s="110"/>
      <c r="IT321" s="110"/>
      <c r="IU321" s="110"/>
      <c r="IV321" s="110"/>
      <c r="IW321" s="110"/>
      <c r="IX321" s="110"/>
      <c r="IY321" s="110"/>
      <c r="IZ321" s="110"/>
      <c r="JA321" s="110"/>
      <c r="JB321" s="110"/>
      <c r="JC321" s="110"/>
      <c r="JD321" s="110"/>
      <c r="JE321" s="110"/>
      <c r="JF321" s="110"/>
      <c r="JG321" s="110"/>
      <c r="JH321" s="110"/>
      <c r="JI321" s="110"/>
      <c r="JJ321" s="110"/>
      <c r="JK321" s="110"/>
      <c r="JL321" s="110"/>
      <c r="JM321" s="110"/>
      <c r="JN321" s="110"/>
      <c r="JO321" s="110"/>
      <c r="JP321" s="110"/>
      <c r="JQ321" s="110"/>
      <c r="JR321" s="110"/>
      <c r="JS321" s="110"/>
      <c r="JT321" s="110"/>
      <c r="JU321" s="110"/>
      <c r="JV321" s="110"/>
      <c r="JW321" s="110"/>
      <c r="JX321" s="110"/>
      <c r="JY321" s="110"/>
      <c r="JZ321" s="110"/>
      <c r="KA321" s="110"/>
      <c r="KB321" s="110"/>
      <c r="KC321" s="110"/>
      <c r="KD321" s="110"/>
      <c r="KE321" s="110"/>
      <c r="KF321" s="110"/>
      <c r="KG321" s="110"/>
      <c r="KH321" s="110"/>
      <c r="KI321" s="110"/>
      <c r="KJ321" s="110"/>
      <c r="KK321" s="110"/>
      <c r="KL321" s="110"/>
      <c r="KM321" s="110"/>
      <c r="KN321" s="110"/>
      <c r="KO321" s="110"/>
      <c r="KP321" s="110"/>
      <c r="KQ321" s="110"/>
      <c r="KR321" s="110"/>
      <c r="KS321" s="110"/>
      <c r="KT321" s="110"/>
      <c r="KU321" s="110"/>
      <c r="KV321" s="110"/>
      <c r="KW321" s="110"/>
      <c r="KX321" s="110"/>
      <c r="KY321" s="110"/>
      <c r="KZ321" s="110"/>
      <c r="LA321" s="110"/>
      <c r="LB321" s="110"/>
      <c r="LC321" s="110"/>
      <c r="LD321" s="110"/>
      <c r="LE321" s="110"/>
      <c r="LF321" s="110"/>
      <c r="LG321" s="110"/>
      <c r="LH321" s="110"/>
      <c r="LI321" s="110"/>
      <c r="LJ321" s="110"/>
      <c r="LK321" s="110"/>
      <c r="LL321" s="110"/>
      <c r="LM321" s="110"/>
      <c r="LN321" s="110"/>
      <c r="LO321" s="110"/>
      <c r="LP321" s="110"/>
      <c r="LQ321" s="110"/>
      <c r="LR321" s="110"/>
      <c r="LS321" s="110"/>
      <c r="LT321" s="110"/>
      <c r="LU321" s="110"/>
      <c r="LV321" s="110"/>
      <c r="LW321" s="110"/>
      <c r="LX321" s="110"/>
      <c r="LY321" s="110"/>
      <c r="LZ321" s="110"/>
      <c r="MA321" s="110"/>
      <c r="MB321" s="110"/>
      <c r="MC321" s="110"/>
      <c r="MD321" s="110"/>
      <c r="ME321" s="110"/>
      <c r="MF321" s="110"/>
      <c r="MG321" s="110"/>
      <c r="MH321" s="110"/>
      <c r="MI321" s="110"/>
      <c r="MJ321" s="110"/>
      <c r="MK321" s="110"/>
      <c r="ML321" s="110"/>
      <c r="MM321" s="110"/>
      <c r="MN321" s="110"/>
      <c r="MO321" s="110"/>
      <c r="MP321" s="110"/>
      <c r="MQ321" s="110"/>
      <c r="MR321" s="110"/>
      <c r="MS321" s="110"/>
      <c r="MT321" s="110"/>
      <c r="MU321" s="110"/>
      <c r="MV321" s="110"/>
      <c r="MW321" s="110"/>
      <c r="MX321" s="110"/>
      <c r="MY321" s="110"/>
      <c r="MZ321" s="110"/>
      <c r="NA321" s="110"/>
      <c r="NB321" s="110"/>
      <c r="NC321" s="110"/>
      <c r="ND321" s="110"/>
      <c r="NE321" s="110"/>
      <c r="NF321" s="110"/>
      <c r="NG321" s="110"/>
      <c r="NH321" s="110"/>
      <c r="NI321" s="110"/>
      <c r="NJ321" s="110"/>
      <c r="NK321" s="110"/>
      <c r="NL321" s="110"/>
      <c r="NM321" s="110"/>
      <c r="NN321" s="110"/>
      <c r="NO321" s="110"/>
      <c r="NP321" s="110"/>
      <c r="NQ321" s="110"/>
      <c r="NR321" s="110"/>
      <c r="NS321" s="110"/>
      <c r="NT321" s="110"/>
      <c r="NU321" s="110"/>
      <c r="NV321" s="110"/>
      <c r="NW321" s="110"/>
      <c r="NX321" s="110"/>
      <c r="NY321" s="110"/>
      <c r="NZ321" s="110"/>
      <c r="OA321" s="110"/>
      <c r="OB321" s="110"/>
      <c r="OC321" s="110"/>
      <c r="OD321" s="110"/>
      <c r="OE321" s="110"/>
      <c r="OF321" s="110"/>
      <c r="OG321" s="110"/>
      <c r="OH321" s="110"/>
      <c r="OI321" s="110"/>
      <c r="OJ321" s="110"/>
      <c r="OK321" s="110"/>
      <c r="OL321" s="110"/>
      <c r="OM321" s="110"/>
      <c r="ON321" s="110"/>
      <c r="OO321" s="110"/>
      <c r="OP321" s="110"/>
      <c r="OQ321" s="110"/>
      <c r="OR321" s="110"/>
      <c r="OS321" s="110"/>
      <c r="OT321" s="110"/>
      <c r="OU321" s="110"/>
      <c r="OV321" s="110"/>
      <c r="OW321" s="110"/>
      <c r="OX321" s="110"/>
      <c r="OY321" s="110"/>
      <c r="OZ321" s="110"/>
      <c r="PA321" s="110"/>
      <c r="PB321" s="110"/>
      <c r="PC321" s="110"/>
      <c r="PD321" s="110"/>
      <c r="PE321" s="110"/>
      <c r="PF321" s="110"/>
      <c r="PG321" s="110"/>
      <c r="PH321" s="110"/>
      <c r="PI321" s="110"/>
      <c r="PJ321" s="110"/>
      <c r="PK321" s="110"/>
      <c r="PL321" s="110"/>
      <c r="PM321" s="110"/>
      <c r="PN321" s="110"/>
      <c r="PO321" s="110"/>
      <c r="PP321" s="110"/>
      <c r="PQ321" s="110"/>
      <c r="PR321" s="110"/>
      <c r="PS321" s="110"/>
      <c r="PT321" s="110"/>
      <c r="PU321" s="110"/>
      <c r="PV321" s="110"/>
      <c r="PW321" s="110"/>
      <c r="PX321" s="110"/>
      <c r="PY321" s="110"/>
      <c r="PZ321" s="110"/>
      <c r="QA321" s="110"/>
      <c r="QB321" s="110"/>
      <c r="QC321" s="110"/>
      <c r="QD321" s="110"/>
      <c r="QE321" s="110"/>
      <c r="QF321" s="110"/>
      <c r="QG321" s="110"/>
      <c r="QH321" s="110"/>
      <c r="QI321" s="110"/>
      <c r="QJ321" s="110"/>
      <c r="QK321" s="110"/>
      <c r="QL321" s="110"/>
      <c r="QM321" s="110"/>
      <c r="QN321" s="110"/>
      <c r="QO321" s="110"/>
      <c r="QP321" s="110"/>
      <c r="QQ321" s="110"/>
      <c r="QR321" s="110"/>
      <c r="QS321" s="110"/>
      <c r="QT321" s="110"/>
      <c r="QU321" s="110"/>
      <c r="QV321" s="110"/>
      <c r="QW321" s="110"/>
      <c r="QX321" s="110"/>
      <c r="QY321" s="110"/>
      <c r="QZ321" s="110"/>
      <c r="RA321" s="110"/>
      <c r="RB321" s="110"/>
      <c r="RC321" s="110"/>
      <c r="RD321" s="110"/>
      <c r="RE321" s="110"/>
      <c r="RF321" s="110"/>
      <c r="RG321" s="110"/>
      <c r="RH321" s="110"/>
      <c r="RI321" s="110"/>
      <c r="RJ321" s="110"/>
      <c r="RK321" s="110"/>
      <c r="RL321" s="110"/>
      <c r="RM321" s="110"/>
      <c r="RN321" s="110"/>
      <c r="RO321" s="110"/>
      <c r="RP321" s="110"/>
      <c r="RQ321" s="110"/>
      <c r="RR321" s="110"/>
      <c r="RS321" s="110"/>
      <c r="RT321" s="110"/>
      <c r="RU321" s="110"/>
      <c r="RV321" s="110"/>
      <c r="RW321" s="110"/>
      <c r="RX321" s="110"/>
      <c r="RY321" s="110"/>
      <c r="RZ321" s="110"/>
      <c r="SA321" s="110"/>
      <c r="SB321" s="110"/>
      <c r="SC321" s="110"/>
      <c r="SD321" s="110"/>
      <c r="SE321" s="110"/>
      <c r="SF321" s="110"/>
      <c r="SG321" s="110"/>
      <c r="SH321" s="110"/>
      <c r="SI321" s="110"/>
      <c r="SJ321" s="110"/>
      <c r="SK321" s="110"/>
      <c r="SL321" s="110"/>
      <c r="SM321" s="110"/>
      <c r="SN321" s="110"/>
      <c r="SO321" s="110"/>
      <c r="SP321" s="110"/>
      <c r="SQ321" s="110"/>
      <c r="SR321" s="110"/>
      <c r="SS321" s="110"/>
      <c r="ST321" s="110"/>
      <c r="SU321" s="110"/>
      <c r="SV321" s="110"/>
      <c r="SW321" s="110"/>
      <c r="SX321" s="110"/>
      <c r="SY321" s="110"/>
      <c r="SZ321" s="110"/>
      <c r="TA321" s="110"/>
      <c r="TB321" s="110"/>
      <c r="TC321" s="110"/>
      <c r="TD321" s="110"/>
      <c r="TE321" s="110"/>
      <c r="TF321" s="110"/>
      <c r="TG321" s="110"/>
      <c r="TH321" s="110"/>
      <c r="TI321" s="110"/>
      <c r="TJ321" s="110"/>
      <c r="TK321" s="110"/>
      <c r="TL321" s="110"/>
      <c r="TM321" s="110"/>
      <c r="TN321" s="110"/>
      <c r="TO321" s="110"/>
      <c r="TP321" s="110"/>
      <c r="TQ321" s="110"/>
      <c r="TR321" s="110"/>
      <c r="TS321" s="110"/>
      <c r="TT321" s="110"/>
      <c r="TU321" s="110"/>
      <c r="TV321" s="110"/>
      <c r="TW321" s="110"/>
      <c r="TX321" s="110"/>
      <c r="TY321" s="110"/>
      <c r="TZ321" s="110"/>
      <c r="UA321" s="110"/>
      <c r="UB321" s="110"/>
      <c r="UC321" s="110"/>
      <c r="UD321" s="110"/>
      <c r="UE321" s="110"/>
      <c r="UF321" s="110"/>
      <c r="UG321" s="110"/>
      <c r="UH321" s="110"/>
      <c r="UI321" s="110"/>
      <c r="UJ321" s="110"/>
      <c r="UK321" s="110"/>
      <c r="UL321" s="110"/>
      <c r="UM321" s="110"/>
      <c r="UN321" s="110"/>
      <c r="UO321" s="110"/>
      <c r="UP321" s="110"/>
      <c r="UQ321" s="110"/>
      <c r="UR321" s="110"/>
      <c r="US321" s="110"/>
      <c r="UT321" s="110"/>
      <c r="UU321" s="110"/>
      <c r="UV321" s="110"/>
      <c r="UW321" s="110"/>
      <c r="UX321" s="110"/>
      <c r="UY321" s="110"/>
      <c r="UZ321" s="110"/>
      <c r="VA321" s="110"/>
      <c r="VB321" s="110"/>
      <c r="VC321" s="110"/>
      <c r="VD321" s="110"/>
      <c r="VE321" s="110"/>
      <c r="VF321" s="110"/>
      <c r="VG321" s="110"/>
      <c r="VH321" s="110"/>
      <c r="VI321" s="110"/>
      <c r="VJ321" s="110"/>
      <c r="VK321" s="110"/>
      <c r="VL321" s="110"/>
      <c r="VM321" s="110"/>
      <c r="VN321" s="110"/>
      <c r="VO321" s="110"/>
      <c r="VP321" s="110"/>
      <c r="VQ321" s="110"/>
      <c r="VR321" s="110"/>
      <c r="VS321" s="110"/>
      <c r="VT321" s="110"/>
      <c r="VU321" s="110"/>
      <c r="VV321" s="110"/>
      <c r="VW321" s="110"/>
      <c r="VX321" s="110"/>
      <c r="VY321" s="110"/>
      <c r="VZ321" s="110"/>
      <c r="WA321" s="110"/>
      <c r="WB321" s="110"/>
      <c r="WC321" s="110"/>
      <c r="WD321" s="110"/>
      <c r="WE321" s="110"/>
      <c r="WF321" s="110"/>
      <c r="WG321" s="110"/>
      <c r="WH321" s="110"/>
      <c r="WI321" s="110"/>
      <c r="WJ321" s="110"/>
      <c r="WK321" s="110"/>
      <c r="WL321" s="110"/>
      <c r="WM321" s="110"/>
      <c r="WN321" s="110"/>
      <c r="WO321" s="110"/>
      <c r="WP321" s="110"/>
      <c r="WQ321" s="110"/>
      <c r="WR321" s="110"/>
      <c r="WS321" s="110"/>
      <c r="WT321" s="110"/>
      <c r="WU321" s="110"/>
      <c r="WV321" s="110"/>
      <c r="WW321" s="110"/>
      <c r="WX321" s="110"/>
      <c r="WY321" s="110"/>
      <c r="WZ321" s="110"/>
      <c r="XA321" s="110"/>
      <c r="XB321" s="110"/>
      <c r="XC321" s="110"/>
      <c r="XD321" s="110"/>
      <c r="XE321" s="110"/>
      <c r="XF321" s="110"/>
      <c r="XG321" s="110"/>
      <c r="XH321" s="110"/>
      <c r="XI321" s="110"/>
      <c r="XJ321" s="110"/>
      <c r="XK321" s="110"/>
      <c r="XL321" s="110"/>
      <c r="XM321" s="110"/>
      <c r="XN321" s="110"/>
      <c r="XO321" s="110"/>
      <c r="XP321" s="110"/>
      <c r="XQ321" s="110"/>
      <c r="XR321" s="110"/>
      <c r="XS321" s="110"/>
      <c r="XT321" s="110"/>
      <c r="XU321" s="110"/>
      <c r="XV321" s="110"/>
      <c r="XW321" s="110"/>
      <c r="XX321" s="110"/>
      <c r="XY321" s="110"/>
      <c r="XZ321" s="110"/>
      <c r="YA321" s="110"/>
      <c r="YB321" s="110"/>
      <c r="YC321" s="110"/>
      <c r="YD321" s="110"/>
      <c r="YE321" s="110"/>
      <c r="YF321" s="110"/>
      <c r="YG321" s="110"/>
      <c r="YH321" s="110"/>
      <c r="YI321" s="110"/>
      <c r="YJ321" s="110"/>
      <c r="YK321" s="110"/>
      <c r="YL321" s="110"/>
      <c r="YM321" s="110"/>
      <c r="YN321" s="110"/>
      <c r="YO321" s="110"/>
      <c r="YP321" s="110"/>
      <c r="YQ321" s="110"/>
      <c r="YR321" s="110"/>
      <c r="YS321" s="110"/>
      <c r="YT321" s="110"/>
      <c r="YU321" s="110"/>
      <c r="YV321" s="110"/>
      <c r="YW321" s="110"/>
      <c r="YX321" s="110"/>
      <c r="YY321" s="110"/>
      <c r="YZ321" s="110"/>
      <c r="ZA321" s="110"/>
      <c r="ZB321" s="110"/>
      <c r="ZC321" s="110"/>
      <c r="ZD321" s="110"/>
      <c r="ZE321" s="110"/>
      <c r="ZF321" s="110"/>
      <c r="ZG321" s="110"/>
      <c r="ZH321" s="110"/>
      <c r="ZI321" s="110"/>
      <c r="ZJ321" s="110"/>
      <c r="ZK321" s="110"/>
      <c r="ZL321" s="110"/>
      <c r="ZM321" s="110"/>
      <c r="ZN321" s="110"/>
      <c r="ZO321" s="110"/>
      <c r="ZP321" s="110"/>
      <c r="ZQ321" s="110"/>
      <c r="ZR321" s="110"/>
      <c r="ZS321" s="110"/>
      <c r="ZT321" s="110"/>
      <c r="ZU321" s="110"/>
      <c r="ZV321" s="110"/>
      <c r="ZW321" s="110"/>
      <c r="ZX321" s="110"/>
      <c r="ZY321" s="110"/>
      <c r="ZZ321" s="110"/>
      <c r="AAA321" s="110"/>
      <c r="AAB321" s="110"/>
      <c r="AAC321" s="110"/>
      <c r="AAD321" s="110"/>
      <c r="AAE321" s="110"/>
      <c r="AAF321" s="110"/>
      <c r="AAG321" s="110"/>
      <c r="AAH321" s="110"/>
      <c r="AAI321" s="110"/>
      <c r="AAJ321" s="110"/>
      <c r="AAK321" s="110"/>
      <c r="AAL321" s="110"/>
      <c r="AAM321" s="110"/>
      <c r="AAN321" s="110"/>
      <c r="AAO321" s="110"/>
      <c r="AAP321" s="110"/>
      <c r="AAQ321" s="110"/>
      <c r="AAR321" s="110"/>
      <c r="AAS321" s="110"/>
      <c r="AAT321" s="110"/>
      <c r="AAU321" s="110"/>
      <c r="AAV321" s="110"/>
      <c r="AAW321" s="110"/>
      <c r="AAX321" s="110"/>
      <c r="AAY321" s="110"/>
      <c r="AAZ321" s="110"/>
      <c r="ABA321" s="110"/>
      <c r="ABB321" s="110"/>
      <c r="ABC321" s="110"/>
      <c r="ABD321" s="110"/>
      <c r="ABE321" s="110"/>
      <c r="ABF321" s="110"/>
      <c r="ABG321" s="110"/>
      <c r="ABH321" s="110"/>
      <c r="ABI321" s="110"/>
      <c r="ABJ321" s="110"/>
      <c r="ABK321" s="110"/>
      <c r="ABL321" s="110"/>
      <c r="ABM321" s="110"/>
      <c r="ABN321" s="110"/>
      <c r="ABO321" s="110"/>
      <c r="ABP321" s="110"/>
      <c r="ABQ321" s="110"/>
      <c r="ABR321" s="110"/>
      <c r="ABS321" s="110"/>
      <c r="ABT321" s="110"/>
      <c r="ABU321" s="110"/>
      <c r="ABV321" s="110"/>
      <c r="ABW321" s="110"/>
      <c r="ABX321" s="110"/>
      <c r="ABY321" s="110"/>
      <c r="ABZ321" s="110"/>
      <c r="ACA321" s="110"/>
      <c r="ACB321" s="110"/>
      <c r="ACC321" s="110"/>
      <c r="ACD321" s="110"/>
      <c r="ACE321" s="110"/>
      <c r="ACF321" s="110"/>
      <c r="ACG321" s="110"/>
      <c r="ACH321" s="110"/>
      <c r="ACI321" s="110"/>
      <c r="ACJ321" s="110"/>
      <c r="ACK321" s="110"/>
      <c r="ACL321" s="110"/>
      <c r="ACM321" s="110"/>
      <c r="ACN321" s="110"/>
      <c r="ACO321" s="110"/>
      <c r="ACP321" s="110"/>
      <c r="ACQ321" s="110"/>
      <c r="ACR321" s="110"/>
      <c r="ACS321" s="110"/>
      <c r="ACT321" s="110"/>
      <c r="ACU321" s="110"/>
      <c r="ACV321" s="110"/>
      <c r="ACW321" s="110"/>
      <c r="ACX321" s="110"/>
      <c r="ACY321" s="110"/>
      <c r="ACZ321" s="110"/>
      <c r="ADA321" s="110"/>
      <c r="ADB321" s="110"/>
      <c r="ADC321" s="110"/>
      <c r="ADD321" s="110"/>
      <c r="ADE321" s="110"/>
      <c r="ADF321" s="110"/>
      <c r="ADG321" s="110"/>
      <c r="ADH321" s="110"/>
      <c r="ADI321" s="110"/>
      <c r="ADJ321" s="110"/>
      <c r="ADK321" s="110"/>
      <c r="ADL321" s="110"/>
      <c r="ADM321" s="110"/>
      <c r="ADN321" s="110"/>
      <c r="ADO321" s="110"/>
      <c r="ADP321" s="110"/>
      <c r="ADQ321" s="110"/>
      <c r="ADR321" s="110"/>
      <c r="ADS321" s="110"/>
      <c r="ADT321" s="110"/>
      <c r="ADU321" s="110"/>
      <c r="ADV321" s="110"/>
      <c r="ADW321" s="110"/>
      <c r="ADX321" s="110"/>
      <c r="ADY321" s="110"/>
      <c r="ADZ321" s="110"/>
      <c r="AEA321" s="110"/>
      <c r="AEB321" s="110"/>
      <c r="AEC321" s="110"/>
      <c r="AED321" s="110"/>
      <c r="AEE321" s="110"/>
      <c r="AEF321" s="110"/>
      <c r="AEG321" s="110"/>
      <c r="AEH321" s="110"/>
      <c r="AEI321" s="110"/>
      <c r="AEJ321" s="110"/>
      <c r="AEK321" s="110"/>
      <c r="AEL321" s="110"/>
      <c r="AEM321" s="110"/>
      <c r="AEN321" s="110"/>
      <c r="AEO321" s="110"/>
      <c r="AEP321" s="110"/>
      <c r="AEQ321" s="110"/>
      <c r="AER321" s="110"/>
      <c r="AES321" s="110"/>
      <c r="AET321" s="110"/>
      <c r="AEU321" s="110"/>
      <c r="AEV321" s="110"/>
      <c r="AEW321" s="110"/>
      <c r="AEX321" s="110"/>
      <c r="AEY321" s="110"/>
      <c r="AEZ321" s="110"/>
      <c r="AFA321" s="110"/>
      <c r="AFB321" s="110"/>
      <c r="AFC321" s="110"/>
      <c r="AFD321" s="110"/>
      <c r="AFE321" s="110"/>
      <c r="AFF321" s="110"/>
      <c r="AFG321" s="110"/>
      <c r="AFH321" s="110"/>
      <c r="AFI321" s="110"/>
      <c r="AFJ321" s="110"/>
      <c r="AFK321" s="110"/>
      <c r="AFL321" s="110"/>
      <c r="AFM321" s="110"/>
      <c r="AFN321" s="110"/>
      <c r="AFO321" s="110"/>
      <c r="AFP321" s="110"/>
      <c r="AFQ321" s="110"/>
      <c r="AFR321" s="110"/>
      <c r="AFS321" s="110"/>
      <c r="AFT321" s="110"/>
      <c r="AFU321" s="110"/>
      <c r="AFV321" s="110"/>
      <c r="AFW321" s="110"/>
      <c r="AFX321" s="110"/>
      <c r="AFY321" s="110"/>
      <c r="AFZ321" s="110"/>
      <c r="AGA321" s="110"/>
      <c r="AGB321" s="110"/>
      <c r="AGC321" s="110"/>
      <c r="AGD321" s="110"/>
      <c r="AGE321" s="110"/>
      <c r="AGF321" s="110"/>
      <c r="AGG321" s="110"/>
      <c r="AGH321" s="110"/>
      <c r="AGI321" s="110"/>
      <c r="AGJ321" s="110"/>
      <c r="AGK321" s="110"/>
      <c r="AGL321" s="110"/>
      <c r="AGM321" s="110"/>
      <c r="AGN321" s="110"/>
      <c r="AGO321" s="110"/>
      <c r="AGP321" s="110"/>
      <c r="AGQ321" s="110"/>
      <c r="AGR321" s="110"/>
      <c r="AGS321" s="110"/>
      <c r="AGT321" s="110"/>
      <c r="AGU321" s="110"/>
      <c r="AGV321" s="110"/>
      <c r="AGW321" s="110"/>
      <c r="AGX321" s="110"/>
      <c r="AGY321" s="110"/>
      <c r="AGZ321" s="110"/>
      <c r="AHA321" s="110"/>
      <c r="AHB321" s="110"/>
      <c r="AHC321" s="110"/>
      <c r="AHD321" s="110"/>
      <c r="AHE321" s="110"/>
      <c r="AHF321" s="110"/>
      <c r="AHG321" s="110"/>
      <c r="AHH321" s="110"/>
      <c r="AHI321" s="110"/>
      <c r="AHJ321" s="110"/>
      <c r="AHK321" s="110"/>
      <c r="AHL321" s="110"/>
      <c r="AHM321" s="110"/>
      <c r="AHN321" s="110"/>
      <c r="AHO321" s="110"/>
      <c r="AHP321" s="110"/>
      <c r="AHQ321" s="110"/>
      <c r="AHR321" s="110"/>
      <c r="AHS321" s="110"/>
      <c r="AHT321" s="110"/>
      <c r="AHU321" s="110"/>
      <c r="AHV321" s="110"/>
      <c r="AHW321" s="110"/>
      <c r="AHX321" s="110"/>
      <c r="AHY321" s="110"/>
      <c r="AHZ321" s="110"/>
      <c r="AIA321" s="110"/>
      <c r="AIB321" s="110"/>
      <c r="AIC321" s="110"/>
      <c r="AID321" s="110"/>
      <c r="AIE321" s="110"/>
      <c r="AIF321" s="110"/>
      <c r="AIG321" s="110"/>
      <c r="AIH321" s="110"/>
      <c r="AII321" s="110"/>
      <c r="AIJ321" s="110"/>
      <c r="AIK321" s="110"/>
      <c r="AIL321" s="110"/>
      <c r="AIM321" s="110"/>
      <c r="AIN321" s="110"/>
      <c r="AIO321" s="110"/>
      <c r="AIP321" s="110"/>
      <c r="AIQ321" s="110"/>
      <c r="AIR321" s="110"/>
      <c r="AIS321" s="110"/>
      <c r="AIT321" s="110"/>
      <c r="AIU321" s="110"/>
      <c r="AIV321" s="110"/>
      <c r="AIW321" s="110"/>
      <c r="AIX321" s="110"/>
      <c r="AIY321" s="110"/>
      <c r="AIZ321" s="110"/>
      <c r="AJA321" s="110"/>
      <c r="AJB321" s="110"/>
      <c r="AJC321" s="110"/>
      <c r="AJD321" s="110"/>
      <c r="AJE321" s="110"/>
      <c r="AJF321" s="110"/>
      <c r="AJG321" s="110"/>
      <c r="AJH321" s="110"/>
      <c r="AJI321" s="110"/>
      <c r="AJJ321" s="110"/>
      <c r="AJK321" s="110"/>
      <c r="AJL321" s="110"/>
      <c r="AJM321" s="110"/>
      <c r="AJN321" s="110"/>
      <c r="AJO321" s="110"/>
      <c r="AJP321" s="110"/>
      <c r="AJQ321" s="110"/>
      <c r="AJR321" s="110"/>
      <c r="AJS321" s="110"/>
      <c r="AJT321" s="110"/>
      <c r="AJU321" s="110"/>
      <c r="AJV321" s="110"/>
      <c r="AJW321" s="110"/>
      <c r="AJX321" s="110"/>
      <c r="AJY321" s="110"/>
      <c r="AJZ321" s="110"/>
      <c r="AKA321" s="110"/>
      <c r="AKB321" s="110"/>
      <c r="AKC321" s="110"/>
      <c r="AKD321" s="110"/>
      <c r="AKE321" s="110"/>
      <c r="AKF321" s="110"/>
      <c r="AKG321" s="110"/>
      <c r="AKH321" s="110"/>
      <c r="AKI321" s="110"/>
      <c r="AKJ321" s="110"/>
      <c r="AKK321" s="110"/>
      <c r="AKL321" s="110"/>
      <c r="AKM321" s="110"/>
      <c r="AKN321" s="110"/>
      <c r="AKO321" s="110"/>
      <c r="AKP321" s="110"/>
      <c r="AKQ321" s="110"/>
      <c r="AKR321" s="110"/>
      <c r="AKS321" s="110"/>
      <c r="AKT321" s="110"/>
      <c r="AKU321" s="110"/>
      <c r="AKV321" s="110"/>
      <c r="AKW321" s="110"/>
      <c r="AKX321" s="110"/>
      <c r="AKY321" s="110"/>
      <c r="AKZ321" s="110"/>
      <c r="ALA321" s="110"/>
      <c r="ALB321" s="110"/>
      <c r="ALC321" s="110"/>
      <c r="ALD321" s="110"/>
      <c r="ALE321" s="110"/>
      <c r="ALF321" s="110"/>
      <c r="ALG321" s="110"/>
      <c r="ALH321" s="110"/>
      <c r="ALI321" s="110"/>
      <c r="ALJ321" s="110"/>
      <c r="ALK321" s="110"/>
      <c r="ALL321" s="110"/>
      <c r="ALM321" s="110"/>
      <c r="ALN321" s="110"/>
      <c r="ALO321" s="110"/>
      <c r="ALP321" s="110"/>
      <c r="ALQ321" s="110"/>
      <c r="ALR321" s="110"/>
      <c r="ALS321" s="110"/>
      <c r="ALT321" s="110"/>
      <c r="ALU321" s="110"/>
      <c r="ALV321" s="110"/>
      <c r="ALW321" s="110"/>
      <c r="ALX321" s="110"/>
      <c r="ALY321" s="110"/>
      <c r="ALZ321" s="110"/>
      <c r="AMA321" s="110"/>
      <c r="AMB321" s="110"/>
      <c r="AMC321" s="110"/>
      <c r="AMD321" s="110"/>
      <c r="AME321" s="110"/>
      <c r="AMF321" s="110"/>
    </row>
    <row r="322" spans="1:1020" s="142" customFormat="1" ht="11.25" customHeight="1">
      <c r="A322" s="144" t="s">
        <v>474</v>
      </c>
      <c r="B322" s="141">
        <v>1</v>
      </c>
      <c r="C322" s="126">
        <v>315</v>
      </c>
      <c r="D322" s="127" t="s">
        <v>496</v>
      </c>
      <c r="E322" s="194">
        <v>245</v>
      </c>
      <c r="F322" s="125">
        <f>ROUND(E322*Valores!$C$2,2)</f>
        <v>13340.25</v>
      </c>
      <c r="G322" s="192">
        <v>0</v>
      </c>
      <c r="H322" s="125">
        <f>ROUND(G322*Valores!$C$2,2)</f>
        <v>0</v>
      </c>
      <c r="I322" s="192">
        <v>0</v>
      </c>
      <c r="J322" s="125">
        <f>ROUND(I322*Valores!$C$2,2)</f>
        <v>0</v>
      </c>
      <c r="K322" s="192">
        <v>0</v>
      </c>
      <c r="L322" s="125">
        <f>ROUND(K322*Valores!$C$2,2)</f>
        <v>0</v>
      </c>
      <c r="M322" s="125">
        <f>ROUND(IF($H$2=0,IF(AND(A322&lt;&gt;"13-930",A322&lt;&gt;"13-940"),(SUM(F322,H322,J322,L322,X322,T322,R322)*Valores!$C$4),0),0),2)</f>
        <v>0</v>
      </c>
      <c r="N322" s="125">
        <f t="shared" si="42"/>
        <v>0</v>
      </c>
      <c r="O322" s="125">
        <v>0</v>
      </c>
      <c r="P322" s="125">
        <v>0</v>
      </c>
      <c r="Q322" s="125">
        <v>0</v>
      </c>
      <c r="R322" s="125">
        <f>IF($F$4="NO",Valores!$C$50,Valores!$C$50/2)</f>
        <v>1446.04</v>
      </c>
      <c r="S322" s="125">
        <v>0</v>
      </c>
      <c r="T322" s="125">
        <f t="shared" si="51"/>
        <v>0</v>
      </c>
      <c r="U322" s="125">
        <v>0</v>
      </c>
      <c r="V322" s="125">
        <v>0</v>
      </c>
      <c r="W322" s="192">
        <v>0</v>
      </c>
      <c r="X322" s="125">
        <f>ROUND(W322*Valores!$C$2,2)</f>
        <v>0</v>
      </c>
      <c r="Y322" s="125">
        <v>0</v>
      </c>
      <c r="Z322" s="125">
        <f>Valores!$C$98</f>
        <v>3811.38</v>
      </c>
      <c r="AA322" s="125">
        <v>0</v>
      </c>
      <c r="AB322" s="214">
        <v>0</v>
      </c>
      <c r="AC322" s="125">
        <f t="shared" si="43"/>
        <v>0</v>
      </c>
      <c r="AD322" s="125">
        <v>0</v>
      </c>
      <c r="AE322" s="192">
        <v>0</v>
      </c>
      <c r="AF322" s="125">
        <f>ROUND(AE322*Valores!$C$2,2)</f>
        <v>0</v>
      </c>
      <c r="AG322" s="125">
        <f>Valores!$C$64</f>
        <v>1310.4</v>
      </c>
      <c r="AH322" s="125">
        <f t="shared" si="46"/>
        <v>19908.070000000003</v>
      </c>
      <c r="AI322" s="125">
        <f>Valores!$C$33</f>
        <v>0</v>
      </c>
      <c r="AJ322" s="125">
        <f>Valores!$C$91</f>
        <v>0</v>
      </c>
      <c r="AK322" s="125">
        <v>0</v>
      </c>
      <c r="AL322" s="125">
        <v>0</v>
      </c>
      <c r="AM322" s="125">
        <f t="shared" si="44"/>
        <v>0</v>
      </c>
      <c r="AN322" s="125">
        <f>AH322*Valores!$C$71</f>
        <v>-2189.8877</v>
      </c>
      <c r="AO322" s="125">
        <f>AH322*-Valores!$C$72</f>
        <v>0</v>
      </c>
      <c r="AP322" s="125">
        <f>AH322*Valores!$C$73</f>
        <v>-895.8631500000001</v>
      </c>
      <c r="AQ322" s="125">
        <v>0</v>
      </c>
      <c r="AR322" s="125">
        <v>0</v>
      </c>
      <c r="AS322" s="125">
        <f t="shared" si="47"/>
        <v>16822.319150000003</v>
      </c>
      <c r="AT322" s="125">
        <f t="shared" si="41"/>
        <v>-2189.8877</v>
      </c>
      <c r="AU322" s="125">
        <f>AH322*Valores!$C$74</f>
        <v>-537.5178900000001</v>
      </c>
      <c r="AV322" s="125">
        <f>AH322*Valores!$C$75</f>
        <v>-59.724210000000014</v>
      </c>
      <c r="AW322" s="125">
        <f t="shared" si="45"/>
        <v>17120.940200000005</v>
      </c>
      <c r="AX322" s="126"/>
      <c r="AY322" s="126"/>
      <c r="AZ322" s="123" t="s">
        <v>4</v>
      </c>
      <c r="BA322" s="110"/>
      <c r="BB322" s="110"/>
      <c r="BC322" s="110"/>
      <c r="BD322" s="110"/>
      <c r="BE322" s="110"/>
      <c r="BF322" s="110"/>
      <c r="BG322" s="110"/>
      <c r="BH322" s="110"/>
      <c r="BI322" s="110"/>
      <c r="BJ322" s="110"/>
      <c r="BK322" s="110"/>
      <c r="BL322" s="110"/>
      <c r="BM322" s="110"/>
      <c r="BN322" s="110"/>
      <c r="BO322" s="110"/>
      <c r="BP322" s="110"/>
      <c r="BQ322" s="110"/>
      <c r="BR322" s="110"/>
      <c r="BS322" s="110"/>
      <c r="BT322" s="110"/>
      <c r="BU322" s="110"/>
      <c r="BV322" s="110"/>
      <c r="BW322" s="110"/>
      <c r="BX322" s="110"/>
      <c r="BY322" s="110"/>
      <c r="BZ322" s="110"/>
      <c r="CA322" s="110"/>
      <c r="CB322" s="110"/>
      <c r="CC322" s="110"/>
      <c r="CD322" s="110"/>
      <c r="CE322" s="110"/>
      <c r="CF322" s="110"/>
      <c r="CG322" s="110"/>
      <c r="CH322" s="110"/>
      <c r="CI322" s="110"/>
      <c r="CJ322" s="110"/>
      <c r="CK322" s="110"/>
      <c r="CL322" s="110"/>
      <c r="CM322" s="110"/>
      <c r="CN322" s="110"/>
      <c r="CO322" s="110"/>
      <c r="CP322" s="110"/>
      <c r="CQ322" s="110"/>
      <c r="CR322" s="110"/>
      <c r="CS322" s="110"/>
      <c r="CT322" s="110"/>
      <c r="CU322" s="110"/>
      <c r="CV322" s="110"/>
      <c r="CW322" s="110"/>
      <c r="CX322" s="110"/>
      <c r="CY322" s="110"/>
      <c r="CZ322" s="110"/>
      <c r="DA322" s="110"/>
      <c r="DB322" s="110"/>
      <c r="DC322" s="110"/>
      <c r="DD322" s="110"/>
      <c r="DE322" s="110"/>
      <c r="DF322" s="110"/>
      <c r="DG322" s="110"/>
      <c r="DH322" s="110"/>
      <c r="DI322" s="110"/>
      <c r="DJ322" s="110"/>
      <c r="DK322" s="110"/>
      <c r="DL322" s="110"/>
      <c r="DM322" s="110"/>
      <c r="DN322" s="110"/>
      <c r="DO322" s="110"/>
      <c r="DP322" s="110"/>
      <c r="DQ322" s="110"/>
      <c r="DR322" s="110"/>
      <c r="DS322" s="110"/>
      <c r="DT322" s="110"/>
      <c r="DU322" s="110"/>
      <c r="DV322" s="110"/>
      <c r="DW322" s="110"/>
      <c r="DX322" s="110"/>
      <c r="DY322" s="110"/>
      <c r="DZ322" s="110"/>
      <c r="EA322" s="110"/>
      <c r="EB322" s="110"/>
      <c r="EC322" s="110"/>
      <c r="ED322" s="110"/>
      <c r="EE322" s="110"/>
      <c r="EF322" s="110"/>
      <c r="EG322" s="110"/>
      <c r="EH322" s="110"/>
      <c r="EI322" s="110"/>
      <c r="EJ322" s="110"/>
      <c r="EK322" s="110"/>
      <c r="EL322" s="110"/>
      <c r="EM322" s="110"/>
      <c r="EN322" s="110"/>
      <c r="EO322" s="110"/>
      <c r="EP322" s="110"/>
      <c r="EQ322" s="110"/>
      <c r="ER322" s="110"/>
      <c r="ES322" s="110"/>
      <c r="ET322" s="110"/>
      <c r="EU322" s="110"/>
      <c r="EV322" s="110"/>
      <c r="EW322" s="110"/>
      <c r="EX322" s="110"/>
      <c r="EY322" s="110"/>
      <c r="EZ322" s="110"/>
      <c r="FA322" s="110"/>
      <c r="FB322" s="110"/>
      <c r="FC322" s="110"/>
      <c r="FD322" s="110"/>
      <c r="FE322" s="110"/>
      <c r="FF322" s="110"/>
      <c r="FG322" s="110"/>
      <c r="FH322" s="110"/>
      <c r="FI322" s="110"/>
      <c r="FJ322" s="110"/>
      <c r="FK322" s="110"/>
      <c r="FL322" s="110"/>
      <c r="FM322" s="110"/>
      <c r="FN322" s="110"/>
      <c r="FO322" s="110"/>
      <c r="FP322" s="110"/>
      <c r="FQ322" s="110"/>
      <c r="FR322" s="110"/>
      <c r="FS322" s="110"/>
      <c r="FT322" s="110"/>
      <c r="FU322" s="110"/>
      <c r="FV322" s="110"/>
      <c r="FW322" s="110"/>
      <c r="FX322" s="110"/>
      <c r="FY322" s="110"/>
      <c r="FZ322" s="110"/>
      <c r="GA322" s="110"/>
      <c r="GB322" s="110"/>
      <c r="GC322" s="110"/>
      <c r="GD322" s="110"/>
      <c r="GE322" s="110"/>
      <c r="GF322" s="110"/>
      <c r="GG322" s="110"/>
      <c r="GH322" s="110"/>
      <c r="GI322" s="110"/>
      <c r="GJ322" s="110"/>
      <c r="GK322" s="110"/>
      <c r="GL322" s="110"/>
      <c r="GM322" s="110"/>
      <c r="GN322" s="110"/>
      <c r="GO322" s="110"/>
      <c r="GP322" s="110"/>
      <c r="GQ322" s="110"/>
      <c r="GR322" s="110"/>
      <c r="GS322" s="110"/>
      <c r="GT322" s="110"/>
      <c r="GU322" s="110"/>
      <c r="GV322" s="110"/>
      <c r="GW322" s="110"/>
      <c r="GX322" s="110"/>
      <c r="GY322" s="110"/>
      <c r="GZ322" s="110"/>
      <c r="HA322" s="110"/>
      <c r="HB322" s="110"/>
      <c r="HC322" s="110"/>
      <c r="HD322" s="110"/>
      <c r="HE322" s="110"/>
      <c r="HF322" s="110"/>
      <c r="HG322" s="110"/>
      <c r="HH322" s="110"/>
      <c r="HI322" s="110"/>
      <c r="HJ322" s="110"/>
      <c r="HK322" s="110"/>
      <c r="HL322" s="110"/>
      <c r="HM322" s="110"/>
      <c r="HN322" s="110"/>
      <c r="HO322" s="110"/>
      <c r="HP322" s="110"/>
      <c r="HQ322" s="110"/>
      <c r="HR322" s="110"/>
      <c r="HS322" s="110"/>
      <c r="HT322" s="110"/>
      <c r="HU322" s="110"/>
      <c r="HV322" s="110"/>
      <c r="HW322" s="110"/>
      <c r="HX322" s="110"/>
      <c r="HY322" s="110"/>
      <c r="HZ322" s="110"/>
      <c r="IA322" s="110"/>
      <c r="IB322" s="110"/>
      <c r="IC322" s="110"/>
      <c r="ID322" s="110"/>
      <c r="IE322" s="110"/>
      <c r="IF322" s="110"/>
      <c r="IG322" s="110"/>
      <c r="IH322" s="110"/>
      <c r="II322" s="110"/>
      <c r="IJ322" s="110"/>
      <c r="IK322" s="110"/>
      <c r="IL322" s="110"/>
      <c r="IM322" s="110"/>
      <c r="IN322" s="110"/>
      <c r="IO322" s="110"/>
      <c r="IP322" s="110"/>
      <c r="IQ322" s="110"/>
      <c r="IR322" s="110"/>
      <c r="IS322" s="110"/>
      <c r="IT322" s="110"/>
      <c r="IU322" s="110"/>
      <c r="IV322" s="110"/>
      <c r="IW322" s="110"/>
      <c r="IX322" s="110"/>
      <c r="IY322" s="110"/>
      <c r="IZ322" s="110"/>
      <c r="JA322" s="110"/>
      <c r="JB322" s="110"/>
      <c r="JC322" s="110"/>
      <c r="JD322" s="110"/>
      <c r="JE322" s="110"/>
      <c r="JF322" s="110"/>
      <c r="JG322" s="110"/>
      <c r="JH322" s="110"/>
      <c r="JI322" s="110"/>
      <c r="JJ322" s="110"/>
      <c r="JK322" s="110"/>
      <c r="JL322" s="110"/>
      <c r="JM322" s="110"/>
      <c r="JN322" s="110"/>
      <c r="JO322" s="110"/>
      <c r="JP322" s="110"/>
      <c r="JQ322" s="110"/>
      <c r="JR322" s="110"/>
      <c r="JS322" s="110"/>
      <c r="JT322" s="110"/>
      <c r="JU322" s="110"/>
      <c r="JV322" s="110"/>
      <c r="JW322" s="110"/>
      <c r="JX322" s="110"/>
      <c r="JY322" s="110"/>
      <c r="JZ322" s="110"/>
      <c r="KA322" s="110"/>
      <c r="KB322" s="110"/>
      <c r="KC322" s="110"/>
      <c r="KD322" s="110"/>
      <c r="KE322" s="110"/>
      <c r="KF322" s="110"/>
      <c r="KG322" s="110"/>
      <c r="KH322" s="110"/>
      <c r="KI322" s="110"/>
      <c r="KJ322" s="110"/>
      <c r="KK322" s="110"/>
      <c r="KL322" s="110"/>
      <c r="KM322" s="110"/>
      <c r="KN322" s="110"/>
      <c r="KO322" s="110"/>
      <c r="KP322" s="110"/>
      <c r="KQ322" s="110"/>
      <c r="KR322" s="110"/>
      <c r="KS322" s="110"/>
      <c r="KT322" s="110"/>
      <c r="KU322" s="110"/>
      <c r="KV322" s="110"/>
      <c r="KW322" s="110"/>
      <c r="KX322" s="110"/>
      <c r="KY322" s="110"/>
      <c r="KZ322" s="110"/>
      <c r="LA322" s="110"/>
      <c r="LB322" s="110"/>
      <c r="LC322" s="110"/>
      <c r="LD322" s="110"/>
      <c r="LE322" s="110"/>
      <c r="LF322" s="110"/>
      <c r="LG322" s="110"/>
      <c r="LH322" s="110"/>
      <c r="LI322" s="110"/>
      <c r="LJ322" s="110"/>
      <c r="LK322" s="110"/>
      <c r="LL322" s="110"/>
      <c r="LM322" s="110"/>
      <c r="LN322" s="110"/>
      <c r="LO322" s="110"/>
      <c r="LP322" s="110"/>
      <c r="LQ322" s="110"/>
      <c r="LR322" s="110"/>
      <c r="LS322" s="110"/>
      <c r="LT322" s="110"/>
      <c r="LU322" s="110"/>
      <c r="LV322" s="110"/>
      <c r="LW322" s="110"/>
      <c r="LX322" s="110"/>
      <c r="LY322" s="110"/>
      <c r="LZ322" s="110"/>
      <c r="MA322" s="110"/>
      <c r="MB322" s="110"/>
      <c r="MC322" s="110"/>
      <c r="MD322" s="110"/>
      <c r="ME322" s="110"/>
      <c r="MF322" s="110"/>
      <c r="MG322" s="110"/>
      <c r="MH322" s="110"/>
      <c r="MI322" s="110"/>
      <c r="MJ322" s="110"/>
      <c r="MK322" s="110"/>
      <c r="ML322" s="110"/>
      <c r="MM322" s="110"/>
      <c r="MN322" s="110"/>
      <c r="MO322" s="110"/>
      <c r="MP322" s="110"/>
      <c r="MQ322" s="110"/>
      <c r="MR322" s="110"/>
      <c r="MS322" s="110"/>
      <c r="MT322" s="110"/>
      <c r="MU322" s="110"/>
      <c r="MV322" s="110"/>
      <c r="MW322" s="110"/>
      <c r="MX322" s="110"/>
      <c r="MY322" s="110"/>
      <c r="MZ322" s="110"/>
      <c r="NA322" s="110"/>
      <c r="NB322" s="110"/>
      <c r="NC322" s="110"/>
      <c r="ND322" s="110"/>
      <c r="NE322" s="110"/>
      <c r="NF322" s="110"/>
      <c r="NG322" s="110"/>
      <c r="NH322" s="110"/>
      <c r="NI322" s="110"/>
      <c r="NJ322" s="110"/>
      <c r="NK322" s="110"/>
      <c r="NL322" s="110"/>
      <c r="NM322" s="110"/>
      <c r="NN322" s="110"/>
      <c r="NO322" s="110"/>
      <c r="NP322" s="110"/>
      <c r="NQ322" s="110"/>
      <c r="NR322" s="110"/>
      <c r="NS322" s="110"/>
      <c r="NT322" s="110"/>
      <c r="NU322" s="110"/>
      <c r="NV322" s="110"/>
      <c r="NW322" s="110"/>
      <c r="NX322" s="110"/>
      <c r="NY322" s="110"/>
      <c r="NZ322" s="110"/>
      <c r="OA322" s="110"/>
      <c r="OB322" s="110"/>
      <c r="OC322" s="110"/>
      <c r="OD322" s="110"/>
      <c r="OE322" s="110"/>
      <c r="OF322" s="110"/>
      <c r="OG322" s="110"/>
      <c r="OH322" s="110"/>
      <c r="OI322" s="110"/>
      <c r="OJ322" s="110"/>
      <c r="OK322" s="110"/>
      <c r="OL322" s="110"/>
      <c r="OM322" s="110"/>
      <c r="ON322" s="110"/>
      <c r="OO322" s="110"/>
      <c r="OP322" s="110"/>
      <c r="OQ322" s="110"/>
      <c r="OR322" s="110"/>
      <c r="OS322" s="110"/>
      <c r="OT322" s="110"/>
      <c r="OU322" s="110"/>
      <c r="OV322" s="110"/>
      <c r="OW322" s="110"/>
      <c r="OX322" s="110"/>
      <c r="OY322" s="110"/>
      <c r="OZ322" s="110"/>
      <c r="PA322" s="110"/>
      <c r="PB322" s="110"/>
      <c r="PC322" s="110"/>
      <c r="PD322" s="110"/>
      <c r="PE322" s="110"/>
      <c r="PF322" s="110"/>
      <c r="PG322" s="110"/>
      <c r="PH322" s="110"/>
      <c r="PI322" s="110"/>
      <c r="PJ322" s="110"/>
      <c r="PK322" s="110"/>
      <c r="PL322" s="110"/>
      <c r="PM322" s="110"/>
      <c r="PN322" s="110"/>
      <c r="PO322" s="110"/>
      <c r="PP322" s="110"/>
      <c r="PQ322" s="110"/>
      <c r="PR322" s="110"/>
      <c r="PS322" s="110"/>
      <c r="PT322" s="110"/>
      <c r="PU322" s="110"/>
      <c r="PV322" s="110"/>
      <c r="PW322" s="110"/>
      <c r="PX322" s="110"/>
      <c r="PY322" s="110"/>
      <c r="PZ322" s="110"/>
      <c r="QA322" s="110"/>
      <c r="QB322" s="110"/>
      <c r="QC322" s="110"/>
      <c r="QD322" s="110"/>
      <c r="QE322" s="110"/>
      <c r="QF322" s="110"/>
      <c r="QG322" s="110"/>
      <c r="QH322" s="110"/>
      <c r="QI322" s="110"/>
      <c r="QJ322" s="110"/>
      <c r="QK322" s="110"/>
      <c r="QL322" s="110"/>
      <c r="QM322" s="110"/>
      <c r="QN322" s="110"/>
      <c r="QO322" s="110"/>
      <c r="QP322" s="110"/>
      <c r="QQ322" s="110"/>
      <c r="QR322" s="110"/>
      <c r="QS322" s="110"/>
      <c r="QT322" s="110"/>
      <c r="QU322" s="110"/>
      <c r="QV322" s="110"/>
      <c r="QW322" s="110"/>
      <c r="QX322" s="110"/>
      <c r="QY322" s="110"/>
      <c r="QZ322" s="110"/>
      <c r="RA322" s="110"/>
      <c r="RB322" s="110"/>
      <c r="RC322" s="110"/>
      <c r="RD322" s="110"/>
      <c r="RE322" s="110"/>
      <c r="RF322" s="110"/>
      <c r="RG322" s="110"/>
      <c r="RH322" s="110"/>
      <c r="RI322" s="110"/>
      <c r="RJ322" s="110"/>
      <c r="RK322" s="110"/>
      <c r="RL322" s="110"/>
      <c r="RM322" s="110"/>
      <c r="RN322" s="110"/>
      <c r="RO322" s="110"/>
      <c r="RP322" s="110"/>
      <c r="RQ322" s="110"/>
      <c r="RR322" s="110"/>
      <c r="RS322" s="110"/>
      <c r="RT322" s="110"/>
      <c r="RU322" s="110"/>
      <c r="RV322" s="110"/>
      <c r="RW322" s="110"/>
      <c r="RX322" s="110"/>
      <c r="RY322" s="110"/>
      <c r="RZ322" s="110"/>
      <c r="SA322" s="110"/>
      <c r="SB322" s="110"/>
      <c r="SC322" s="110"/>
      <c r="SD322" s="110"/>
      <c r="SE322" s="110"/>
      <c r="SF322" s="110"/>
      <c r="SG322" s="110"/>
      <c r="SH322" s="110"/>
      <c r="SI322" s="110"/>
      <c r="SJ322" s="110"/>
      <c r="SK322" s="110"/>
      <c r="SL322" s="110"/>
      <c r="SM322" s="110"/>
      <c r="SN322" s="110"/>
      <c r="SO322" s="110"/>
      <c r="SP322" s="110"/>
      <c r="SQ322" s="110"/>
      <c r="SR322" s="110"/>
      <c r="SS322" s="110"/>
      <c r="ST322" s="110"/>
      <c r="SU322" s="110"/>
      <c r="SV322" s="110"/>
      <c r="SW322" s="110"/>
      <c r="SX322" s="110"/>
      <c r="SY322" s="110"/>
      <c r="SZ322" s="110"/>
      <c r="TA322" s="110"/>
      <c r="TB322" s="110"/>
      <c r="TC322" s="110"/>
      <c r="TD322" s="110"/>
      <c r="TE322" s="110"/>
      <c r="TF322" s="110"/>
      <c r="TG322" s="110"/>
      <c r="TH322" s="110"/>
      <c r="TI322" s="110"/>
      <c r="TJ322" s="110"/>
      <c r="TK322" s="110"/>
      <c r="TL322" s="110"/>
      <c r="TM322" s="110"/>
      <c r="TN322" s="110"/>
      <c r="TO322" s="110"/>
      <c r="TP322" s="110"/>
      <c r="TQ322" s="110"/>
      <c r="TR322" s="110"/>
      <c r="TS322" s="110"/>
      <c r="TT322" s="110"/>
      <c r="TU322" s="110"/>
      <c r="TV322" s="110"/>
      <c r="TW322" s="110"/>
      <c r="TX322" s="110"/>
      <c r="TY322" s="110"/>
      <c r="TZ322" s="110"/>
      <c r="UA322" s="110"/>
      <c r="UB322" s="110"/>
      <c r="UC322" s="110"/>
      <c r="UD322" s="110"/>
      <c r="UE322" s="110"/>
      <c r="UF322" s="110"/>
      <c r="UG322" s="110"/>
      <c r="UH322" s="110"/>
      <c r="UI322" s="110"/>
      <c r="UJ322" s="110"/>
      <c r="UK322" s="110"/>
      <c r="UL322" s="110"/>
      <c r="UM322" s="110"/>
      <c r="UN322" s="110"/>
      <c r="UO322" s="110"/>
      <c r="UP322" s="110"/>
      <c r="UQ322" s="110"/>
      <c r="UR322" s="110"/>
      <c r="US322" s="110"/>
      <c r="UT322" s="110"/>
      <c r="UU322" s="110"/>
      <c r="UV322" s="110"/>
      <c r="UW322" s="110"/>
      <c r="UX322" s="110"/>
      <c r="UY322" s="110"/>
      <c r="UZ322" s="110"/>
      <c r="VA322" s="110"/>
      <c r="VB322" s="110"/>
      <c r="VC322" s="110"/>
      <c r="VD322" s="110"/>
      <c r="VE322" s="110"/>
      <c r="VF322" s="110"/>
      <c r="VG322" s="110"/>
      <c r="VH322" s="110"/>
      <c r="VI322" s="110"/>
      <c r="VJ322" s="110"/>
      <c r="VK322" s="110"/>
      <c r="VL322" s="110"/>
      <c r="VM322" s="110"/>
      <c r="VN322" s="110"/>
      <c r="VO322" s="110"/>
      <c r="VP322" s="110"/>
      <c r="VQ322" s="110"/>
      <c r="VR322" s="110"/>
      <c r="VS322" s="110"/>
      <c r="VT322" s="110"/>
      <c r="VU322" s="110"/>
      <c r="VV322" s="110"/>
      <c r="VW322" s="110"/>
      <c r="VX322" s="110"/>
      <c r="VY322" s="110"/>
      <c r="VZ322" s="110"/>
      <c r="WA322" s="110"/>
      <c r="WB322" s="110"/>
      <c r="WC322" s="110"/>
      <c r="WD322" s="110"/>
      <c r="WE322" s="110"/>
      <c r="WF322" s="110"/>
      <c r="WG322" s="110"/>
      <c r="WH322" s="110"/>
      <c r="WI322" s="110"/>
      <c r="WJ322" s="110"/>
      <c r="WK322" s="110"/>
      <c r="WL322" s="110"/>
      <c r="WM322" s="110"/>
      <c r="WN322" s="110"/>
      <c r="WO322" s="110"/>
      <c r="WP322" s="110"/>
      <c r="WQ322" s="110"/>
      <c r="WR322" s="110"/>
      <c r="WS322" s="110"/>
      <c r="WT322" s="110"/>
      <c r="WU322" s="110"/>
      <c r="WV322" s="110"/>
      <c r="WW322" s="110"/>
      <c r="WX322" s="110"/>
      <c r="WY322" s="110"/>
      <c r="WZ322" s="110"/>
      <c r="XA322" s="110"/>
      <c r="XB322" s="110"/>
      <c r="XC322" s="110"/>
      <c r="XD322" s="110"/>
      <c r="XE322" s="110"/>
      <c r="XF322" s="110"/>
      <c r="XG322" s="110"/>
      <c r="XH322" s="110"/>
      <c r="XI322" s="110"/>
      <c r="XJ322" s="110"/>
      <c r="XK322" s="110"/>
      <c r="XL322" s="110"/>
      <c r="XM322" s="110"/>
      <c r="XN322" s="110"/>
      <c r="XO322" s="110"/>
      <c r="XP322" s="110"/>
      <c r="XQ322" s="110"/>
      <c r="XR322" s="110"/>
      <c r="XS322" s="110"/>
      <c r="XT322" s="110"/>
      <c r="XU322" s="110"/>
      <c r="XV322" s="110"/>
      <c r="XW322" s="110"/>
      <c r="XX322" s="110"/>
      <c r="XY322" s="110"/>
      <c r="XZ322" s="110"/>
      <c r="YA322" s="110"/>
      <c r="YB322" s="110"/>
      <c r="YC322" s="110"/>
      <c r="YD322" s="110"/>
      <c r="YE322" s="110"/>
      <c r="YF322" s="110"/>
      <c r="YG322" s="110"/>
      <c r="YH322" s="110"/>
      <c r="YI322" s="110"/>
      <c r="YJ322" s="110"/>
      <c r="YK322" s="110"/>
      <c r="YL322" s="110"/>
      <c r="YM322" s="110"/>
      <c r="YN322" s="110"/>
      <c r="YO322" s="110"/>
      <c r="YP322" s="110"/>
      <c r="YQ322" s="110"/>
      <c r="YR322" s="110"/>
      <c r="YS322" s="110"/>
      <c r="YT322" s="110"/>
      <c r="YU322" s="110"/>
      <c r="YV322" s="110"/>
      <c r="YW322" s="110"/>
      <c r="YX322" s="110"/>
      <c r="YY322" s="110"/>
      <c r="YZ322" s="110"/>
      <c r="ZA322" s="110"/>
      <c r="ZB322" s="110"/>
      <c r="ZC322" s="110"/>
      <c r="ZD322" s="110"/>
      <c r="ZE322" s="110"/>
      <c r="ZF322" s="110"/>
      <c r="ZG322" s="110"/>
      <c r="ZH322" s="110"/>
      <c r="ZI322" s="110"/>
      <c r="ZJ322" s="110"/>
      <c r="ZK322" s="110"/>
      <c r="ZL322" s="110"/>
      <c r="ZM322" s="110"/>
      <c r="ZN322" s="110"/>
      <c r="ZO322" s="110"/>
      <c r="ZP322" s="110"/>
      <c r="ZQ322" s="110"/>
      <c r="ZR322" s="110"/>
      <c r="ZS322" s="110"/>
      <c r="ZT322" s="110"/>
      <c r="ZU322" s="110"/>
      <c r="ZV322" s="110"/>
      <c r="ZW322" s="110"/>
      <c r="ZX322" s="110"/>
      <c r="ZY322" s="110"/>
      <c r="ZZ322" s="110"/>
      <c r="AAA322" s="110"/>
      <c r="AAB322" s="110"/>
      <c r="AAC322" s="110"/>
      <c r="AAD322" s="110"/>
      <c r="AAE322" s="110"/>
      <c r="AAF322" s="110"/>
      <c r="AAG322" s="110"/>
      <c r="AAH322" s="110"/>
      <c r="AAI322" s="110"/>
      <c r="AAJ322" s="110"/>
      <c r="AAK322" s="110"/>
      <c r="AAL322" s="110"/>
      <c r="AAM322" s="110"/>
      <c r="AAN322" s="110"/>
      <c r="AAO322" s="110"/>
      <c r="AAP322" s="110"/>
      <c r="AAQ322" s="110"/>
      <c r="AAR322" s="110"/>
      <c r="AAS322" s="110"/>
      <c r="AAT322" s="110"/>
      <c r="AAU322" s="110"/>
      <c r="AAV322" s="110"/>
      <c r="AAW322" s="110"/>
      <c r="AAX322" s="110"/>
      <c r="AAY322" s="110"/>
      <c r="AAZ322" s="110"/>
      <c r="ABA322" s="110"/>
      <c r="ABB322" s="110"/>
      <c r="ABC322" s="110"/>
      <c r="ABD322" s="110"/>
      <c r="ABE322" s="110"/>
      <c r="ABF322" s="110"/>
      <c r="ABG322" s="110"/>
      <c r="ABH322" s="110"/>
      <c r="ABI322" s="110"/>
      <c r="ABJ322" s="110"/>
      <c r="ABK322" s="110"/>
      <c r="ABL322" s="110"/>
      <c r="ABM322" s="110"/>
      <c r="ABN322" s="110"/>
      <c r="ABO322" s="110"/>
      <c r="ABP322" s="110"/>
      <c r="ABQ322" s="110"/>
      <c r="ABR322" s="110"/>
      <c r="ABS322" s="110"/>
      <c r="ABT322" s="110"/>
      <c r="ABU322" s="110"/>
      <c r="ABV322" s="110"/>
      <c r="ABW322" s="110"/>
      <c r="ABX322" s="110"/>
      <c r="ABY322" s="110"/>
      <c r="ABZ322" s="110"/>
      <c r="ACA322" s="110"/>
      <c r="ACB322" s="110"/>
      <c r="ACC322" s="110"/>
      <c r="ACD322" s="110"/>
      <c r="ACE322" s="110"/>
      <c r="ACF322" s="110"/>
      <c r="ACG322" s="110"/>
      <c r="ACH322" s="110"/>
      <c r="ACI322" s="110"/>
      <c r="ACJ322" s="110"/>
      <c r="ACK322" s="110"/>
      <c r="ACL322" s="110"/>
      <c r="ACM322" s="110"/>
      <c r="ACN322" s="110"/>
      <c r="ACO322" s="110"/>
      <c r="ACP322" s="110"/>
      <c r="ACQ322" s="110"/>
      <c r="ACR322" s="110"/>
      <c r="ACS322" s="110"/>
      <c r="ACT322" s="110"/>
      <c r="ACU322" s="110"/>
      <c r="ACV322" s="110"/>
      <c r="ACW322" s="110"/>
      <c r="ACX322" s="110"/>
      <c r="ACY322" s="110"/>
      <c r="ACZ322" s="110"/>
      <c r="ADA322" s="110"/>
      <c r="ADB322" s="110"/>
      <c r="ADC322" s="110"/>
      <c r="ADD322" s="110"/>
      <c r="ADE322" s="110"/>
      <c r="ADF322" s="110"/>
      <c r="ADG322" s="110"/>
      <c r="ADH322" s="110"/>
      <c r="ADI322" s="110"/>
      <c r="ADJ322" s="110"/>
      <c r="ADK322" s="110"/>
      <c r="ADL322" s="110"/>
      <c r="ADM322" s="110"/>
      <c r="ADN322" s="110"/>
      <c r="ADO322" s="110"/>
      <c r="ADP322" s="110"/>
      <c r="ADQ322" s="110"/>
      <c r="ADR322" s="110"/>
      <c r="ADS322" s="110"/>
      <c r="ADT322" s="110"/>
      <c r="ADU322" s="110"/>
      <c r="ADV322" s="110"/>
      <c r="ADW322" s="110"/>
      <c r="ADX322" s="110"/>
      <c r="ADY322" s="110"/>
      <c r="ADZ322" s="110"/>
      <c r="AEA322" s="110"/>
      <c r="AEB322" s="110"/>
      <c r="AEC322" s="110"/>
      <c r="AED322" s="110"/>
      <c r="AEE322" s="110"/>
      <c r="AEF322" s="110"/>
      <c r="AEG322" s="110"/>
      <c r="AEH322" s="110"/>
      <c r="AEI322" s="110"/>
      <c r="AEJ322" s="110"/>
      <c r="AEK322" s="110"/>
      <c r="AEL322" s="110"/>
      <c r="AEM322" s="110"/>
      <c r="AEN322" s="110"/>
      <c r="AEO322" s="110"/>
      <c r="AEP322" s="110"/>
      <c r="AEQ322" s="110"/>
      <c r="AER322" s="110"/>
      <c r="AES322" s="110"/>
      <c r="AET322" s="110"/>
      <c r="AEU322" s="110"/>
      <c r="AEV322" s="110"/>
      <c r="AEW322" s="110"/>
      <c r="AEX322" s="110"/>
      <c r="AEY322" s="110"/>
      <c r="AEZ322" s="110"/>
      <c r="AFA322" s="110"/>
      <c r="AFB322" s="110"/>
      <c r="AFC322" s="110"/>
      <c r="AFD322" s="110"/>
      <c r="AFE322" s="110"/>
      <c r="AFF322" s="110"/>
      <c r="AFG322" s="110"/>
      <c r="AFH322" s="110"/>
      <c r="AFI322" s="110"/>
      <c r="AFJ322" s="110"/>
      <c r="AFK322" s="110"/>
      <c r="AFL322" s="110"/>
      <c r="AFM322" s="110"/>
      <c r="AFN322" s="110"/>
      <c r="AFO322" s="110"/>
      <c r="AFP322" s="110"/>
      <c r="AFQ322" s="110"/>
      <c r="AFR322" s="110"/>
      <c r="AFS322" s="110"/>
      <c r="AFT322" s="110"/>
      <c r="AFU322" s="110"/>
      <c r="AFV322" s="110"/>
      <c r="AFW322" s="110"/>
      <c r="AFX322" s="110"/>
      <c r="AFY322" s="110"/>
      <c r="AFZ322" s="110"/>
      <c r="AGA322" s="110"/>
      <c r="AGB322" s="110"/>
      <c r="AGC322" s="110"/>
      <c r="AGD322" s="110"/>
      <c r="AGE322" s="110"/>
      <c r="AGF322" s="110"/>
      <c r="AGG322" s="110"/>
      <c r="AGH322" s="110"/>
      <c r="AGI322" s="110"/>
      <c r="AGJ322" s="110"/>
      <c r="AGK322" s="110"/>
      <c r="AGL322" s="110"/>
      <c r="AGM322" s="110"/>
      <c r="AGN322" s="110"/>
      <c r="AGO322" s="110"/>
      <c r="AGP322" s="110"/>
      <c r="AGQ322" s="110"/>
      <c r="AGR322" s="110"/>
      <c r="AGS322" s="110"/>
      <c r="AGT322" s="110"/>
      <c r="AGU322" s="110"/>
      <c r="AGV322" s="110"/>
      <c r="AGW322" s="110"/>
      <c r="AGX322" s="110"/>
      <c r="AGY322" s="110"/>
      <c r="AGZ322" s="110"/>
      <c r="AHA322" s="110"/>
      <c r="AHB322" s="110"/>
      <c r="AHC322" s="110"/>
      <c r="AHD322" s="110"/>
      <c r="AHE322" s="110"/>
      <c r="AHF322" s="110"/>
      <c r="AHG322" s="110"/>
      <c r="AHH322" s="110"/>
      <c r="AHI322" s="110"/>
      <c r="AHJ322" s="110"/>
      <c r="AHK322" s="110"/>
      <c r="AHL322" s="110"/>
      <c r="AHM322" s="110"/>
      <c r="AHN322" s="110"/>
      <c r="AHO322" s="110"/>
      <c r="AHP322" s="110"/>
      <c r="AHQ322" s="110"/>
      <c r="AHR322" s="110"/>
      <c r="AHS322" s="110"/>
      <c r="AHT322" s="110"/>
      <c r="AHU322" s="110"/>
      <c r="AHV322" s="110"/>
      <c r="AHW322" s="110"/>
      <c r="AHX322" s="110"/>
      <c r="AHY322" s="110"/>
      <c r="AHZ322" s="110"/>
      <c r="AIA322" s="110"/>
      <c r="AIB322" s="110"/>
      <c r="AIC322" s="110"/>
      <c r="AID322" s="110"/>
      <c r="AIE322" s="110"/>
      <c r="AIF322" s="110"/>
      <c r="AIG322" s="110"/>
      <c r="AIH322" s="110"/>
      <c r="AII322" s="110"/>
      <c r="AIJ322" s="110"/>
      <c r="AIK322" s="110"/>
      <c r="AIL322" s="110"/>
      <c r="AIM322" s="110"/>
      <c r="AIN322" s="110"/>
      <c r="AIO322" s="110"/>
      <c r="AIP322" s="110"/>
      <c r="AIQ322" s="110"/>
      <c r="AIR322" s="110"/>
      <c r="AIS322" s="110"/>
      <c r="AIT322" s="110"/>
      <c r="AIU322" s="110"/>
      <c r="AIV322" s="110"/>
      <c r="AIW322" s="110"/>
      <c r="AIX322" s="110"/>
      <c r="AIY322" s="110"/>
      <c r="AIZ322" s="110"/>
      <c r="AJA322" s="110"/>
      <c r="AJB322" s="110"/>
      <c r="AJC322" s="110"/>
      <c r="AJD322" s="110"/>
      <c r="AJE322" s="110"/>
      <c r="AJF322" s="110"/>
      <c r="AJG322" s="110"/>
      <c r="AJH322" s="110"/>
      <c r="AJI322" s="110"/>
      <c r="AJJ322" s="110"/>
      <c r="AJK322" s="110"/>
      <c r="AJL322" s="110"/>
      <c r="AJM322" s="110"/>
      <c r="AJN322" s="110"/>
      <c r="AJO322" s="110"/>
      <c r="AJP322" s="110"/>
      <c r="AJQ322" s="110"/>
      <c r="AJR322" s="110"/>
      <c r="AJS322" s="110"/>
      <c r="AJT322" s="110"/>
      <c r="AJU322" s="110"/>
      <c r="AJV322" s="110"/>
      <c r="AJW322" s="110"/>
      <c r="AJX322" s="110"/>
      <c r="AJY322" s="110"/>
      <c r="AJZ322" s="110"/>
      <c r="AKA322" s="110"/>
      <c r="AKB322" s="110"/>
      <c r="AKC322" s="110"/>
      <c r="AKD322" s="110"/>
      <c r="AKE322" s="110"/>
      <c r="AKF322" s="110"/>
      <c r="AKG322" s="110"/>
      <c r="AKH322" s="110"/>
      <c r="AKI322" s="110"/>
      <c r="AKJ322" s="110"/>
      <c r="AKK322" s="110"/>
      <c r="AKL322" s="110"/>
      <c r="AKM322" s="110"/>
      <c r="AKN322" s="110"/>
      <c r="AKO322" s="110"/>
      <c r="AKP322" s="110"/>
      <c r="AKQ322" s="110"/>
      <c r="AKR322" s="110"/>
      <c r="AKS322" s="110"/>
      <c r="AKT322" s="110"/>
      <c r="AKU322" s="110"/>
      <c r="AKV322" s="110"/>
      <c r="AKW322" s="110"/>
      <c r="AKX322" s="110"/>
      <c r="AKY322" s="110"/>
      <c r="AKZ322" s="110"/>
      <c r="ALA322" s="110"/>
      <c r="ALB322" s="110"/>
      <c r="ALC322" s="110"/>
      <c r="ALD322" s="110"/>
      <c r="ALE322" s="110"/>
      <c r="ALF322" s="110"/>
      <c r="ALG322" s="110"/>
      <c r="ALH322" s="110"/>
      <c r="ALI322" s="110"/>
      <c r="ALJ322" s="110"/>
      <c r="ALK322" s="110"/>
      <c r="ALL322" s="110"/>
      <c r="ALM322" s="110"/>
      <c r="ALN322" s="110"/>
      <c r="ALO322" s="110"/>
      <c r="ALP322" s="110"/>
      <c r="ALQ322" s="110"/>
      <c r="ALR322" s="110"/>
      <c r="ALS322" s="110"/>
      <c r="ALT322" s="110"/>
      <c r="ALU322" s="110"/>
      <c r="ALV322" s="110"/>
      <c r="ALW322" s="110"/>
      <c r="ALX322" s="110"/>
      <c r="ALY322" s="110"/>
      <c r="ALZ322" s="110"/>
      <c r="AMA322" s="110"/>
      <c r="AMB322" s="110"/>
      <c r="AMC322" s="110"/>
      <c r="AMD322" s="110"/>
      <c r="AME322" s="110"/>
      <c r="AMF322" s="110"/>
    </row>
    <row r="323" spans="1:1020" s="142" customFormat="1" ht="11.25" customHeight="1">
      <c r="A323" s="144" t="s">
        <v>474</v>
      </c>
      <c r="B323" s="141">
        <v>1</v>
      </c>
      <c r="C323" s="126">
        <v>316</v>
      </c>
      <c r="D323" s="127" t="s">
        <v>497</v>
      </c>
      <c r="E323" s="194">
        <v>238</v>
      </c>
      <c r="F323" s="125">
        <f>ROUND(E323*Valores!$C$2,2)</f>
        <v>12959.1</v>
      </c>
      <c r="G323" s="192">
        <v>0</v>
      </c>
      <c r="H323" s="125">
        <f>ROUND(G323*Valores!$C$2,2)</f>
        <v>0</v>
      </c>
      <c r="I323" s="192">
        <v>0</v>
      </c>
      <c r="J323" s="125">
        <f>ROUND(I323*Valores!$C$2,2)</f>
        <v>0</v>
      </c>
      <c r="K323" s="192">
        <v>0</v>
      </c>
      <c r="L323" s="125">
        <f>ROUND(K323*Valores!$C$2,2)</f>
        <v>0</v>
      </c>
      <c r="M323" s="125">
        <f>ROUND(IF($H$2=0,IF(AND(A323&lt;&gt;"13-930",A323&lt;&gt;"13-940"),(SUM(F323,H323,J323,L323,X323,T323,R323)*Valores!$C$4),0),0),2)</f>
        <v>0</v>
      </c>
      <c r="N323" s="125">
        <f t="shared" si="42"/>
        <v>0</v>
      </c>
      <c r="O323" s="125">
        <v>0</v>
      </c>
      <c r="P323" s="125">
        <v>0</v>
      </c>
      <c r="Q323" s="125">
        <v>0</v>
      </c>
      <c r="R323" s="125">
        <f>IF($F$4="NO",Valores!$C$50,Valores!$C$50/2)</f>
        <v>1446.04</v>
      </c>
      <c r="S323" s="125">
        <v>0</v>
      </c>
      <c r="T323" s="125">
        <f t="shared" si="51"/>
        <v>0</v>
      </c>
      <c r="U323" s="125">
        <v>0</v>
      </c>
      <c r="V323" s="125">
        <v>0</v>
      </c>
      <c r="W323" s="192">
        <v>0</v>
      </c>
      <c r="X323" s="125">
        <f>ROUND(W323*Valores!$C$2,2)</f>
        <v>0</v>
      </c>
      <c r="Y323" s="125">
        <v>0</v>
      </c>
      <c r="Z323" s="125">
        <f>Valores!$C$98</f>
        <v>3811.38</v>
      </c>
      <c r="AA323" s="125">
        <v>0</v>
      </c>
      <c r="AB323" s="214">
        <v>0</v>
      </c>
      <c r="AC323" s="125">
        <f t="shared" si="43"/>
        <v>0</v>
      </c>
      <c r="AD323" s="125">
        <v>0</v>
      </c>
      <c r="AE323" s="192">
        <v>0</v>
      </c>
      <c r="AF323" s="125">
        <f>ROUND(AE323*Valores!$C$2,2)</f>
        <v>0</v>
      </c>
      <c r="AG323" s="125">
        <f>Valores!$C$64</f>
        <v>1310.4</v>
      </c>
      <c r="AH323" s="125">
        <f t="shared" si="46"/>
        <v>19526.920000000002</v>
      </c>
      <c r="AI323" s="125">
        <f>Valores!$C$33</f>
        <v>0</v>
      </c>
      <c r="AJ323" s="125">
        <f>Valores!$C$91</f>
        <v>0</v>
      </c>
      <c r="AK323" s="125">
        <v>0</v>
      </c>
      <c r="AL323" s="125">
        <v>0</v>
      </c>
      <c r="AM323" s="125">
        <f t="shared" si="44"/>
        <v>0</v>
      </c>
      <c r="AN323" s="125">
        <f>AH323*Valores!$C$71</f>
        <v>-2147.9612</v>
      </c>
      <c r="AO323" s="125">
        <f>AH323*-Valores!$C$72</f>
        <v>0</v>
      </c>
      <c r="AP323" s="125">
        <f>AH323*Valores!$C$73</f>
        <v>-878.7114</v>
      </c>
      <c r="AQ323" s="125">
        <v>0</v>
      </c>
      <c r="AR323" s="125">
        <v>0</v>
      </c>
      <c r="AS323" s="125">
        <f t="shared" si="47"/>
        <v>16500.2474</v>
      </c>
      <c r="AT323" s="125">
        <f t="shared" si="41"/>
        <v>-2147.9612</v>
      </c>
      <c r="AU323" s="125">
        <f>AH323*Valores!$C$74</f>
        <v>-527.22684</v>
      </c>
      <c r="AV323" s="125">
        <f>AH323*Valores!$C$75</f>
        <v>-58.580760000000005</v>
      </c>
      <c r="AW323" s="125">
        <f t="shared" si="45"/>
        <v>16793.1512</v>
      </c>
      <c r="AX323" s="126"/>
      <c r="AY323" s="126"/>
      <c r="AZ323" s="123" t="s">
        <v>4</v>
      </c>
      <c r="BA323" s="110"/>
      <c r="BB323" s="110"/>
      <c r="BC323" s="110"/>
      <c r="BD323" s="110"/>
      <c r="BE323" s="110"/>
      <c r="BF323" s="110"/>
      <c r="BG323" s="110"/>
      <c r="BH323" s="110"/>
      <c r="BI323" s="110"/>
      <c r="BJ323" s="110"/>
      <c r="BK323" s="110"/>
      <c r="BL323" s="110"/>
      <c r="BM323" s="110"/>
      <c r="BN323" s="110"/>
      <c r="BO323" s="110"/>
      <c r="BP323" s="110"/>
      <c r="BQ323" s="110"/>
      <c r="BR323" s="110"/>
      <c r="BS323" s="110"/>
      <c r="BT323" s="110"/>
      <c r="BU323" s="110"/>
      <c r="BV323" s="110"/>
      <c r="BW323" s="110"/>
      <c r="BX323" s="110"/>
      <c r="BY323" s="110"/>
      <c r="BZ323" s="110"/>
      <c r="CA323" s="110"/>
      <c r="CB323" s="110"/>
      <c r="CC323" s="110"/>
      <c r="CD323" s="110"/>
      <c r="CE323" s="110"/>
      <c r="CF323" s="110"/>
      <c r="CG323" s="110"/>
      <c r="CH323" s="110"/>
      <c r="CI323" s="110"/>
      <c r="CJ323" s="110"/>
      <c r="CK323" s="110"/>
      <c r="CL323" s="110"/>
      <c r="CM323" s="110"/>
      <c r="CN323" s="110"/>
      <c r="CO323" s="110"/>
      <c r="CP323" s="110"/>
      <c r="CQ323" s="110"/>
      <c r="CR323" s="110"/>
      <c r="CS323" s="110"/>
      <c r="CT323" s="110"/>
      <c r="CU323" s="110"/>
      <c r="CV323" s="110"/>
      <c r="CW323" s="110"/>
      <c r="CX323" s="110"/>
      <c r="CY323" s="110"/>
      <c r="CZ323" s="110"/>
      <c r="DA323" s="110"/>
      <c r="DB323" s="110"/>
      <c r="DC323" s="110"/>
      <c r="DD323" s="110"/>
      <c r="DE323" s="110"/>
      <c r="DF323" s="110"/>
      <c r="DG323" s="110"/>
      <c r="DH323" s="110"/>
      <c r="DI323" s="110"/>
      <c r="DJ323" s="110"/>
      <c r="DK323" s="110"/>
      <c r="DL323" s="110"/>
      <c r="DM323" s="110"/>
      <c r="DN323" s="110"/>
      <c r="DO323" s="110"/>
      <c r="DP323" s="110"/>
      <c r="DQ323" s="110"/>
      <c r="DR323" s="110"/>
      <c r="DS323" s="110"/>
      <c r="DT323" s="110"/>
      <c r="DU323" s="110"/>
      <c r="DV323" s="110"/>
      <c r="DW323" s="110"/>
      <c r="DX323" s="110"/>
      <c r="DY323" s="110"/>
      <c r="DZ323" s="110"/>
      <c r="EA323" s="110"/>
      <c r="EB323" s="110"/>
      <c r="EC323" s="110"/>
      <c r="ED323" s="110"/>
      <c r="EE323" s="110"/>
      <c r="EF323" s="110"/>
      <c r="EG323" s="110"/>
      <c r="EH323" s="110"/>
      <c r="EI323" s="110"/>
      <c r="EJ323" s="110"/>
      <c r="EK323" s="110"/>
      <c r="EL323" s="110"/>
      <c r="EM323" s="110"/>
      <c r="EN323" s="110"/>
      <c r="EO323" s="110"/>
      <c r="EP323" s="110"/>
      <c r="EQ323" s="110"/>
      <c r="ER323" s="110"/>
      <c r="ES323" s="110"/>
      <c r="ET323" s="110"/>
      <c r="EU323" s="110"/>
      <c r="EV323" s="110"/>
      <c r="EW323" s="110"/>
      <c r="EX323" s="110"/>
      <c r="EY323" s="110"/>
      <c r="EZ323" s="110"/>
      <c r="FA323" s="110"/>
      <c r="FB323" s="110"/>
      <c r="FC323" s="110"/>
      <c r="FD323" s="110"/>
      <c r="FE323" s="110"/>
      <c r="FF323" s="110"/>
      <c r="FG323" s="110"/>
      <c r="FH323" s="110"/>
      <c r="FI323" s="110"/>
      <c r="FJ323" s="110"/>
      <c r="FK323" s="110"/>
      <c r="FL323" s="110"/>
      <c r="FM323" s="110"/>
      <c r="FN323" s="110"/>
      <c r="FO323" s="110"/>
      <c r="FP323" s="110"/>
      <c r="FQ323" s="110"/>
      <c r="FR323" s="110"/>
      <c r="FS323" s="110"/>
      <c r="FT323" s="110"/>
      <c r="FU323" s="110"/>
      <c r="FV323" s="110"/>
      <c r="FW323" s="110"/>
      <c r="FX323" s="110"/>
      <c r="FY323" s="110"/>
      <c r="FZ323" s="110"/>
      <c r="GA323" s="110"/>
      <c r="GB323" s="110"/>
      <c r="GC323" s="110"/>
      <c r="GD323" s="110"/>
      <c r="GE323" s="110"/>
      <c r="GF323" s="110"/>
      <c r="GG323" s="110"/>
      <c r="GH323" s="110"/>
      <c r="GI323" s="110"/>
      <c r="GJ323" s="110"/>
      <c r="GK323" s="110"/>
      <c r="GL323" s="110"/>
      <c r="GM323" s="110"/>
      <c r="GN323" s="110"/>
      <c r="GO323" s="110"/>
      <c r="GP323" s="110"/>
      <c r="GQ323" s="110"/>
      <c r="GR323" s="110"/>
      <c r="GS323" s="110"/>
      <c r="GT323" s="110"/>
      <c r="GU323" s="110"/>
      <c r="GV323" s="110"/>
      <c r="GW323" s="110"/>
      <c r="GX323" s="110"/>
      <c r="GY323" s="110"/>
      <c r="GZ323" s="110"/>
      <c r="HA323" s="110"/>
      <c r="HB323" s="110"/>
      <c r="HC323" s="110"/>
      <c r="HD323" s="110"/>
      <c r="HE323" s="110"/>
      <c r="HF323" s="110"/>
      <c r="HG323" s="110"/>
      <c r="HH323" s="110"/>
      <c r="HI323" s="110"/>
      <c r="HJ323" s="110"/>
      <c r="HK323" s="110"/>
      <c r="HL323" s="110"/>
      <c r="HM323" s="110"/>
      <c r="HN323" s="110"/>
      <c r="HO323" s="110"/>
      <c r="HP323" s="110"/>
      <c r="HQ323" s="110"/>
      <c r="HR323" s="110"/>
      <c r="HS323" s="110"/>
      <c r="HT323" s="110"/>
      <c r="HU323" s="110"/>
      <c r="HV323" s="110"/>
      <c r="HW323" s="110"/>
      <c r="HX323" s="110"/>
      <c r="HY323" s="110"/>
      <c r="HZ323" s="110"/>
      <c r="IA323" s="110"/>
      <c r="IB323" s="110"/>
      <c r="IC323" s="110"/>
      <c r="ID323" s="110"/>
      <c r="IE323" s="110"/>
      <c r="IF323" s="110"/>
      <c r="IG323" s="110"/>
      <c r="IH323" s="110"/>
      <c r="II323" s="110"/>
      <c r="IJ323" s="110"/>
      <c r="IK323" s="110"/>
      <c r="IL323" s="110"/>
      <c r="IM323" s="110"/>
      <c r="IN323" s="110"/>
      <c r="IO323" s="110"/>
      <c r="IP323" s="110"/>
      <c r="IQ323" s="110"/>
      <c r="IR323" s="110"/>
      <c r="IS323" s="110"/>
      <c r="IT323" s="110"/>
      <c r="IU323" s="110"/>
      <c r="IV323" s="110"/>
      <c r="IW323" s="110"/>
      <c r="IX323" s="110"/>
      <c r="IY323" s="110"/>
      <c r="IZ323" s="110"/>
      <c r="JA323" s="110"/>
      <c r="JB323" s="110"/>
      <c r="JC323" s="110"/>
      <c r="JD323" s="110"/>
      <c r="JE323" s="110"/>
      <c r="JF323" s="110"/>
      <c r="JG323" s="110"/>
      <c r="JH323" s="110"/>
      <c r="JI323" s="110"/>
      <c r="JJ323" s="110"/>
      <c r="JK323" s="110"/>
      <c r="JL323" s="110"/>
      <c r="JM323" s="110"/>
      <c r="JN323" s="110"/>
      <c r="JO323" s="110"/>
      <c r="JP323" s="110"/>
      <c r="JQ323" s="110"/>
      <c r="JR323" s="110"/>
      <c r="JS323" s="110"/>
      <c r="JT323" s="110"/>
      <c r="JU323" s="110"/>
      <c r="JV323" s="110"/>
      <c r="JW323" s="110"/>
      <c r="JX323" s="110"/>
      <c r="JY323" s="110"/>
      <c r="JZ323" s="110"/>
      <c r="KA323" s="110"/>
      <c r="KB323" s="110"/>
      <c r="KC323" s="110"/>
      <c r="KD323" s="110"/>
      <c r="KE323" s="110"/>
      <c r="KF323" s="110"/>
      <c r="KG323" s="110"/>
      <c r="KH323" s="110"/>
      <c r="KI323" s="110"/>
      <c r="KJ323" s="110"/>
      <c r="KK323" s="110"/>
      <c r="KL323" s="110"/>
      <c r="KM323" s="110"/>
      <c r="KN323" s="110"/>
      <c r="KO323" s="110"/>
      <c r="KP323" s="110"/>
      <c r="KQ323" s="110"/>
      <c r="KR323" s="110"/>
      <c r="KS323" s="110"/>
      <c r="KT323" s="110"/>
      <c r="KU323" s="110"/>
      <c r="KV323" s="110"/>
      <c r="KW323" s="110"/>
      <c r="KX323" s="110"/>
      <c r="KY323" s="110"/>
      <c r="KZ323" s="110"/>
      <c r="LA323" s="110"/>
      <c r="LB323" s="110"/>
      <c r="LC323" s="110"/>
      <c r="LD323" s="110"/>
      <c r="LE323" s="110"/>
      <c r="LF323" s="110"/>
      <c r="LG323" s="110"/>
      <c r="LH323" s="110"/>
      <c r="LI323" s="110"/>
      <c r="LJ323" s="110"/>
      <c r="LK323" s="110"/>
      <c r="LL323" s="110"/>
      <c r="LM323" s="110"/>
      <c r="LN323" s="110"/>
      <c r="LO323" s="110"/>
      <c r="LP323" s="110"/>
      <c r="LQ323" s="110"/>
      <c r="LR323" s="110"/>
      <c r="LS323" s="110"/>
      <c r="LT323" s="110"/>
      <c r="LU323" s="110"/>
      <c r="LV323" s="110"/>
      <c r="LW323" s="110"/>
      <c r="LX323" s="110"/>
      <c r="LY323" s="110"/>
      <c r="LZ323" s="110"/>
      <c r="MA323" s="110"/>
      <c r="MB323" s="110"/>
      <c r="MC323" s="110"/>
      <c r="MD323" s="110"/>
      <c r="ME323" s="110"/>
      <c r="MF323" s="110"/>
      <c r="MG323" s="110"/>
      <c r="MH323" s="110"/>
      <c r="MI323" s="110"/>
      <c r="MJ323" s="110"/>
      <c r="MK323" s="110"/>
      <c r="ML323" s="110"/>
      <c r="MM323" s="110"/>
      <c r="MN323" s="110"/>
      <c r="MO323" s="110"/>
      <c r="MP323" s="110"/>
      <c r="MQ323" s="110"/>
      <c r="MR323" s="110"/>
      <c r="MS323" s="110"/>
      <c r="MT323" s="110"/>
      <c r="MU323" s="110"/>
      <c r="MV323" s="110"/>
      <c r="MW323" s="110"/>
      <c r="MX323" s="110"/>
      <c r="MY323" s="110"/>
      <c r="MZ323" s="110"/>
      <c r="NA323" s="110"/>
      <c r="NB323" s="110"/>
      <c r="NC323" s="110"/>
      <c r="ND323" s="110"/>
      <c r="NE323" s="110"/>
      <c r="NF323" s="110"/>
      <c r="NG323" s="110"/>
      <c r="NH323" s="110"/>
      <c r="NI323" s="110"/>
      <c r="NJ323" s="110"/>
      <c r="NK323" s="110"/>
      <c r="NL323" s="110"/>
      <c r="NM323" s="110"/>
      <c r="NN323" s="110"/>
      <c r="NO323" s="110"/>
      <c r="NP323" s="110"/>
      <c r="NQ323" s="110"/>
      <c r="NR323" s="110"/>
      <c r="NS323" s="110"/>
      <c r="NT323" s="110"/>
      <c r="NU323" s="110"/>
      <c r="NV323" s="110"/>
      <c r="NW323" s="110"/>
      <c r="NX323" s="110"/>
      <c r="NY323" s="110"/>
      <c r="NZ323" s="110"/>
      <c r="OA323" s="110"/>
      <c r="OB323" s="110"/>
      <c r="OC323" s="110"/>
      <c r="OD323" s="110"/>
      <c r="OE323" s="110"/>
      <c r="OF323" s="110"/>
      <c r="OG323" s="110"/>
      <c r="OH323" s="110"/>
      <c r="OI323" s="110"/>
      <c r="OJ323" s="110"/>
      <c r="OK323" s="110"/>
      <c r="OL323" s="110"/>
      <c r="OM323" s="110"/>
      <c r="ON323" s="110"/>
      <c r="OO323" s="110"/>
      <c r="OP323" s="110"/>
      <c r="OQ323" s="110"/>
      <c r="OR323" s="110"/>
      <c r="OS323" s="110"/>
      <c r="OT323" s="110"/>
      <c r="OU323" s="110"/>
      <c r="OV323" s="110"/>
      <c r="OW323" s="110"/>
      <c r="OX323" s="110"/>
      <c r="OY323" s="110"/>
      <c r="OZ323" s="110"/>
      <c r="PA323" s="110"/>
      <c r="PB323" s="110"/>
      <c r="PC323" s="110"/>
      <c r="PD323" s="110"/>
      <c r="PE323" s="110"/>
      <c r="PF323" s="110"/>
      <c r="PG323" s="110"/>
      <c r="PH323" s="110"/>
      <c r="PI323" s="110"/>
      <c r="PJ323" s="110"/>
      <c r="PK323" s="110"/>
      <c r="PL323" s="110"/>
      <c r="PM323" s="110"/>
      <c r="PN323" s="110"/>
      <c r="PO323" s="110"/>
      <c r="PP323" s="110"/>
      <c r="PQ323" s="110"/>
      <c r="PR323" s="110"/>
      <c r="PS323" s="110"/>
      <c r="PT323" s="110"/>
      <c r="PU323" s="110"/>
      <c r="PV323" s="110"/>
      <c r="PW323" s="110"/>
      <c r="PX323" s="110"/>
      <c r="PY323" s="110"/>
      <c r="PZ323" s="110"/>
      <c r="QA323" s="110"/>
      <c r="QB323" s="110"/>
      <c r="QC323" s="110"/>
      <c r="QD323" s="110"/>
      <c r="QE323" s="110"/>
      <c r="QF323" s="110"/>
      <c r="QG323" s="110"/>
      <c r="QH323" s="110"/>
      <c r="QI323" s="110"/>
      <c r="QJ323" s="110"/>
      <c r="QK323" s="110"/>
      <c r="QL323" s="110"/>
      <c r="QM323" s="110"/>
      <c r="QN323" s="110"/>
      <c r="QO323" s="110"/>
      <c r="QP323" s="110"/>
      <c r="QQ323" s="110"/>
      <c r="QR323" s="110"/>
      <c r="QS323" s="110"/>
      <c r="QT323" s="110"/>
      <c r="QU323" s="110"/>
      <c r="QV323" s="110"/>
      <c r="QW323" s="110"/>
      <c r="QX323" s="110"/>
      <c r="QY323" s="110"/>
      <c r="QZ323" s="110"/>
      <c r="RA323" s="110"/>
      <c r="RB323" s="110"/>
      <c r="RC323" s="110"/>
      <c r="RD323" s="110"/>
      <c r="RE323" s="110"/>
      <c r="RF323" s="110"/>
      <c r="RG323" s="110"/>
      <c r="RH323" s="110"/>
      <c r="RI323" s="110"/>
      <c r="RJ323" s="110"/>
      <c r="RK323" s="110"/>
      <c r="RL323" s="110"/>
      <c r="RM323" s="110"/>
      <c r="RN323" s="110"/>
      <c r="RO323" s="110"/>
      <c r="RP323" s="110"/>
      <c r="RQ323" s="110"/>
      <c r="RR323" s="110"/>
      <c r="RS323" s="110"/>
      <c r="RT323" s="110"/>
      <c r="RU323" s="110"/>
      <c r="RV323" s="110"/>
      <c r="RW323" s="110"/>
      <c r="RX323" s="110"/>
      <c r="RY323" s="110"/>
      <c r="RZ323" s="110"/>
      <c r="SA323" s="110"/>
      <c r="SB323" s="110"/>
      <c r="SC323" s="110"/>
      <c r="SD323" s="110"/>
      <c r="SE323" s="110"/>
      <c r="SF323" s="110"/>
      <c r="SG323" s="110"/>
      <c r="SH323" s="110"/>
      <c r="SI323" s="110"/>
      <c r="SJ323" s="110"/>
      <c r="SK323" s="110"/>
      <c r="SL323" s="110"/>
      <c r="SM323" s="110"/>
      <c r="SN323" s="110"/>
      <c r="SO323" s="110"/>
      <c r="SP323" s="110"/>
      <c r="SQ323" s="110"/>
      <c r="SR323" s="110"/>
      <c r="SS323" s="110"/>
      <c r="ST323" s="110"/>
      <c r="SU323" s="110"/>
      <c r="SV323" s="110"/>
      <c r="SW323" s="110"/>
      <c r="SX323" s="110"/>
      <c r="SY323" s="110"/>
      <c r="SZ323" s="110"/>
      <c r="TA323" s="110"/>
      <c r="TB323" s="110"/>
      <c r="TC323" s="110"/>
      <c r="TD323" s="110"/>
      <c r="TE323" s="110"/>
      <c r="TF323" s="110"/>
      <c r="TG323" s="110"/>
      <c r="TH323" s="110"/>
      <c r="TI323" s="110"/>
      <c r="TJ323" s="110"/>
      <c r="TK323" s="110"/>
      <c r="TL323" s="110"/>
      <c r="TM323" s="110"/>
      <c r="TN323" s="110"/>
      <c r="TO323" s="110"/>
      <c r="TP323" s="110"/>
      <c r="TQ323" s="110"/>
      <c r="TR323" s="110"/>
      <c r="TS323" s="110"/>
      <c r="TT323" s="110"/>
      <c r="TU323" s="110"/>
      <c r="TV323" s="110"/>
      <c r="TW323" s="110"/>
      <c r="TX323" s="110"/>
      <c r="TY323" s="110"/>
      <c r="TZ323" s="110"/>
      <c r="UA323" s="110"/>
      <c r="UB323" s="110"/>
      <c r="UC323" s="110"/>
      <c r="UD323" s="110"/>
      <c r="UE323" s="110"/>
      <c r="UF323" s="110"/>
      <c r="UG323" s="110"/>
      <c r="UH323" s="110"/>
      <c r="UI323" s="110"/>
      <c r="UJ323" s="110"/>
      <c r="UK323" s="110"/>
      <c r="UL323" s="110"/>
      <c r="UM323" s="110"/>
      <c r="UN323" s="110"/>
      <c r="UO323" s="110"/>
      <c r="UP323" s="110"/>
      <c r="UQ323" s="110"/>
      <c r="UR323" s="110"/>
      <c r="US323" s="110"/>
      <c r="UT323" s="110"/>
      <c r="UU323" s="110"/>
      <c r="UV323" s="110"/>
      <c r="UW323" s="110"/>
      <c r="UX323" s="110"/>
      <c r="UY323" s="110"/>
      <c r="UZ323" s="110"/>
      <c r="VA323" s="110"/>
      <c r="VB323" s="110"/>
      <c r="VC323" s="110"/>
      <c r="VD323" s="110"/>
      <c r="VE323" s="110"/>
      <c r="VF323" s="110"/>
      <c r="VG323" s="110"/>
      <c r="VH323" s="110"/>
      <c r="VI323" s="110"/>
      <c r="VJ323" s="110"/>
      <c r="VK323" s="110"/>
      <c r="VL323" s="110"/>
      <c r="VM323" s="110"/>
      <c r="VN323" s="110"/>
      <c r="VO323" s="110"/>
      <c r="VP323" s="110"/>
      <c r="VQ323" s="110"/>
      <c r="VR323" s="110"/>
      <c r="VS323" s="110"/>
      <c r="VT323" s="110"/>
      <c r="VU323" s="110"/>
      <c r="VV323" s="110"/>
      <c r="VW323" s="110"/>
      <c r="VX323" s="110"/>
      <c r="VY323" s="110"/>
      <c r="VZ323" s="110"/>
      <c r="WA323" s="110"/>
      <c r="WB323" s="110"/>
      <c r="WC323" s="110"/>
      <c r="WD323" s="110"/>
      <c r="WE323" s="110"/>
      <c r="WF323" s="110"/>
      <c r="WG323" s="110"/>
      <c r="WH323" s="110"/>
      <c r="WI323" s="110"/>
      <c r="WJ323" s="110"/>
      <c r="WK323" s="110"/>
      <c r="WL323" s="110"/>
      <c r="WM323" s="110"/>
      <c r="WN323" s="110"/>
      <c r="WO323" s="110"/>
      <c r="WP323" s="110"/>
      <c r="WQ323" s="110"/>
      <c r="WR323" s="110"/>
      <c r="WS323" s="110"/>
      <c r="WT323" s="110"/>
      <c r="WU323" s="110"/>
      <c r="WV323" s="110"/>
      <c r="WW323" s="110"/>
      <c r="WX323" s="110"/>
      <c r="WY323" s="110"/>
      <c r="WZ323" s="110"/>
      <c r="XA323" s="110"/>
      <c r="XB323" s="110"/>
      <c r="XC323" s="110"/>
      <c r="XD323" s="110"/>
      <c r="XE323" s="110"/>
      <c r="XF323" s="110"/>
      <c r="XG323" s="110"/>
      <c r="XH323" s="110"/>
      <c r="XI323" s="110"/>
      <c r="XJ323" s="110"/>
      <c r="XK323" s="110"/>
      <c r="XL323" s="110"/>
      <c r="XM323" s="110"/>
      <c r="XN323" s="110"/>
      <c r="XO323" s="110"/>
      <c r="XP323" s="110"/>
      <c r="XQ323" s="110"/>
      <c r="XR323" s="110"/>
      <c r="XS323" s="110"/>
      <c r="XT323" s="110"/>
      <c r="XU323" s="110"/>
      <c r="XV323" s="110"/>
      <c r="XW323" s="110"/>
      <c r="XX323" s="110"/>
      <c r="XY323" s="110"/>
      <c r="XZ323" s="110"/>
      <c r="YA323" s="110"/>
      <c r="YB323" s="110"/>
      <c r="YC323" s="110"/>
      <c r="YD323" s="110"/>
      <c r="YE323" s="110"/>
      <c r="YF323" s="110"/>
      <c r="YG323" s="110"/>
      <c r="YH323" s="110"/>
      <c r="YI323" s="110"/>
      <c r="YJ323" s="110"/>
      <c r="YK323" s="110"/>
      <c r="YL323" s="110"/>
      <c r="YM323" s="110"/>
      <c r="YN323" s="110"/>
      <c r="YO323" s="110"/>
      <c r="YP323" s="110"/>
      <c r="YQ323" s="110"/>
      <c r="YR323" s="110"/>
      <c r="YS323" s="110"/>
      <c r="YT323" s="110"/>
      <c r="YU323" s="110"/>
      <c r="YV323" s="110"/>
      <c r="YW323" s="110"/>
      <c r="YX323" s="110"/>
      <c r="YY323" s="110"/>
      <c r="YZ323" s="110"/>
      <c r="ZA323" s="110"/>
      <c r="ZB323" s="110"/>
      <c r="ZC323" s="110"/>
      <c r="ZD323" s="110"/>
      <c r="ZE323" s="110"/>
      <c r="ZF323" s="110"/>
      <c r="ZG323" s="110"/>
      <c r="ZH323" s="110"/>
      <c r="ZI323" s="110"/>
      <c r="ZJ323" s="110"/>
      <c r="ZK323" s="110"/>
      <c r="ZL323" s="110"/>
      <c r="ZM323" s="110"/>
      <c r="ZN323" s="110"/>
      <c r="ZO323" s="110"/>
      <c r="ZP323" s="110"/>
      <c r="ZQ323" s="110"/>
      <c r="ZR323" s="110"/>
      <c r="ZS323" s="110"/>
      <c r="ZT323" s="110"/>
      <c r="ZU323" s="110"/>
      <c r="ZV323" s="110"/>
      <c r="ZW323" s="110"/>
      <c r="ZX323" s="110"/>
      <c r="ZY323" s="110"/>
      <c r="ZZ323" s="110"/>
      <c r="AAA323" s="110"/>
      <c r="AAB323" s="110"/>
      <c r="AAC323" s="110"/>
      <c r="AAD323" s="110"/>
      <c r="AAE323" s="110"/>
      <c r="AAF323" s="110"/>
      <c r="AAG323" s="110"/>
      <c r="AAH323" s="110"/>
      <c r="AAI323" s="110"/>
      <c r="AAJ323" s="110"/>
      <c r="AAK323" s="110"/>
      <c r="AAL323" s="110"/>
      <c r="AAM323" s="110"/>
      <c r="AAN323" s="110"/>
      <c r="AAO323" s="110"/>
      <c r="AAP323" s="110"/>
      <c r="AAQ323" s="110"/>
      <c r="AAR323" s="110"/>
      <c r="AAS323" s="110"/>
      <c r="AAT323" s="110"/>
      <c r="AAU323" s="110"/>
      <c r="AAV323" s="110"/>
      <c r="AAW323" s="110"/>
      <c r="AAX323" s="110"/>
      <c r="AAY323" s="110"/>
      <c r="AAZ323" s="110"/>
      <c r="ABA323" s="110"/>
      <c r="ABB323" s="110"/>
      <c r="ABC323" s="110"/>
      <c r="ABD323" s="110"/>
      <c r="ABE323" s="110"/>
      <c r="ABF323" s="110"/>
      <c r="ABG323" s="110"/>
      <c r="ABH323" s="110"/>
      <c r="ABI323" s="110"/>
      <c r="ABJ323" s="110"/>
      <c r="ABK323" s="110"/>
      <c r="ABL323" s="110"/>
      <c r="ABM323" s="110"/>
      <c r="ABN323" s="110"/>
      <c r="ABO323" s="110"/>
      <c r="ABP323" s="110"/>
      <c r="ABQ323" s="110"/>
      <c r="ABR323" s="110"/>
      <c r="ABS323" s="110"/>
      <c r="ABT323" s="110"/>
      <c r="ABU323" s="110"/>
      <c r="ABV323" s="110"/>
      <c r="ABW323" s="110"/>
      <c r="ABX323" s="110"/>
      <c r="ABY323" s="110"/>
      <c r="ABZ323" s="110"/>
      <c r="ACA323" s="110"/>
      <c r="ACB323" s="110"/>
      <c r="ACC323" s="110"/>
      <c r="ACD323" s="110"/>
      <c r="ACE323" s="110"/>
      <c r="ACF323" s="110"/>
      <c r="ACG323" s="110"/>
      <c r="ACH323" s="110"/>
      <c r="ACI323" s="110"/>
      <c r="ACJ323" s="110"/>
      <c r="ACK323" s="110"/>
      <c r="ACL323" s="110"/>
      <c r="ACM323" s="110"/>
      <c r="ACN323" s="110"/>
      <c r="ACO323" s="110"/>
      <c r="ACP323" s="110"/>
      <c r="ACQ323" s="110"/>
      <c r="ACR323" s="110"/>
      <c r="ACS323" s="110"/>
      <c r="ACT323" s="110"/>
      <c r="ACU323" s="110"/>
      <c r="ACV323" s="110"/>
      <c r="ACW323" s="110"/>
      <c r="ACX323" s="110"/>
      <c r="ACY323" s="110"/>
      <c r="ACZ323" s="110"/>
      <c r="ADA323" s="110"/>
      <c r="ADB323" s="110"/>
      <c r="ADC323" s="110"/>
      <c r="ADD323" s="110"/>
      <c r="ADE323" s="110"/>
      <c r="ADF323" s="110"/>
      <c r="ADG323" s="110"/>
      <c r="ADH323" s="110"/>
      <c r="ADI323" s="110"/>
      <c r="ADJ323" s="110"/>
      <c r="ADK323" s="110"/>
      <c r="ADL323" s="110"/>
      <c r="ADM323" s="110"/>
      <c r="ADN323" s="110"/>
      <c r="ADO323" s="110"/>
      <c r="ADP323" s="110"/>
      <c r="ADQ323" s="110"/>
      <c r="ADR323" s="110"/>
      <c r="ADS323" s="110"/>
      <c r="ADT323" s="110"/>
      <c r="ADU323" s="110"/>
      <c r="ADV323" s="110"/>
      <c r="ADW323" s="110"/>
      <c r="ADX323" s="110"/>
      <c r="ADY323" s="110"/>
      <c r="ADZ323" s="110"/>
      <c r="AEA323" s="110"/>
      <c r="AEB323" s="110"/>
      <c r="AEC323" s="110"/>
      <c r="AED323" s="110"/>
      <c r="AEE323" s="110"/>
      <c r="AEF323" s="110"/>
      <c r="AEG323" s="110"/>
      <c r="AEH323" s="110"/>
      <c r="AEI323" s="110"/>
      <c r="AEJ323" s="110"/>
      <c r="AEK323" s="110"/>
      <c r="AEL323" s="110"/>
      <c r="AEM323" s="110"/>
      <c r="AEN323" s="110"/>
      <c r="AEO323" s="110"/>
      <c r="AEP323" s="110"/>
      <c r="AEQ323" s="110"/>
      <c r="AER323" s="110"/>
      <c r="AES323" s="110"/>
      <c r="AET323" s="110"/>
      <c r="AEU323" s="110"/>
      <c r="AEV323" s="110"/>
      <c r="AEW323" s="110"/>
      <c r="AEX323" s="110"/>
      <c r="AEY323" s="110"/>
      <c r="AEZ323" s="110"/>
      <c r="AFA323" s="110"/>
      <c r="AFB323" s="110"/>
      <c r="AFC323" s="110"/>
      <c r="AFD323" s="110"/>
      <c r="AFE323" s="110"/>
      <c r="AFF323" s="110"/>
      <c r="AFG323" s="110"/>
      <c r="AFH323" s="110"/>
      <c r="AFI323" s="110"/>
      <c r="AFJ323" s="110"/>
      <c r="AFK323" s="110"/>
      <c r="AFL323" s="110"/>
      <c r="AFM323" s="110"/>
      <c r="AFN323" s="110"/>
      <c r="AFO323" s="110"/>
      <c r="AFP323" s="110"/>
      <c r="AFQ323" s="110"/>
      <c r="AFR323" s="110"/>
      <c r="AFS323" s="110"/>
      <c r="AFT323" s="110"/>
      <c r="AFU323" s="110"/>
      <c r="AFV323" s="110"/>
      <c r="AFW323" s="110"/>
      <c r="AFX323" s="110"/>
      <c r="AFY323" s="110"/>
      <c r="AFZ323" s="110"/>
      <c r="AGA323" s="110"/>
      <c r="AGB323" s="110"/>
      <c r="AGC323" s="110"/>
      <c r="AGD323" s="110"/>
      <c r="AGE323" s="110"/>
      <c r="AGF323" s="110"/>
      <c r="AGG323" s="110"/>
      <c r="AGH323" s="110"/>
      <c r="AGI323" s="110"/>
      <c r="AGJ323" s="110"/>
      <c r="AGK323" s="110"/>
      <c r="AGL323" s="110"/>
      <c r="AGM323" s="110"/>
      <c r="AGN323" s="110"/>
      <c r="AGO323" s="110"/>
      <c r="AGP323" s="110"/>
      <c r="AGQ323" s="110"/>
      <c r="AGR323" s="110"/>
      <c r="AGS323" s="110"/>
      <c r="AGT323" s="110"/>
      <c r="AGU323" s="110"/>
      <c r="AGV323" s="110"/>
      <c r="AGW323" s="110"/>
      <c r="AGX323" s="110"/>
      <c r="AGY323" s="110"/>
      <c r="AGZ323" s="110"/>
      <c r="AHA323" s="110"/>
      <c r="AHB323" s="110"/>
      <c r="AHC323" s="110"/>
      <c r="AHD323" s="110"/>
      <c r="AHE323" s="110"/>
      <c r="AHF323" s="110"/>
      <c r="AHG323" s="110"/>
      <c r="AHH323" s="110"/>
      <c r="AHI323" s="110"/>
      <c r="AHJ323" s="110"/>
      <c r="AHK323" s="110"/>
      <c r="AHL323" s="110"/>
      <c r="AHM323" s="110"/>
      <c r="AHN323" s="110"/>
      <c r="AHO323" s="110"/>
      <c r="AHP323" s="110"/>
      <c r="AHQ323" s="110"/>
      <c r="AHR323" s="110"/>
      <c r="AHS323" s="110"/>
      <c r="AHT323" s="110"/>
      <c r="AHU323" s="110"/>
      <c r="AHV323" s="110"/>
      <c r="AHW323" s="110"/>
      <c r="AHX323" s="110"/>
      <c r="AHY323" s="110"/>
      <c r="AHZ323" s="110"/>
      <c r="AIA323" s="110"/>
      <c r="AIB323" s="110"/>
      <c r="AIC323" s="110"/>
      <c r="AID323" s="110"/>
      <c r="AIE323" s="110"/>
      <c r="AIF323" s="110"/>
      <c r="AIG323" s="110"/>
      <c r="AIH323" s="110"/>
      <c r="AII323" s="110"/>
      <c r="AIJ323" s="110"/>
      <c r="AIK323" s="110"/>
      <c r="AIL323" s="110"/>
      <c r="AIM323" s="110"/>
      <c r="AIN323" s="110"/>
      <c r="AIO323" s="110"/>
      <c r="AIP323" s="110"/>
      <c r="AIQ323" s="110"/>
      <c r="AIR323" s="110"/>
      <c r="AIS323" s="110"/>
      <c r="AIT323" s="110"/>
      <c r="AIU323" s="110"/>
      <c r="AIV323" s="110"/>
      <c r="AIW323" s="110"/>
      <c r="AIX323" s="110"/>
      <c r="AIY323" s="110"/>
      <c r="AIZ323" s="110"/>
      <c r="AJA323" s="110"/>
      <c r="AJB323" s="110"/>
      <c r="AJC323" s="110"/>
      <c r="AJD323" s="110"/>
      <c r="AJE323" s="110"/>
      <c r="AJF323" s="110"/>
      <c r="AJG323" s="110"/>
      <c r="AJH323" s="110"/>
      <c r="AJI323" s="110"/>
      <c r="AJJ323" s="110"/>
      <c r="AJK323" s="110"/>
      <c r="AJL323" s="110"/>
      <c r="AJM323" s="110"/>
      <c r="AJN323" s="110"/>
      <c r="AJO323" s="110"/>
      <c r="AJP323" s="110"/>
      <c r="AJQ323" s="110"/>
      <c r="AJR323" s="110"/>
      <c r="AJS323" s="110"/>
      <c r="AJT323" s="110"/>
      <c r="AJU323" s="110"/>
      <c r="AJV323" s="110"/>
      <c r="AJW323" s="110"/>
      <c r="AJX323" s="110"/>
      <c r="AJY323" s="110"/>
      <c r="AJZ323" s="110"/>
      <c r="AKA323" s="110"/>
      <c r="AKB323" s="110"/>
      <c r="AKC323" s="110"/>
      <c r="AKD323" s="110"/>
      <c r="AKE323" s="110"/>
      <c r="AKF323" s="110"/>
      <c r="AKG323" s="110"/>
      <c r="AKH323" s="110"/>
      <c r="AKI323" s="110"/>
      <c r="AKJ323" s="110"/>
      <c r="AKK323" s="110"/>
      <c r="AKL323" s="110"/>
      <c r="AKM323" s="110"/>
      <c r="AKN323" s="110"/>
      <c r="AKO323" s="110"/>
      <c r="AKP323" s="110"/>
      <c r="AKQ323" s="110"/>
      <c r="AKR323" s="110"/>
      <c r="AKS323" s="110"/>
      <c r="AKT323" s="110"/>
      <c r="AKU323" s="110"/>
      <c r="AKV323" s="110"/>
      <c r="AKW323" s="110"/>
      <c r="AKX323" s="110"/>
      <c r="AKY323" s="110"/>
      <c r="AKZ323" s="110"/>
      <c r="ALA323" s="110"/>
      <c r="ALB323" s="110"/>
      <c r="ALC323" s="110"/>
      <c r="ALD323" s="110"/>
      <c r="ALE323" s="110"/>
      <c r="ALF323" s="110"/>
      <c r="ALG323" s="110"/>
      <c r="ALH323" s="110"/>
      <c r="ALI323" s="110"/>
      <c r="ALJ323" s="110"/>
      <c r="ALK323" s="110"/>
      <c r="ALL323" s="110"/>
      <c r="ALM323" s="110"/>
      <c r="ALN323" s="110"/>
      <c r="ALO323" s="110"/>
      <c r="ALP323" s="110"/>
      <c r="ALQ323" s="110"/>
      <c r="ALR323" s="110"/>
      <c r="ALS323" s="110"/>
      <c r="ALT323" s="110"/>
      <c r="ALU323" s="110"/>
      <c r="ALV323" s="110"/>
      <c r="ALW323" s="110"/>
      <c r="ALX323" s="110"/>
      <c r="ALY323" s="110"/>
      <c r="ALZ323" s="110"/>
      <c r="AMA323" s="110"/>
      <c r="AMB323" s="110"/>
      <c r="AMC323" s="110"/>
      <c r="AMD323" s="110"/>
      <c r="AME323" s="110"/>
      <c r="AMF323" s="110"/>
    </row>
    <row r="324" spans="1:1020" s="142" customFormat="1" ht="11.25" customHeight="1">
      <c r="A324" s="144" t="s">
        <v>474</v>
      </c>
      <c r="B324" s="141">
        <v>1</v>
      </c>
      <c r="C324" s="126">
        <v>317</v>
      </c>
      <c r="D324" s="127" t="s">
        <v>498</v>
      </c>
      <c r="E324" s="194">
        <v>245</v>
      </c>
      <c r="F324" s="125">
        <f>ROUND(E324*Valores!$C$2,2)</f>
        <v>13340.25</v>
      </c>
      <c r="G324" s="192">
        <v>0</v>
      </c>
      <c r="H324" s="125">
        <f>ROUND(G324*Valores!$C$2,2)</f>
        <v>0</v>
      </c>
      <c r="I324" s="192">
        <v>0</v>
      </c>
      <c r="J324" s="125">
        <f>ROUND(I324*Valores!$C$2,2)</f>
        <v>0</v>
      </c>
      <c r="K324" s="192">
        <v>0</v>
      </c>
      <c r="L324" s="125">
        <f>ROUND(K324*Valores!$C$2,2)</f>
        <v>0</v>
      </c>
      <c r="M324" s="125">
        <f>ROUND(IF($H$2=0,IF(AND(A324&lt;&gt;"13-930",A324&lt;&gt;"13-940"),(SUM(F324,H324,J324,L324,X324,T324,R324)*Valores!$C$4),0),0),2)</f>
        <v>0</v>
      </c>
      <c r="N324" s="125">
        <f t="shared" si="42"/>
        <v>0</v>
      </c>
      <c r="O324" s="125">
        <v>0</v>
      </c>
      <c r="P324" s="125">
        <v>0</v>
      </c>
      <c r="Q324" s="125">
        <v>0</v>
      </c>
      <c r="R324" s="125">
        <f>IF($F$4="NO",Valores!$C$50,Valores!$C$50/2)</f>
        <v>1446.04</v>
      </c>
      <c r="S324" s="125">
        <v>0</v>
      </c>
      <c r="T324" s="125">
        <f t="shared" si="51"/>
        <v>0</v>
      </c>
      <c r="U324" s="125">
        <v>0</v>
      </c>
      <c r="V324" s="125">
        <v>0</v>
      </c>
      <c r="W324" s="192">
        <v>0</v>
      </c>
      <c r="X324" s="125">
        <f>ROUND(W324*Valores!$C$2,2)</f>
        <v>0</v>
      </c>
      <c r="Y324" s="125">
        <v>0</v>
      </c>
      <c r="Z324" s="125">
        <f>Valores!$C$98</f>
        <v>3811.38</v>
      </c>
      <c r="AA324" s="125">
        <v>0</v>
      </c>
      <c r="AB324" s="214">
        <v>0</v>
      </c>
      <c r="AC324" s="125">
        <f t="shared" si="43"/>
        <v>0</v>
      </c>
      <c r="AD324" s="125">
        <v>0</v>
      </c>
      <c r="AE324" s="192">
        <v>0</v>
      </c>
      <c r="AF324" s="125">
        <f>ROUND(AE324*Valores!$C$2,2)</f>
        <v>0</v>
      </c>
      <c r="AG324" s="125">
        <f>Valores!$C$64</f>
        <v>1310.4</v>
      </c>
      <c r="AH324" s="125">
        <f t="shared" si="46"/>
        <v>19908.070000000003</v>
      </c>
      <c r="AI324" s="125">
        <v>0</v>
      </c>
      <c r="AJ324" s="125">
        <f>Valores!$C$91</f>
        <v>0</v>
      </c>
      <c r="AK324" s="125">
        <v>0</v>
      </c>
      <c r="AL324" s="125">
        <v>0</v>
      </c>
      <c r="AM324" s="125">
        <f t="shared" si="44"/>
        <v>0</v>
      </c>
      <c r="AN324" s="125">
        <f>AH324*Valores!$C$71</f>
        <v>-2189.8877</v>
      </c>
      <c r="AO324" s="125">
        <f>AH324*-Valores!$C$72</f>
        <v>0</v>
      </c>
      <c r="AP324" s="125">
        <f>AH324*Valores!$C$73</f>
        <v>-895.8631500000001</v>
      </c>
      <c r="AQ324" s="125">
        <v>0</v>
      </c>
      <c r="AR324" s="125">
        <v>0</v>
      </c>
      <c r="AS324" s="125">
        <f t="shared" si="47"/>
        <v>16822.319150000003</v>
      </c>
      <c r="AT324" s="125">
        <f t="shared" si="41"/>
        <v>-2189.8877</v>
      </c>
      <c r="AU324" s="125">
        <f>AH324*Valores!$C$74</f>
        <v>-537.5178900000001</v>
      </c>
      <c r="AV324" s="125">
        <f>AH324*Valores!$C$75</f>
        <v>-59.724210000000014</v>
      </c>
      <c r="AW324" s="125">
        <f t="shared" si="45"/>
        <v>17120.940200000005</v>
      </c>
      <c r="AX324" s="126"/>
      <c r="AY324" s="126"/>
      <c r="AZ324" s="123" t="s">
        <v>4</v>
      </c>
      <c r="BA324" s="110"/>
      <c r="BB324" s="110"/>
      <c r="BC324" s="110"/>
      <c r="BD324" s="110"/>
      <c r="BE324" s="110"/>
      <c r="BF324" s="110"/>
      <c r="BG324" s="110"/>
      <c r="BH324" s="110"/>
      <c r="BI324" s="110"/>
      <c r="BJ324" s="110"/>
      <c r="BK324" s="110"/>
      <c r="BL324" s="110"/>
      <c r="BM324" s="110"/>
      <c r="BN324" s="110"/>
      <c r="BO324" s="110"/>
      <c r="BP324" s="110"/>
      <c r="BQ324" s="110"/>
      <c r="BR324" s="110"/>
      <c r="BS324" s="110"/>
      <c r="BT324" s="110"/>
      <c r="BU324" s="110"/>
      <c r="BV324" s="110"/>
      <c r="BW324" s="110"/>
      <c r="BX324" s="110"/>
      <c r="BY324" s="110"/>
      <c r="BZ324" s="110"/>
      <c r="CA324" s="110"/>
      <c r="CB324" s="110"/>
      <c r="CC324" s="110"/>
      <c r="CD324" s="110"/>
      <c r="CE324" s="110"/>
      <c r="CF324" s="110"/>
      <c r="CG324" s="110"/>
      <c r="CH324" s="110"/>
      <c r="CI324" s="110"/>
      <c r="CJ324" s="110"/>
      <c r="CK324" s="110"/>
      <c r="CL324" s="110"/>
      <c r="CM324" s="110"/>
      <c r="CN324" s="110"/>
      <c r="CO324" s="110"/>
      <c r="CP324" s="110"/>
      <c r="CQ324" s="110"/>
      <c r="CR324" s="110"/>
      <c r="CS324" s="110"/>
      <c r="CT324" s="110"/>
      <c r="CU324" s="110"/>
      <c r="CV324" s="110"/>
      <c r="CW324" s="110"/>
      <c r="CX324" s="110"/>
      <c r="CY324" s="110"/>
      <c r="CZ324" s="110"/>
      <c r="DA324" s="110"/>
      <c r="DB324" s="110"/>
      <c r="DC324" s="110"/>
      <c r="DD324" s="110"/>
      <c r="DE324" s="110"/>
      <c r="DF324" s="110"/>
      <c r="DG324" s="110"/>
      <c r="DH324" s="110"/>
      <c r="DI324" s="110"/>
      <c r="DJ324" s="110"/>
      <c r="DK324" s="110"/>
      <c r="DL324" s="110"/>
      <c r="DM324" s="110"/>
      <c r="DN324" s="110"/>
      <c r="DO324" s="110"/>
      <c r="DP324" s="110"/>
      <c r="DQ324" s="110"/>
      <c r="DR324" s="110"/>
      <c r="DS324" s="110"/>
      <c r="DT324" s="110"/>
      <c r="DU324" s="110"/>
      <c r="DV324" s="110"/>
      <c r="DW324" s="110"/>
      <c r="DX324" s="110"/>
      <c r="DY324" s="110"/>
      <c r="DZ324" s="110"/>
      <c r="EA324" s="110"/>
      <c r="EB324" s="110"/>
      <c r="EC324" s="110"/>
      <c r="ED324" s="110"/>
      <c r="EE324" s="110"/>
      <c r="EF324" s="110"/>
      <c r="EG324" s="110"/>
      <c r="EH324" s="110"/>
      <c r="EI324" s="110"/>
      <c r="EJ324" s="110"/>
      <c r="EK324" s="110"/>
      <c r="EL324" s="110"/>
      <c r="EM324" s="110"/>
      <c r="EN324" s="110"/>
      <c r="EO324" s="110"/>
      <c r="EP324" s="110"/>
      <c r="EQ324" s="110"/>
      <c r="ER324" s="110"/>
      <c r="ES324" s="110"/>
      <c r="ET324" s="110"/>
      <c r="EU324" s="110"/>
      <c r="EV324" s="110"/>
      <c r="EW324" s="110"/>
      <c r="EX324" s="110"/>
      <c r="EY324" s="110"/>
      <c r="EZ324" s="110"/>
      <c r="FA324" s="110"/>
      <c r="FB324" s="110"/>
      <c r="FC324" s="110"/>
      <c r="FD324" s="110"/>
      <c r="FE324" s="110"/>
      <c r="FF324" s="110"/>
      <c r="FG324" s="110"/>
      <c r="FH324" s="110"/>
      <c r="FI324" s="110"/>
      <c r="FJ324" s="110"/>
      <c r="FK324" s="110"/>
      <c r="FL324" s="110"/>
      <c r="FM324" s="110"/>
      <c r="FN324" s="110"/>
      <c r="FO324" s="110"/>
      <c r="FP324" s="110"/>
      <c r="FQ324" s="110"/>
      <c r="FR324" s="110"/>
      <c r="FS324" s="110"/>
      <c r="FT324" s="110"/>
      <c r="FU324" s="110"/>
      <c r="FV324" s="110"/>
      <c r="FW324" s="110"/>
      <c r="FX324" s="110"/>
      <c r="FY324" s="110"/>
      <c r="FZ324" s="110"/>
      <c r="GA324" s="110"/>
      <c r="GB324" s="110"/>
      <c r="GC324" s="110"/>
      <c r="GD324" s="110"/>
      <c r="GE324" s="110"/>
      <c r="GF324" s="110"/>
      <c r="GG324" s="110"/>
      <c r="GH324" s="110"/>
      <c r="GI324" s="110"/>
      <c r="GJ324" s="110"/>
      <c r="GK324" s="110"/>
      <c r="GL324" s="110"/>
      <c r="GM324" s="110"/>
      <c r="GN324" s="110"/>
      <c r="GO324" s="110"/>
      <c r="GP324" s="110"/>
      <c r="GQ324" s="110"/>
      <c r="GR324" s="110"/>
      <c r="GS324" s="110"/>
      <c r="GT324" s="110"/>
      <c r="GU324" s="110"/>
      <c r="GV324" s="110"/>
      <c r="GW324" s="110"/>
      <c r="GX324" s="110"/>
      <c r="GY324" s="110"/>
      <c r="GZ324" s="110"/>
      <c r="HA324" s="110"/>
      <c r="HB324" s="110"/>
      <c r="HC324" s="110"/>
      <c r="HD324" s="110"/>
      <c r="HE324" s="110"/>
      <c r="HF324" s="110"/>
      <c r="HG324" s="110"/>
      <c r="HH324" s="110"/>
      <c r="HI324" s="110"/>
      <c r="HJ324" s="110"/>
      <c r="HK324" s="110"/>
      <c r="HL324" s="110"/>
      <c r="HM324" s="110"/>
      <c r="HN324" s="110"/>
      <c r="HO324" s="110"/>
      <c r="HP324" s="110"/>
      <c r="HQ324" s="110"/>
      <c r="HR324" s="110"/>
      <c r="HS324" s="110"/>
      <c r="HT324" s="110"/>
      <c r="HU324" s="110"/>
      <c r="HV324" s="110"/>
      <c r="HW324" s="110"/>
      <c r="HX324" s="110"/>
      <c r="HY324" s="110"/>
      <c r="HZ324" s="110"/>
      <c r="IA324" s="110"/>
      <c r="IB324" s="110"/>
      <c r="IC324" s="110"/>
      <c r="ID324" s="110"/>
      <c r="IE324" s="110"/>
      <c r="IF324" s="110"/>
      <c r="IG324" s="110"/>
      <c r="IH324" s="110"/>
      <c r="II324" s="110"/>
      <c r="IJ324" s="110"/>
      <c r="IK324" s="110"/>
      <c r="IL324" s="110"/>
      <c r="IM324" s="110"/>
      <c r="IN324" s="110"/>
      <c r="IO324" s="110"/>
      <c r="IP324" s="110"/>
      <c r="IQ324" s="110"/>
      <c r="IR324" s="110"/>
      <c r="IS324" s="110"/>
      <c r="IT324" s="110"/>
      <c r="IU324" s="110"/>
      <c r="IV324" s="110"/>
      <c r="IW324" s="110"/>
      <c r="IX324" s="110"/>
      <c r="IY324" s="110"/>
      <c r="IZ324" s="110"/>
      <c r="JA324" s="110"/>
      <c r="JB324" s="110"/>
      <c r="JC324" s="110"/>
      <c r="JD324" s="110"/>
      <c r="JE324" s="110"/>
      <c r="JF324" s="110"/>
      <c r="JG324" s="110"/>
      <c r="JH324" s="110"/>
      <c r="JI324" s="110"/>
      <c r="JJ324" s="110"/>
      <c r="JK324" s="110"/>
      <c r="JL324" s="110"/>
      <c r="JM324" s="110"/>
      <c r="JN324" s="110"/>
      <c r="JO324" s="110"/>
      <c r="JP324" s="110"/>
      <c r="JQ324" s="110"/>
      <c r="JR324" s="110"/>
      <c r="JS324" s="110"/>
      <c r="JT324" s="110"/>
      <c r="JU324" s="110"/>
      <c r="JV324" s="110"/>
      <c r="JW324" s="110"/>
      <c r="JX324" s="110"/>
      <c r="JY324" s="110"/>
      <c r="JZ324" s="110"/>
      <c r="KA324" s="110"/>
      <c r="KB324" s="110"/>
      <c r="KC324" s="110"/>
      <c r="KD324" s="110"/>
      <c r="KE324" s="110"/>
      <c r="KF324" s="110"/>
      <c r="KG324" s="110"/>
      <c r="KH324" s="110"/>
      <c r="KI324" s="110"/>
      <c r="KJ324" s="110"/>
      <c r="KK324" s="110"/>
      <c r="KL324" s="110"/>
      <c r="KM324" s="110"/>
      <c r="KN324" s="110"/>
      <c r="KO324" s="110"/>
      <c r="KP324" s="110"/>
      <c r="KQ324" s="110"/>
      <c r="KR324" s="110"/>
      <c r="KS324" s="110"/>
      <c r="KT324" s="110"/>
      <c r="KU324" s="110"/>
      <c r="KV324" s="110"/>
      <c r="KW324" s="110"/>
      <c r="KX324" s="110"/>
      <c r="KY324" s="110"/>
      <c r="KZ324" s="110"/>
      <c r="LA324" s="110"/>
      <c r="LB324" s="110"/>
      <c r="LC324" s="110"/>
      <c r="LD324" s="110"/>
      <c r="LE324" s="110"/>
      <c r="LF324" s="110"/>
      <c r="LG324" s="110"/>
      <c r="LH324" s="110"/>
      <c r="LI324" s="110"/>
      <c r="LJ324" s="110"/>
      <c r="LK324" s="110"/>
      <c r="LL324" s="110"/>
      <c r="LM324" s="110"/>
      <c r="LN324" s="110"/>
      <c r="LO324" s="110"/>
      <c r="LP324" s="110"/>
      <c r="LQ324" s="110"/>
      <c r="LR324" s="110"/>
      <c r="LS324" s="110"/>
      <c r="LT324" s="110"/>
      <c r="LU324" s="110"/>
      <c r="LV324" s="110"/>
      <c r="LW324" s="110"/>
      <c r="LX324" s="110"/>
      <c r="LY324" s="110"/>
      <c r="LZ324" s="110"/>
      <c r="MA324" s="110"/>
      <c r="MB324" s="110"/>
      <c r="MC324" s="110"/>
      <c r="MD324" s="110"/>
      <c r="ME324" s="110"/>
      <c r="MF324" s="110"/>
      <c r="MG324" s="110"/>
      <c r="MH324" s="110"/>
      <c r="MI324" s="110"/>
      <c r="MJ324" s="110"/>
      <c r="MK324" s="110"/>
      <c r="ML324" s="110"/>
      <c r="MM324" s="110"/>
      <c r="MN324" s="110"/>
      <c r="MO324" s="110"/>
      <c r="MP324" s="110"/>
      <c r="MQ324" s="110"/>
      <c r="MR324" s="110"/>
      <c r="MS324" s="110"/>
      <c r="MT324" s="110"/>
      <c r="MU324" s="110"/>
      <c r="MV324" s="110"/>
      <c r="MW324" s="110"/>
      <c r="MX324" s="110"/>
      <c r="MY324" s="110"/>
      <c r="MZ324" s="110"/>
      <c r="NA324" s="110"/>
      <c r="NB324" s="110"/>
      <c r="NC324" s="110"/>
      <c r="ND324" s="110"/>
      <c r="NE324" s="110"/>
      <c r="NF324" s="110"/>
      <c r="NG324" s="110"/>
      <c r="NH324" s="110"/>
      <c r="NI324" s="110"/>
      <c r="NJ324" s="110"/>
      <c r="NK324" s="110"/>
      <c r="NL324" s="110"/>
      <c r="NM324" s="110"/>
      <c r="NN324" s="110"/>
      <c r="NO324" s="110"/>
      <c r="NP324" s="110"/>
      <c r="NQ324" s="110"/>
      <c r="NR324" s="110"/>
      <c r="NS324" s="110"/>
      <c r="NT324" s="110"/>
      <c r="NU324" s="110"/>
      <c r="NV324" s="110"/>
      <c r="NW324" s="110"/>
      <c r="NX324" s="110"/>
      <c r="NY324" s="110"/>
      <c r="NZ324" s="110"/>
      <c r="OA324" s="110"/>
      <c r="OB324" s="110"/>
      <c r="OC324" s="110"/>
      <c r="OD324" s="110"/>
      <c r="OE324" s="110"/>
      <c r="OF324" s="110"/>
      <c r="OG324" s="110"/>
      <c r="OH324" s="110"/>
      <c r="OI324" s="110"/>
      <c r="OJ324" s="110"/>
      <c r="OK324" s="110"/>
      <c r="OL324" s="110"/>
      <c r="OM324" s="110"/>
      <c r="ON324" s="110"/>
      <c r="OO324" s="110"/>
      <c r="OP324" s="110"/>
      <c r="OQ324" s="110"/>
      <c r="OR324" s="110"/>
      <c r="OS324" s="110"/>
      <c r="OT324" s="110"/>
      <c r="OU324" s="110"/>
      <c r="OV324" s="110"/>
      <c r="OW324" s="110"/>
      <c r="OX324" s="110"/>
      <c r="OY324" s="110"/>
      <c r="OZ324" s="110"/>
      <c r="PA324" s="110"/>
      <c r="PB324" s="110"/>
      <c r="PC324" s="110"/>
      <c r="PD324" s="110"/>
      <c r="PE324" s="110"/>
      <c r="PF324" s="110"/>
      <c r="PG324" s="110"/>
      <c r="PH324" s="110"/>
      <c r="PI324" s="110"/>
      <c r="PJ324" s="110"/>
      <c r="PK324" s="110"/>
      <c r="PL324" s="110"/>
      <c r="PM324" s="110"/>
      <c r="PN324" s="110"/>
      <c r="PO324" s="110"/>
      <c r="PP324" s="110"/>
      <c r="PQ324" s="110"/>
      <c r="PR324" s="110"/>
      <c r="PS324" s="110"/>
      <c r="PT324" s="110"/>
      <c r="PU324" s="110"/>
      <c r="PV324" s="110"/>
      <c r="PW324" s="110"/>
      <c r="PX324" s="110"/>
      <c r="PY324" s="110"/>
      <c r="PZ324" s="110"/>
      <c r="QA324" s="110"/>
      <c r="QB324" s="110"/>
      <c r="QC324" s="110"/>
      <c r="QD324" s="110"/>
      <c r="QE324" s="110"/>
      <c r="QF324" s="110"/>
      <c r="QG324" s="110"/>
      <c r="QH324" s="110"/>
      <c r="QI324" s="110"/>
      <c r="QJ324" s="110"/>
      <c r="QK324" s="110"/>
      <c r="QL324" s="110"/>
      <c r="QM324" s="110"/>
      <c r="QN324" s="110"/>
      <c r="QO324" s="110"/>
      <c r="QP324" s="110"/>
      <c r="QQ324" s="110"/>
      <c r="QR324" s="110"/>
      <c r="QS324" s="110"/>
      <c r="QT324" s="110"/>
      <c r="QU324" s="110"/>
      <c r="QV324" s="110"/>
      <c r="QW324" s="110"/>
      <c r="QX324" s="110"/>
      <c r="QY324" s="110"/>
      <c r="QZ324" s="110"/>
      <c r="RA324" s="110"/>
      <c r="RB324" s="110"/>
      <c r="RC324" s="110"/>
      <c r="RD324" s="110"/>
      <c r="RE324" s="110"/>
      <c r="RF324" s="110"/>
      <c r="RG324" s="110"/>
      <c r="RH324" s="110"/>
      <c r="RI324" s="110"/>
      <c r="RJ324" s="110"/>
      <c r="RK324" s="110"/>
      <c r="RL324" s="110"/>
      <c r="RM324" s="110"/>
      <c r="RN324" s="110"/>
      <c r="RO324" s="110"/>
      <c r="RP324" s="110"/>
      <c r="RQ324" s="110"/>
      <c r="RR324" s="110"/>
      <c r="RS324" s="110"/>
      <c r="RT324" s="110"/>
      <c r="RU324" s="110"/>
      <c r="RV324" s="110"/>
      <c r="RW324" s="110"/>
      <c r="RX324" s="110"/>
      <c r="RY324" s="110"/>
      <c r="RZ324" s="110"/>
      <c r="SA324" s="110"/>
      <c r="SB324" s="110"/>
      <c r="SC324" s="110"/>
      <c r="SD324" s="110"/>
      <c r="SE324" s="110"/>
      <c r="SF324" s="110"/>
      <c r="SG324" s="110"/>
      <c r="SH324" s="110"/>
      <c r="SI324" s="110"/>
      <c r="SJ324" s="110"/>
      <c r="SK324" s="110"/>
      <c r="SL324" s="110"/>
      <c r="SM324" s="110"/>
      <c r="SN324" s="110"/>
      <c r="SO324" s="110"/>
      <c r="SP324" s="110"/>
      <c r="SQ324" s="110"/>
      <c r="SR324" s="110"/>
      <c r="SS324" s="110"/>
      <c r="ST324" s="110"/>
      <c r="SU324" s="110"/>
      <c r="SV324" s="110"/>
      <c r="SW324" s="110"/>
      <c r="SX324" s="110"/>
      <c r="SY324" s="110"/>
      <c r="SZ324" s="110"/>
      <c r="TA324" s="110"/>
      <c r="TB324" s="110"/>
      <c r="TC324" s="110"/>
      <c r="TD324" s="110"/>
      <c r="TE324" s="110"/>
      <c r="TF324" s="110"/>
      <c r="TG324" s="110"/>
      <c r="TH324" s="110"/>
      <c r="TI324" s="110"/>
      <c r="TJ324" s="110"/>
      <c r="TK324" s="110"/>
      <c r="TL324" s="110"/>
      <c r="TM324" s="110"/>
      <c r="TN324" s="110"/>
      <c r="TO324" s="110"/>
      <c r="TP324" s="110"/>
      <c r="TQ324" s="110"/>
      <c r="TR324" s="110"/>
      <c r="TS324" s="110"/>
      <c r="TT324" s="110"/>
      <c r="TU324" s="110"/>
      <c r="TV324" s="110"/>
      <c r="TW324" s="110"/>
      <c r="TX324" s="110"/>
      <c r="TY324" s="110"/>
      <c r="TZ324" s="110"/>
      <c r="UA324" s="110"/>
      <c r="UB324" s="110"/>
      <c r="UC324" s="110"/>
      <c r="UD324" s="110"/>
      <c r="UE324" s="110"/>
      <c r="UF324" s="110"/>
      <c r="UG324" s="110"/>
      <c r="UH324" s="110"/>
      <c r="UI324" s="110"/>
      <c r="UJ324" s="110"/>
      <c r="UK324" s="110"/>
      <c r="UL324" s="110"/>
      <c r="UM324" s="110"/>
      <c r="UN324" s="110"/>
      <c r="UO324" s="110"/>
      <c r="UP324" s="110"/>
      <c r="UQ324" s="110"/>
      <c r="UR324" s="110"/>
      <c r="US324" s="110"/>
      <c r="UT324" s="110"/>
      <c r="UU324" s="110"/>
      <c r="UV324" s="110"/>
      <c r="UW324" s="110"/>
      <c r="UX324" s="110"/>
      <c r="UY324" s="110"/>
      <c r="UZ324" s="110"/>
      <c r="VA324" s="110"/>
      <c r="VB324" s="110"/>
      <c r="VC324" s="110"/>
      <c r="VD324" s="110"/>
      <c r="VE324" s="110"/>
      <c r="VF324" s="110"/>
      <c r="VG324" s="110"/>
      <c r="VH324" s="110"/>
      <c r="VI324" s="110"/>
      <c r="VJ324" s="110"/>
      <c r="VK324" s="110"/>
      <c r="VL324" s="110"/>
      <c r="VM324" s="110"/>
      <c r="VN324" s="110"/>
      <c r="VO324" s="110"/>
      <c r="VP324" s="110"/>
      <c r="VQ324" s="110"/>
      <c r="VR324" s="110"/>
      <c r="VS324" s="110"/>
      <c r="VT324" s="110"/>
      <c r="VU324" s="110"/>
      <c r="VV324" s="110"/>
      <c r="VW324" s="110"/>
      <c r="VX324" s="110"/>
      <c r="VY324" s="110"/>
      <c r="VZ324" s="110"/>
      <c r="WA324" s="110"/>
      <c r="WB324" s="110"/>
      <c r="WC324" s="110"/>
      <c r="WD324" s="110"/>
      <c r="WE324" s="110"/>
      <c r="WF324" s="110"/>
      <c r="WG324" s="110"/>
      <c r="WH324" s="110"/>
      <c r="WI324" s="110"/>
      <c r="WJ324" s="110"/>
      <c r="WK324" s="110"/>
      <c r="WL324" s="110"/>
      <c r="WM324" s="110"/>
      <c r="WN324" s="110"/>
      <c r="WO324" s="110"/>
      <c r="WP324" s="110"/>
      <c r="WQ324" s="110"/>
      <c r="WR324" s="110"/>
      <c r="WS324" s="110"/>
      <c r="WT324" s="110"/>
      <c r="WU324" s="110"/>
      <c r="WV324" s="110"/>
      <c r="WW324" s="110"/>
      <c r="WX324" s="110"/>
      <c r="WY324" s="110"/>
      <c r="WZ324" s="110"/>
      <c r="XA324" s="110"/>
      <c r="XB324" s="110"/>
      <c r="XC324" s="110"/>
      <c r="XD324" s="110"/>
      <c r="XE324" s="110"/>
      <c r="XF324" s="110"/>
      <c r="XG324" s="110"/>
      <c r="XH324" s="110"/>
      <c r="XI324" s="110"/>
      <c r="XJ324" s="110"/>
      <c r="XK324" s="110"/>
      <c r="XL324" s="110"/>
      <c r="XM324" s="110"/>
      <c r="XN324" s="110"/>
      <c r="XO324" s="110"/>
      <c r="XP324" s="110"/>
      <c r="XQ324" s="110"/>
      <c r="XR324" s="110"/>
      <c r="XS324" s="110"/>
      <c r="XT324" s="110"/>
      <c r="XU324" s="110"/>
      <c r="XV324" s="110"/>
      <c r="XW324" s="110"/>
      <c r="XX324" s="110"/>
      <c r="XY324" s="110"/>
      <c r="XZ324" s="110"/>
      <c r="YA324" s="110"/>
      <c r="YB324" s="110"/>
      <c r="YC324" s="110"/>
      <c r="YD324" s="110"/>
      <c r="YE324" s="110"/>
      <c r="YF324" s="110"/>
      <c r="YG324" s="110"/>
      <c r="YH324" s="110"/>
      <c r="YI324" s="110"/>
      <c r="YJ324" s="110"/>
      <c r="YK324" s="110"/>
      <c r="YL324" s="110"/>
      <c r="YM324" s="110"/>
      <c r="YN324" s="110"/>
      <c r="YO324" s="110"/>
      <c r="YP324" s="110"/>
      <c r="YQ324" s="110"/>
      <c r="YR324" s="110"/>
      <c r="YS324" s="110"/>
      <c r="YT324" s="110"/>
      <c r="YU324" s="110"/>
      <c r="YV324" s="110"/>
      <c r="YW324" s="110"/>
      <c r="YX324" s="110"/>
      <c r="YY324" s="110"/>
      <c r="YZ324" s="110"/>
      <c r="ZA324" s="110"/>
      <c r="ZB324" s="110"/>
      <c r="ZC324" s="110"/>
      <c r="ZD324" s="110"/>
      <c r="ZE324" s="110"/>
      <c r="ZF324" s="110"/>
      <c r="ZG324" s="110"/>
      <c r="ZH324" s="110"/>
      <c r="ZI324" s="110"/>
      <c r="ZJ324" s="110"/>
      <c r="ZK324" s="110"/>
      <c r="ZL324" s="110"/>
      <c r="ZM324" s="110"/>
      <c r="ZN324" s="110"/>
      <c r="ZO324" s="110"/>
      <c r="ZP324" s="110"/>
      <c r="ZQ324" s="110"/>
      <c r="ZR324" s="110"/>
      <c r="ZS324" s="110"/>
      <c r="ZT324" s="110"/>
      <c r="ZU324" s="110"/>
      <c r="ZV324" s="110"/>
      <c r="ZW324" s="110"/>
      <c r="ZX324" s="110"/>
      <c r="ZY324" s="110"/>
      <c r="ZZ324" s="110"/>
      <c r="AAA324" s="110"/>
      <c r="AAB324" s="110"/>
      <c r="AAC324" s="110"/>
      <c r="AAD324" s="110"/>
      <c r="AAE324" s="110"/>
      <c r="AAF324" s="110"/>
      <c r="AAG324" s="110"/>
      <c r="AAH324" s="110"/>
      <c r="AAI324" s="110"/>
      <c r="AAJ324" s="110"/>
      <c r="AAK324" s="110"/>
      <c r="AAL324" s="110"/>
      <c r="AAM324" s="110"/>
      <c r="AAN324" s="110"/>
      <c r="AAO324" s="110"/>
      <c r="AAP324" s="110"/>
      <c r="AAQ324" s="110"/>
      <c r="AAR324" s="110"/>
      <c r="AAS324" s="110"/>
      <c r="AAT324" s="110"/>
      <c r="AAU324" s="110"/>
      <c r="AAV324" s="110"/>
      <c r="AAW324" s="110"/>
      <c r="AAX324" s="110"/>
      <c r="AAY324" s="110"/>
      <c r="AAZ324" s="110"/>
      <c r="ABA324" s="110"/>
      <c r="ABB324" s="110"/>
      <c r="ABC324" s="110"/>
      <c r="ABD324" s="110"/>
      <c r="ABE324" s="110"/>
      <c r="ABF324" s="110"/>
      <c r="ABG324" s="110"/>
      <c r="ABH324" s="110"/>
      <c r="ABI324" s="110"/>
      <c r="ABJ324" s="110"/>
      <c r="ABK324" s="110"/>
      <c r="ABL324" s="110"/>
      <c r="ABM324" s="110"/>
      <c r="ABN324" s="110"/>
      <c r="ABO324" s="110"/>
      <c r="ABP324" s="110"/>
      <c r="ABQ324" s="110"/>
      <c r="ABR324" s="110"/>
      <c r="ABS324" s="110"/>
      <c r="ABT324" s="110"/>
      <c r="ABU324" s="110"/>
      <c r="ABV324" s="110"/>
      <c r="ABW324" s="110"/>
      <c r="ABX324" s="110"/>
      <c r="ABY324" s="110"/>
      <c r="ABZ324" s="110"/>
      <c r="ACA324" s="110"/>
      <c r="ACB324" s="110"/>
      <c r="ACC324" s="110"/>
      <c r="ACD324" s="110"/>
      <c r="ACE324" s="110"/>
      <c r="ACF324" s="110"/>
      <c r="ACG324" s="110"/>
      <c r="ACH324" s="110"/>
      <c r="ACI324" s="110"/>
      <c r="ACJ324" s="110"/>
      <c r="ACK324" s="110"/>
      <c r="ACL324" s="110"/>
      <c r="ACM324" s="110"/>
      <c r="ACN324" s="110"/>
      <c r="ACO324" s="110"/>
      <c r="ACP324" s="110"/>
      <c r="ACQ324" s="110"/>
      <c r="ACR324" s="110"/>
      <c r="ACS324" s="110"/>
      <c r="ACT324" s="110"/>
      <c r="ACU324" s="110"/>
      <c r="ACV324" s="110"/>
      <c r="ACW324" s="110"/>
      <c r="ACX324" s="110"/>
      <c r="ACY324" s="110"/>
      <c r="ACZ324" s="110"/>
      <c r="ADA324" s="110"/>
      <c r="ADB324" s="110"/>
      <c r="ADC324" s="110"/>
      <c r="ADD324" s="110"/>
      <c r="ADE324" s="110"/>
      <c r="ADF324" s="110"/>
      <c r="ADG324" s="110"/>
      <c r="ADH324" s="110"/>
      <c r="ADI324" s="110"/>
      <c r="ADJ324" s="110"/>
      <c r="ADK324" s="110"/>
      <c r="ADL324" s="110"/>
      <c r="ADM324" s="110"/>
      <c r="ADN324" s="110"/>
      <c r="ADO324" s="110"/>
      <c r="ADP324" s="110"/>
      <c r="ADQ324" s="110"/>
      <c r="ADR324" s="110"/>
      <c r="ADS324" s="110"/>
      <c r="ADT324" s="110"/>
      <c r="ADU324" s="110"/>
      <c r="ADV324" s="110"/>
      <c r="ADW324" s="110"/>
      <c r="ADX324" s="110"/>
      <c r="ADY324" s="110"/>
      <c r="ADZ324" s="110"/>
      <c r="AEA324" s="110"/>
      <c r="AEB324" s="110"/>
      <c r="AEC324" s="110"/>
      <c r="AED324" s="110"/>
      <c r="AEE324" s="110"/>
      <c r="AEF324" s="110"/>
      <c r="AEG324" s="110"/>
      <c r="AEH324" s="110"/>
      <c r="AEI324" s="110"/>
      <c r="AEJ324" s="110"/>
      <c r="AEK324" s="110"/>
      <c r="AEL324" s="110"/>
      <c r="AEM324" s="110"/>
      <c r="AEN324" s="110"/>
      <c r="AEO324" s="110"/>
      <c r="AEP324" s="110"/>
      <c r="AEQ324" s="110"/>
      <c r="AER324" s="110"/>
      <c r="AES324" s="110"/>
      <c r="AET324" s="110"/>
      <c r="AEU324" s="110"/>
      <c r="AEV324" s="110"/>
      <c r="AEW324" s="110"/>
      <c r="AEX324" s="110"/>
      <c r="AEY324" s="110"/>
      <c r="AEZ324" s="110"/>
      <c r="AFA324" s="110"/>
      <c r="AFB324" s="110"/>
      <c r="AFC324" s="110"/>
      <c r="AFD324" s="110"/>
      <c r="AFE324" s="110"/>
      <c r="AFF324" s="110"/>
      <c r="AFG324" s="110"/>
      <c r="AFH324" s="110"/>
      <c r="AFI324" s="110"/>
      <c r="AFJ324" s="110"/>
      <c r="AFK324" s="110"/>
      <c r="AFL324" s="110"/>
      <c r="AFM324" s="110"/>
      <c r="AFN324" s="110"/>
      <c r="AFO324" s="110"/>
      <c r="AFP324" s="110"/>
      <c r="AFQ324" s="110"/>
      <c r="AFR324" s="110"/>
      <c r="AFS324" s="110"/>
      <c r="AFT324" s="110"/>
      <c r="AFU324" s="110"/>
      <c r="AFV324" s="110"/>
      <c r="AFW324" s="110"/>
      <c r="AFX324" s="110"/>
      <c r="AFY324" s="110"/>
      <c r="AFZ324" s="110"/>
      <c r="AGA324" s="110"/>
      <c r="AGB324" s="110"/>
      <c r="AGC324" s="110"/>
      <c r="AGD324" s="110"/>
      <c r="AGE324" s="110"/>
      <c r="AGF324" s="110"/>
      <c r="AGG324" s="110"/>
      <c r="AGH324" s="110"/>
      <c r="AGI324" s="110"/>
      <c r="AGJ324" s="110"/>
      <c r="AGK324" s="110"/>
      <c r="AGL324" s="110"/>
      <c r="AGM324" s="110"/>
      <c r="AGN324" s="110"/>
      <c r="AGO324" s="110"/>
      <c r="AGP324" s="110"/>
      <c r="AGQ324" s="110"/>
      <c r="AGR324" s="110"/>
      <c r="AGS324" s="110"/>
      <c r="AGT324" s="110"/>
      <c r="AGU324" s="110"/>
      <c r="AGV324" s="110"/>
      <c r="AGW324" s="110"/>
      <c r="AGX324" s="110"/>
      <c r="AGY324" s="110"/>
      <c r="AGZ324" s="110"/>
      <c r="AHA324" s="110"/>
      <c r="AHB324" s="110"/>
      <c r="AHC324" s="110"/>
      <c r="AHD324" s="110"/>
      <c r="AHE324" s="110"/>
      <c r="AHF324" s="110"/>
      <c r="AHG324" s="110"/>
      <c r="AHH324" s="110"/>
      <c r="AHI324" s="110"/>
      <c r="AHJ324" s="110"/>
      <c r="AHK324" s="110"/>
      <c r="AHL324" s="110"/>
      <c r="AHM324" s="110"/>
      <c r="AHN324" s="110"/>
      <c r="AHO324" s="110"/>
      <c r="AHP324" s="110"/>
      <c r="AHQ324" s="110"/>
      <c r="AHR324" s="110"/>
      <c r="AHS324" s="110"/>
      <c r="AHT324" s="110"/>
      <c r="AHU324" s="110"/>
      <c r="AHV324" s="110"/>
      <c r="AHW324" s="110"/>
      <c r="AHX324" s="110"/>
      <c r="AHY324" s="110"/>
      <c r="AHZ324" s="110"/>
      <c r="AIA324" s="110"/>
      <c r="AIB324" s="110"/>
      <c r="AIC324" s="110"/>
      <c r="AID324" s="110"/>
      <c r="AIE324" s="110"/>
      <c r="AIF324" s="110"/>
      <c r="AIG324" s="110"/>
      <c r="AIH324" s="110"/>
      <c r="AII324" s="110"/>
      <c r="AIJ324" s="110"/>
      <c r="AIK324" s="110"/>
      <c r="AIL324" s="110"/>
      <c r="AIM324" s="110"/>
      <c r="AIN324" s="110"/>
      <c r="AIO324" s="110"/>
      <c r="AIP324" s="110"/>
      <c r="AIQ324" s="110"/>
      <c r="AIR324" s="110"/>
      <c r="AIS324" s="110"/>
      <c r="AIT324" s="110"/>
      <c r="AIU324" s="110"/>
      <c r="AIV324" s="110"/>
      <c r="AIW324" s="110"/>
      <c r="AIX324" s="110"/>
      <c r="AIY324" s="110"/>
      <c r="AIZ324" s="110"/>
      <c r="AJA324" s="110"/>
      <c r="AJB324" s="110"/>
      <c r="AJC324" s="110"/>
      <c r="AJD324" s="110"/>
      <c r="AJE324" s="110"/>
      <c r="AJF324" s="110"/>
      <c r="AJG324" s="110"/>
      <c r="AJH324" s="110"/>
      <c r="AJI324" s="110"/>
      <c r="AJJ324" s="110"/>
      <c r="AJK324" s="110"/>
      <c r="AJL324" s="110"/>
      <c r="AJM324" s="110"/>
      <c r="AJN324" s="110"/>
      <c r="AJO324" s="110"/>
      <c r="AJP324" s="110"/>
      <c r="AJQ324" s="110"/>
      <c r="AJR324" s="110"/>
      <c r="AJS324" s="110"/>
      <c r="AJT324" s="110"/>
      <c r="AJU324" s="110"/>
      <c r="AJV324" s="110"/>
      <c r="AJW324" s="110"/>
      <c r="AJX324" s="110"/>
      <c r="AJY324" s="110"/>
      <c r="AJZ324" s="110"/>
      <c r="AKA324" s="110"/>
      <c r="AKB324" s="110"/>
      <c r="AKC324" s="110"/>
      <c r="AKD324" s="110"/>
      <c r="AKE324" s="110"/>
      <c r="AKF324" s="110"/>
      <c r="AKG324" s="110"/>
      <c r="AKH324" s="110"/>
      <c r="AKI324" s="110"/>
      <c r="AKJ324" s="110"/>
      <c r="AKK324" s="110"/>
      <c r="AKL324" s="110"/>
      <c r="AKM324" s="110"/>
      <c r="AKN324" s="110"/>
      <c r="AKO324" s="110"/>
      <c r="AKP324" s="110"/>
      <c r="AKQ324" s="110"/>
      <c r="AKR324" s="110"/>
      <c r="AKS324" s="110"/>
      <c r="AKT324" s="110"/>
      <c r="AKU324" s="110"/>
      <c r="AKV324" s="110"/>
      <c r="AKW324" s="110"/>
      <c r="AKX324" s="110"/>
      <c r="AKY324" s="110"/>
      <c r="AKZ324" s="110"/>
      <c r="ALA324" s="110"/>
      <c r="ALB324" s="110"/>
      <c r="ALC324" s="110"/>
      <c r="ALD324" s="110"/>
      <c r="ALE324" s="110"/>
      <c r="ALF324" s="110"/>
      <c r="ALG324" s="110"/>
      <c r="ALH324" s="110"/>
      <c r="ALI324" s="110"/>
      <c r="ALJ324" s="110"/>
      <c r="ALK324" s="110"/>
      <c r="ALL324" s="110"/>
      <c r="ALM324" s="110"/>
      <c r="ALN324" s="110"/>
      <c r="ALO324" s="110"/>
      <c r="ALP324" s="110"/>
      <c r="ALQ324" s="110"/>
      <c r="ALR324" s="110"/>
      <c r="ALS324" s="110"/>
      <c r="ALT324" s="110"/>
      <c r="ALU324" s="110"/>
      <c r="ALV324" s="110"/>
      <c r="ALW324" s="110"/>
      <c r="ALX324" s="110"/>
      <c r="ALY324" s="110"/>
      <c r="ALZ324" s="110"/>
      <c r="AMA324" s="110"/>
      <c r="AMB324" s="110"/>
      <c r="AMC324" s="110"/>
      <c r="AMD324" s="110"/>
      <c r="AME324" s="110"/>
      <c r="AMF324" s="110"/>
    </row>
    <row r="325" spans="1:1020" s="142" customFormat="1" ht="11.25" customHeight="1">
      <c r="A325" s="143" t="s">
        <v>474</v>
      </c>
      <c r="B325" s="141">
        <v>1</v>
      </c>
      <c r="C325" s="126">
        <v>318</v>
      </c>
      <c r="D325" s="127" t="s">
        <v>499</v>
      </c>
      <c r="E325" s="194">
        <v>243</v>
      </c>
      <c r="F325" s="125">
        <f>ROUND(E325*Valores!$C$2,2)</f>
        <v>13231.35</v>
      </c>
      <c r="G325" s="192">
        <v>0</v>
      </c>
      <c r="H325" s="125">
        <f>ROUND(G325*Valores!$C$2,2)</f>
        <v>0</v>
      </c>
      <c r="I325" s="192">
        <v>0</v>
      </c>
      <c r="J325" s="125">
        <f>ROUND(I325*Valores!$C$2,2)</f>
        <v>0</v>
      </c>
      <c r="K325" s="192">
        <v>0</v>
      </c>
      <c r="L325" s="125">
        <f>ROUND(K325*Valores!$C$2,2)</f>
        <v>0</v>
      </c>
      <c r="M325" s="125">
        <f>ROUND(IF($H$2=0,IF(AND(A325&lt;&gt;"13-930",A325&lt;&gt;"13-940"),(SUM(F325,H325,J325,L325,X325,T325,R325)*Valores!$C$4),0),0),2)</f>
        <v>0</v>
      </c>
      <c r="N325" s="125">
        <f t="shared" si="42"/>
        <v>0</v>
      </c>
      <c r="O325" s="125">
        <v>0</v>
      </c>
      <c r="P325" s="125">
        <v>0</v>
      </c>
      <c r="Q325" s="125">
        <v>0</v>
      </c>
      <c r="R325" s="125">
        <f>IF($F$4="NO",Valores!$C$50,Valores!$C$50/2)</f>
        <v>1446.04</v>
      </c>
      <c r="S325" s="125">
        <v>0</v>
      </c>
      <c r="T325" s="125">
        <f t="shared" si="51"/>
        <v>0</v>
      </c>
      <c r="U325" s="125">
        <v>0</v>
      </c>
      <c r="V325" s="125">
        <v>0</v>
      </c>
      <c r="W325" s="192">
        <v>0</v>
      </c>
      <c r="X325" s="125">
        <f>ROUND(W325*Valores!$C$2,2)</f>
        <v>0</v>
      </c>
      <c r="Y325" s="125">
        <v>0</v>
      </c>
      <c r="Z325" s="125">
        <f>Valores!$C$98</f>
        <v>3811.38</v>
      </c>
      <c r="AA325" s="125">
        <v>0</v>
      </c>
      <c r="AB325" s="214">
        <v>0</v>
      </c>
      <c r="AC325" s="125">
        <f t="shared" si="43"/>
        <v>0</v>
      </c>
      <c r="AD325" s="125">
        <v>0</v>
      </c>
      <c r="AE325" s="192">
        <v>0</v>
      </c>
      <c r="AF325" s="125">
        <f>ROUND(AE325*Valores!$C$2,2)</f>
        <v>0</v>
      </c>
      <c r="AG325" s="125">
        <f>Valores!$C$64</f>
        <v>1310.4</v>
      </c>
      <c r="AH325" s="125">
        <f t="shared" si="46"/>
        <v>19799.170000000002</v>
      </c>
      <c r="AI325" s="125">
        <v>0</v>
      </c>
      <c r="AJ325" s="125">
        <f>Valores!$C$91</f>
        <v>0</v>
      </c>
      <c r="AK325" s="125">
        <v>0</v>
      </c>
      <c r="AL325" s="125">
        <v>0</v>
      </c>
      <c r="AM325" s="125">
        <f t="shared" si="44"/>
        <v>0</v>
      </c>
      <c r="AN325" s="125">
        <f>AH325*Valores!$C$71</f>
        <v>-2177.9087000000004</v>
      </c>
      <c r="AO325" s="125">
        <f>AH325*-Valores!$C$72</f>
        <v>0</v>
      </c>
      <c r="AP325" s="125">
        <f>AH325*Valores!$C$73</f>
        <v>-890.96265</v>
      </c>
      <c r="AQ325" s="125">
        <v>0</v>
      </c>
      <c r="AR325" s="125">
        <v>0</v>
      </c>
      <c r="AS325" s="125">
        <f t="shared" si="47"/>
        <v>16730.29865</v>
      </c>
      <c r="AT325" s="125">
        <f t="shared" si="41"/>
        <v>-2177.9087000000004</v>
      </c>
      <c r="AU325" s="125">
        <f>AH325*Valores!$C$74</f>
        <v>-534.5775900000001</v>
      </c>
      <c r="AV325" s="125">
        <f>AH325*Valores!$C$75</f>
        <v>-59.397510000000004</v>
      </c>
      <c r="AW325" s="125">
        <f t="shared" si="45"/>
        <v>17027.286200000002</v>
      </c>
      <c r="AX325" s="126"/>
      <c r="AY325" s="126"/>
      <c r="AZ325" s="123" t="s">
        <v>4</v>
      </c>
      <c r="BA325" s="110"/>
      <c r="BB325" s="110"/>
      <c r="BC325" s="110"/>
      <c r="BD325" s="110"/>
      <c r="BE325" s="110"/>
      <c r="BF325" s="110"/>
      <c r="BG325" s="110"/>
      <c r="BH325" s="110"/>
      <c r="BI325" s="110"/>
      <c r="BJ325" s="110"/>
      <c r="BK325" s="110"/>
      <c r="BL325" s="110"/>
      <c r="BM325" s="110"/>
      <c r="BN325" s="110"/>
      <c r="BO325" s="110"/>
      <c r="BP325" s="110"/>
      <c r="BQ325" s="110"/>
      <c r="BR325" s="110"/>
      <c r="BS325" s="110"/>
      <c r="BT325" s="110"/>
      <c r="BU325" s="110"/>
      <c r="BV325" s="110"/>
      <c r="BW325" s="110"/>
      <c r="BX325" s="110"/>
      <c r="BY325" s="110"/>
      <c r="BZ325" s="110"/>
      <c r="CA325" s="110"/>
      <c r="CB325" s="110"/>
      <c r="CC325" s="110"/>
      <c r="CD325" s="110"/>
      <c r="CE325" s="110"/>
      <c r="CF325" s="110"/>
      <c r="CG325" s="110"/>
      <c r="CH325" s="110"/>
      <c r="CI325" s="110"/>
      <c r="CJ325" s="110"/>
      <c r="CK325" s="110"/>
      <c r="CL325" s="110"/>
      <c r="CM325" s="110"/>
      <c r="CN325" s="110"/>
      <c r="CO325" s="110"/>
      <c r="CP325" s="110"/>
      <c r="CQ325" s="110"/>
      <c r="CR325" s="110"/>
      <c r="CS325" s="110"/>
      <c r="CT325" s="110"/>
      <c r="CU325" s="110"/>
      <c r="CV325" s="110"/>
      <c r="CW325" s="110"/>
      <c r="CX325" s="110"/>
      <c r="CY325" s="110"/>
      <c r="CZ325" s="110"/>
      <c r="DA325" s="110"/>
      <c r="DB325" s="110"/>
      <c r="DC325" s="110"/>
      <c r="DD325" s="110"/>
      <c r="DE325" s="110"/>
      <c r="DF325" s="110"/>
      <c r="DG325" s="110"/>
      <c r="DH325" s="110"/>
      <c r="DI325" s="110"/>
      <c r="DJ325" s="110"/>
      <c r="DK325" s="110"/>
      <c r="DL325" s="110"/>
      <c r="DM325" s="110"/>
      <c r="DN325" s="110"/>
      <c r="DO325" s="110"/>
      <c r="DP325" s="110"/>
      <c r="DQ325" s="110"/>
      <c r="DR325" s="110"/>
      <c r="DS325" s="110"/>
      <c r="DT325" s="110"/>
      <c r="DU325" s="110"/>
      <c r="DV325" s="110"/>
      <c r="DW325" s="110"/>
      <c r="DX325" s="110"/>
      <c r="DY325" s="110"/>
      <c r="DZ325" s="110"/>
      <c r="EA325" s="110"/>
      <c r="EB325" s="110"/>
      <c r="EC325" s="110"/>
      <c r="ED325" s="110"/>
      <c r="EE325" s="110"/>
      <c r="EF325" s="110"/>
      <c r="EG325" s="110"/>
      <c r="EH325" s="110"/>
      <c r="EI325" s="110"/>
      <c r="EJ325" s="110"/>
      <c r="EK325" s="110"/>
      <c r="EL325" s="110"/>
      <c r="EM325" s="110"/>
      <c r="EN325" s="110"/>
      <c r="EO325" s="110"/>
      <c r="EP325" s="110"/>
      <c r="EQ325" s="110"/>
      <c r="ER325" s="110"/>
      <c r="ES325" s="110"/>
      <c r="ET325" s="110"/>
      <c r="EU325" s="110"/>
      <c r="EV325" s="110"/>
      <c r="EW325" s="110"/>
      <c r="EX325" s="110"/>
      <c r="EY325" s="110"/>
      <c r="EZ325" s="110"/>
      <c r="FA325" s="110"/>
      <c r="FB325" s="110"/>
      <c r="FC325" s="110"/>
      <c r="FD325" s="110"/>
      <c r="FE325" s="110"/>
      <c r="FF325" s="110"/>
      <c r="FG325" s="110"/>
      <c r="FH325" s="110"/>
      <c r="FI325" s="110"/>
      <c r="FJ325" s="110"/>
      <c r="FK325" s="110"/>
      <c r="FL325" s="110"/>
      <c r="FM325" s="110"/>
      <c r="FN325" s="110"/>
      <c r="FO325" s="110"/>
      <c r="FP325" s="110"/>
      <c r="FQ325" s="110"/>
      <c r="FR325" s="110"/>
      <c r="FS325" s="110"/>
      <c r="FT325" s="110"/>
      <c r="FU325" s="110"/>
      <c r="FV325" s="110"/>
      <c r="FW325" s="110"/>
      <c r="FX325" s="110"/>
      <c r="FY325" s="110"/>
      <c r="FZ325" s="110"/>
      <c r="GA325" s="110"/>
      <c r="GB325" s="110"/>
      <c r="GC325" s="110"/>
      <c r="GD325" s="110"/>
      <c r="GE325" s="110"/>
      <c r="GF325" s="110"/>
      <c r="GG325" s="110"/>
      <c r="GH325" s="110"/>
      <c r="GI325" s="110"/>
      <c r="GJ325" s="110"/>
      <c r="GK325" s="110"/>
      <c r="GL325" s="110"/>
      <c r="GM325" s="110"/>
      <c r="GN325" s="110"/>
      <c r="GO325" s="110"/>
      <c r="GP325" s="110"/>
      <c r="GQ325" s="110"/>
      <c r="GR325" s="110"/>
      <c r="GS325" s="110"/>
      <c r="GT325" s="110"/>
      <c r="GU325" s="110"/>
      <c r="GV325" s="110"/>
      <c r="GW325" s="110"/>
      <c r="GX325" s="110"/>
      <c r="GY325" s="110"/>
      <c r="GZ325" s="110"/>
      <c r="HA325" s="110"/>
      <c r="HB325" s="110"/>
      <c r="HC325" s="110"/>
      <c r="HD325" s="110"/>
      <c r="HE325" s="110"/>
      <c r="HF325" s="110"/>
      <c r="HG325" s="110"/>
      <c r="HH325" s="110"/>
      <c r="HI325" s="110"/>
      <c r="HJ325" s="110"/>
      <c r="HK325" s="110"/>
      <c r="HL325" s="110"/>
      <c r="HM325" s="110"/>
      <c r="HN325" s="110"/>
      <c r="HO325" s="110"/>
      <c r="HP325" s="110"/>
      <c r="HQ325" s="110"/>
      <c r="HR325" s="110"/>
      <c r="HS325" s="110"/>
      <c r="HT325" s="110"/>
      <c r="HU325" s="110"/>
      <c r="HV325" s="110"/>
      <c r="HW325" s="110"/>
      <c r="HX325" s="110"/>
      <c r="HY325" s="110"/>
      <c r="HZ325" s="110"/>
      <c r="IA325" s="110"/>
      <c r="IB325" s="110"/>
      <c r="IC325" s="110"/>
      <c r="ID325" s="110"/>
      <c r="IE325" s="110"/>
      <c r="IF325" s="110"/>
      <c r="IG325" s="110"/>
      <c r="IH325" s="110"/>
      <c r="II325" s="110"/>
      <c r="IJ325" s="110"/>
      <c r="IK325" s="110"/>
      <c r="IL325" s="110"/>
      <c r="IM325" s="110"/>
      <c r="IN325" s="110"/>
      <c r="IO325" s="110"/>
      <c r="IP325" s="110"/>
      <c r="IQ325" s="110"/>
      <c r="IR325" s="110"/>
      <c r="IS325" s="110"/>
      <c r="IT325" s="110"/>
      <c r="IU325" s="110"/>
      <c r="IV325" s="110"/>
      <c r="IW325" s="110"/>
      <c r="IX325" s="110"/>
      <c r="IY325" s="110"/>
      <c r="IZ325" s="110"/>
      <c r="JA325" s="110"/>
      <c r="JB325" s="110"/>
      <c r="JC325" s="110"/>
      <c r="JD325" s="110"/>
      <c r="JE325" s="110"/>
      <c r="JF325" s="110"/>
      <c r="JG325" s="110"/>
      <c r="JH325" s="110"/>
      <c r="JI325" s="110"/>
      <c r="JJ325" s="110"/>
      <c r="JK325" s="110"/>
      <c r="JL325" s="110"/>
      <c r="JM325" s="110"/>
      <c r="JN325" s="110"/>
      <c r="JO325" s="110"/>
      <c r="JP325" s="110"/>
      <c r="JQ325" s="110"/>
      <c r="JR325" s="110"/>
      <c r="JS325" s="110"/>
      <c r="JT325" s="110"/>
      <c r="JU325" s="110"/>
      <c r="JV325" s="110"/>
      <c r="JW325" s="110"/>
      <c r="JX325" s="110"/>
      <c r="JY325" s="110"/>
      <c r="JZ325" s="110"/>
      <c r="KA325" s="110"/>
      <c r="KB325" s="110"/>
      <c r="KC325" s="110"/>
      <c r="KD325" s="110"/>
      <c r="KE325" s="110"/>
      <c r="KF325" s="110"/>
      <c r="KG325" s="110"/>
      <c r="KH325" s="110"/>
      <c r="KI325" s="110"/>
      <c r="KJ325" s="110"/>
      <c r="KK325" s="110"/>
      <c r="KL325" s="110"/>
      <c r="KM325" s="110"/>
      <c r="KN325" s="110"/>
      <c r="KO325" s="110"/>
      <c r="KP325" s="110"/>
      <c r="KQ325" s="110"/>
      <c r="KR325" s="110"/>
      <c r="KS325" s="110"/>
      <c r="KT325" s="110"/>
      <c r="KU325" s="110"/>
      <c r="KV325" s="110"/>
      <c r="KW325" s="110"/>
      <c r="KX325" s="110"/>
      <c r="KY325" s="110"/>
      <c r="KZ325" s="110"/>
      <c r="LA325" s="110"/>
      <c r="LB325" s="110"/>
      <c r="LC325" s="110"/>
      <c r="LD325" s="110"/>
      <c r="LE325" s="110"/>
      <c r="LF325" s="110"/>
      <c r="LG325" s="110"/>
      <c r="LH325" s="110"/>
      <c r="LI325" s="110"/>
      <c r="LJ325" s="110"/>
      <c r="LK325" s="110"/>
      <c r="LL325" s="110"/>
      <c r="LM325" s="110"/>
      <c r="LN325" s="110"/>
      <c r="LO325" s="110"/>
      <c r="LP325" s="110"/>
      <c r="LQ325" s="110"/>
      <c r="LR325" s="110"/>
      <c r="LS325" s="110"/>
      <c r="LT325" s="110"/>
      <c r="LU325" s="110"/>
      <c r="LV325" s="110"/>
      <c r="LW325" s="110"/>
      <c r="LX325" s="110"/>
      <c r="LY325" s="110"/>
      <c r="LZ325" s="110"/>
      <c r="MA325" s="110"/>
      <c r="MB325" s="110"/>
      <c r="MC325" s="110"/>
      <c r="MD325" s="110"/>
      <c r="ME325" s="110"/>
      <c r="MF325" s="110"/>
      <c r="MG325" s="110"/>
      <c r="MH325" s="110"/>
      <c r="MI325" s="110"/>
      <c r="MJ325" s="110"/>
      <c r="MK325" s="110"/>
      <c r="ML325" s="110"/>
      <c r="MM325" s="110"/>
      <c r="MN325" s="110"/>
      <c r="MO325" s="110"/>
      <c r="MP325" s="110"/>
      <c r="MQ325" s="110"/>
      <c r="MR325" s="110"/>
      <c r="MS325" s="110"/>
      <c r="MT325" s="110"/>
      <c r="MU325" s="110"/>
      <c r="MV325" s="110"/>
      <c r="MW325" s="110"/>
      <c r="MX325" s="110"/>
      <c r="MY325" s="110"/>
      <c r="MZ325" s="110"/>
      <c r="NA325" s="110"/>
      <c r="NB325" s="110"/>
      <c r="NC325" s="110"/>
      <c r="ND325" s="110"/>
      <c r="NE325" s="110"/>
      <c r="NF325" s="110"/>
      <c r="NG325" s="110"/>
      <c r="NH325" s="110"/>
      <c r="NI325" s="110"/>
      <c r="NJ325" s="110"/>
      <c r="NK325" s="110"/>
      <c r="NL325" s="110"/>
      <c r="NM325" s="110"/>
      <c r="NN325" s="110"/>
      <c r="NO325" s="110"/>
      <c r="NP325" s="110"/>
      <c r="NQ325" s="110"/>
      <c r="NR325" s="110"/>
      <c r="NS325" s="110"/>
      <c r="NT325" s="110"/>
      <c r="NU325" s="110"/>
      <c r="NV325" s="110"/>
      <c r="NW325" s="110"/>
      <c r="NX325" s="110"/>
      <c r="NY325" s="110"/>
      <c r="NZ325" s="110"/>
      <c r="OA325" s="110"/>
      <c r="OB325" s="110"/>
      <c r="OC325" s="110"/>
      <c r="OD325" s="110"/>
      <c r="OE325" s="110"/>
      <c r="OF325" s="110"/>
      <c r="OG325" s="110"/>
      <c r="OH325" s="110"/>
      <c r="OI325" s="110"/>
      <c r="OJ325" s="110"/>
      <c r="OK325" s="110"/>
      <c r="OL325" s="110"/>
      <c r="OM325" s="110"/>
      <c r="ON325" s="110"/>
      <c r="OO325" s="110"/>
      <c r="OP325" s="110"/>
      <c r="OQ325" s="110"/>
      <c r="OR325" s="110"/>
      <c r="OS325" s="110"/>
      <c r="OT325" s="110"/>
      <c r="OU325" s="110"/>
      <c r="OV325" s="110"/>
      <c r="OW325" s="110"/>
      <c r="OX325" s="110"/>
      <c r="OY325" s="110"/>
      <c r="OZ325" s="110"/>
      <c r="PA325" s="110"/>
      <c r="PB325" s="110"/>
      <c r="PC325" s="110"/>
      <c r="PD325" s="110"/>
      <c r="PE325" s="110"/>
      <c r="PF325" s="110"/>
      <c r="PG325" s="110"/>
      <c r="PH325" s="110"/>
      <c r="PI325" s="110"/>
      <c r="PJ325" s="110"/>
      <c r="PK325" s="110"/>
      <c r="PL325" s="110"/>
      <c r="PM325" s="110"/>
      <c r="PN325" s="110"/>
      <c r="PO325" s="110"/>
      <c r="PP325" s="110"/>
      <c r="PQ325" s="110"/>
      <c r="PR325" s="110"/>
      <c r="PS325" s="110"/>
      <c r="PT325" s="110"/>
      <c r="PU325" s="110"/>
      <c r="PV325" s="110"/>
      <c r="PW325" s="110"/>
      <c r="PX325" s="110"/>
      <c r="PY325" s="110"/>
      <c r="PZ325" s="110"/>
      <c r="QA325" s="110"/>
      <c r="QB325" s="110"/>
      <c r="QC325" s="110"/>
      <c r="QD325" s="110"/>
      <c r="QE325" s="110"/>
      <c r="QF325" s="110"/>
      <c r="QG325" s="110"/>
      <c r="QH325" s="110"/>
      <c r="QI325" s="110"/>
      <c r="QJ325" s="110"/>
      <c r="QK325" s="110"/>
      <c r="QL325" s="110"/>
      <c r="QM325" s="110"/>
      <c r="QN325" s="110"/>
      <c r="QO325" s="110"/>
      <c r="QP325" s="110"/>
      <c r="QQ325" s="110"/>
      <c r="QR325" s="110"/>
      <c r="QS325" s="110"/>
      <c r="QT325" s="110"/>
      <c r="QU325" s="110"/>
      <c r="QV325" s="110"/>
      <c r="QW325" s="110"/>
      <c r="QX325" s="110"/>
      <c r="QY325" s="110"/>
      <c r="QZ325" s="110"/>
      <c r="RA325" s="110"/>
      <c r="RB325" s="110"/>
      <c r="RC325" s="110"/>
      <c r="RD325" s="110"/>
      <c r="RE325" s="110"/>
      <c r="RF325" s="110"/>
      <c r="RG325" s="110"/>
      <c r="RH325" s="110"/>
      <c r="RI325" s="110"/>
      <c r="RJ325" s="110"/>
      <c r="RK325" s="110"/>
      <c r="RL325" s="110"/>
      <c r="RM325" s="110"/>
      <c r="RN325" s="110"/>
      <c r="RO325" s="110"/>
      <c r="RP325" s="110"/>
      <c r="RQ325" s="110"/>
      <c r="RR325" s="110"/>
      <c r="RS325" s="110"/>
      <c r="RT325" s="110"/>
      <c r="RU325" s="110"/>
      <c r="RV325" s="110"/>
      <c r="RW325" s="110"/>
      <c r="RX325" s="110"/>
      <c r="RY325" s="110"/>
      <c r="RZ325" s="110"/>
      <c r="SA325" s="110"/>
      <c r="SB325" s="110"/>
      <c r="SC325" s="110"/>
      <c r="SD325" s="110"/>
      <c r="SE325" s="110"/>
      <c r="SF325" s="110"/>
      <c r="SG325" s="110"/>
      <c r="SH325" s="110"/>
      <c r="SI325" s="110"/>
      <c r="SJ325" s="110"/>
      <c r="SK325" s="110"/>
      <c r="SL325" s="110"/>
      <c r="SM325" s="110"/>
      <c r="SN325" s="110"/>
      <c r="SO325" s="110"/>
      <c r="SP325" s="110"/>
      <c r="SQ325" s="110"/>
      <c r="SR325" s="110"/>
      <c r="SS325" s="110"/>
      <c r="ST325" s="110"/>
      <c r="SU325" s="110"/>
      <c r="SV325" s="110"/>
      <c r="SW325" s="110"/>
      <c r="SX325" s="110"/>
      <c r="SY325" s="110"/>
      <c r="SZ325" s="110"/>
      <c r="TA325" s="110"/>
      <c r="TB325" s="110"/>
      <c r="TC325" s="110"/>
      <c r="TD325" s="110"/>
      <c r="TE325" s="110"/>
      <c r="TF325" s="110"/>
      <c r="TG325" s="110"/>
      <c r="TH325" s="110"/>
      <c r="TI325" s="110"/>
      <c r="TJ325" s="110"/>
      <c r="TK325" s="110"/>
      <c r="TL325" s="110"/>
      <c r="TM325" s="110"/>
      <c r="TN325" s="110"/>
      <c r="TO325" s="110"/>
      <c r="TP325" s="110"/>
      <c r="TQ325" s="110"/>
      <c r="TR325" s="110"/>
      <c r="TS325" s="110"/>
      <c r="TT325" s="110"/>
      <c r="TU325" s="110"/>
      <c r="TV325" s="110"/>
      <c r="TW325" s="110"/>
      <c r="TX325" s="110"/>
      <c r="TY325" s="110"/>
      <c r="TZ325" s="110"/>
      <c r="UA325" s="110"/>
      <c r="UB325" s="110"/>
      <c r="UC325" s="110"/>
      <c r="UD325" s="110"/>
      <c r="UE325" s="110"/>
      <c r="UF325" s="110"/>
      <c r="UG325" s="110"/>
      <c r="UH325" s="110"/>
      <c r="UI325" s="110"/>
      <c r="UJ325" s="110"/>
      <c r="UK325" s="110"/>
      <c r="UL325" s="110"/>
      <c r="UM325" s="110"/>
      <c r="UN325" s="110"/>
      <c r="UO325" s="110"/>
      <c r="UP325" s="110"/>
      <c r="UQ325" s="110"/>
      <c r="UR325" s="110"/>
      <c r="US325" s="110"/>
      <c r="UT325" s="110"/>
      <c r="UU325" s="110"/>
      <c r="UV325" s="110"/>
      <c r="UW325" s="110"/>
      <c r="UX325" s="110"/>
      <c r="UY325" s="110"/>
      <c r="UZ325" s="110"/>
      <c r="VA325" s="110"/>
      <c r="VB325" s="110"/>
      <c r="VC325" s="110"/>
      <c r="VD325" s="110"/>
      <c r="VE325" s="110"/>
      <c r="VF325" s="110"/>
      <c r="VG325" s="110"/>
      <c r="VH325" s="110"/>
      <c r="VI325" s="110"/>
      <c r="VJ325" s="110"/>
      <c r="VK325" s="110"/>
      <c r="VL325" s="110"/>
      <c r="VM325" s="110"/>
      <c r="VN325" s="110"/>
      <c r="VO325" s="110"/>
      <c r="VP325" s="110"/>
      <c r="VQ325" s="110"/>
      <c r="VR325" s="110"/>
      <c r="VS325" s="110"/>
      <c r="VT325" s="110"/>
      <c r="VU325" s="110"/>
      <c r="VV325" s="110"/>
      <c r="VW325" s="110"/>
      <c r="VX325" s="110"/>
      <c r="VY325" s="110"/>
      <c r="VZ325" s="110"/>
      <c r="WA325" s="110"/>
      <c r="WB325" s="110"/>
      <c r="WC325" s="110"/>
      <c r="WD325" s="110"/>
      <c r="WE325" s="110"/>
      <c r="WF325" s="110"/>
      <c r="WG325" s="110"/>
      <c r="WH325" s="110"/>
      <c r="WI325" s="110"/>
      <c r="WJ325" s="110"/>
      <c r="WK325" s="110"/>
      <c r="WL325" s="110"/>
      <c r="WM325" s="110"/>
      <c r="WN325" s="110"/>
      <c r="WO325" s="110"/>
      <c r="WP325" s="110"/>
      <c r="WQ325" s="110"/>
      <c r="WR325" s="110"/>
      <c r="WS325" s="110"/>
      <c r="WT325" s="110"/>
      <c r="WU325" s="110"/>
      <c r="WV325" s="110"/>
      <c r="WW325" s="110"/>
      <c r="WX325" s="110"/>
      <c r="WY325" s="110"/>
      <c r="WZ325" s="110"/>
      <c r="XA325" s="110"/>
      <c r="XB325" s="110"/>
      <c r="XC325" s="110"/>
      <c r="XD325" s="110"/>
      <c r="XE325" s="110"/>
      <c r="XF325" s="110"/>
      <c r="XG325" s="110"/>
      <c r="XH325" s="110"/>
      <c r="XI325" s="110"/>
      <c r="XJ325" s="110"/>
      <c r="XK325" s="110"/>
      <c r="XL325" s="110"/>
      <c r="XM325" s="110"/>
      <c r="XN325" s="110"/>
      <c r="XO325" s="110"/>
      <c r="XP325" s="110"/>
      <c r="XQ325" s="110"/>
      <c r="XR325" s="110"/>
      <c r="XS325" s="110"/>
      <c r="XT325" s="110"/>
      <c r="XU325" s="110"/>
      <c r="XV325" s="110"/>
      <c r="XW325" s="110"/>
      <c r="XX325" s="110"/>
      <c r="XY325" s="110"/>
      <c r="XZ325" s="110"/>
      <c r="YA325" s="110"/>
      <c r="YB325" s="110"/>
      <c r="YC325" s="110"/>
      <c r="YD325" s="110"/>
      <c r="YE325" s="110"/>
      <c r="YF325" s="110"/>
      <c r="YG325" s="110"/>
      <c r="YH325" s="110"/>
      <c r="YI325" s="110"/>
      <c r="YJ325" s="110"/>
      <c r="YK325" s="110"/>
      <c r="YL325" s="110"/>
      <c r="YM325" s="110"/>
      <c r="YN325" s="110"/>
      <c r="YO325" s="110"/>
      <c r="YP325" s="110"/>
      <c r="YQ325" s="110"/>
      <c r="YR325" s="110"/>
      <c r="YS325" s="110"/>
      <c r="YT325" s="110"/>
      <c r="YU325" s="110"/>
      <c r="YV325" s="110"/>
      <c r="YW325" s="110"/>
      <c r="YX325" s="110"/>
      <c r="YY325" s="110"/>
      <c r="YZ325" s="110"/>
      <c r="ZA325" s="110"/>
      <c r="ZB325" s="110"/>
      <c r="ZC325" s="110"/>
      <c r="ZD325" s="110"/>
      <c r="ZE325" s="110"/>
      <c r="ZF325" s="110"/>
      <c r="ZG325" s="110"/>
      <c r="ZH325" s="110"/>
      <c r="ZI325" s="110"/>
      <c r="ZJ325" s="110"/>
      <c r="ZK325" s="110"/>
      <c r="ZL325" s="110"/>
      <c r="ZM325" s="110"/>
      <c r="ZN325" s="110"/>
      <c r="ZO325" s="110"/>
      <c r="ZP325" s="110"/>
      <c r="ZQ325" s="110"/>
      <c r="ZR325" s="110"/>
      <c r="ZS325" s="110"/>
      <c r="ZT325" s="110"/>
      <c r="ZU325" s="110"/>
      <c r="ZV325" s="110"/>
      <c r="ZW325" s="110"/>
      <c r="ZX325" s="110"/>
      <c r="ZY325" s="110"/>
      <c r="ZZ325" s="110"/>
      <c r="AAA325" s="110"/>
      <c r="AAB325" s="110"/>
      <c r="AAC325" s="110"/>
      <c r="AAD325" s="110"/>
      <c r="AAE325" s="110"/>
      <c r="AAF325" s="110"/>
      <c r="AAG325" s="110"/>
      <c r="AAH325" s="110"/>
      <c r="AAI325" s="110"/>
      <c r="AAJ325" s="110"/>
      <c r="AAK325" s="110"/>
      <c r="AAL325" s="110"/>
      <c r="AAM325" s="110"/>
      <c r="AAN325" s="110"/>
      <c r="AAO325" s="110"/>
      <c r="AAP325" s="110"/>
      <c r="AAQ325" s="110"/>
      <c r="AAR325" s="110"/>
      <c r="AAS325" s="110"/>
      <c r="AAT325" s="110"/>
      <c r="AAU325" s="110"/>
      <c r="AAV325" s="110"/>
      <c r="AAW325" s="110"/>
      <c r="AAX325" s="110"/>
      <c r="AAY325" s="110"/>
      <c r="AAZ325" s="110"/>
      <c r="ABA325" s="110"/>
      <c r="ABB325" s="110"/>
      <c r="ABC325" s="110"/>
      <c r="ABD325" s="110"/>
      <c r="ABE325" s="110"/>
      <c r="ABF325" s="110"/>
      <c r="ABG325" s="110"/>
      <c r="ABH325" s="110"/>
      <c r="ABI325" s="110"/>
      <c r="ABJ325" s="110"/>
      <c r="ABK325" s="110"/>
      <c r="ABL325" s="110"/>
      <c r="ABM325" s="110"/>
      <c r="ABN325" s="110"/>
      <c r="ABO325" s="110"/>
      <c r="ABP325" s="110"/>
      <c r="ABQ325" s="110"/>
      <c r="ABR325" s="110"/>
      <c r="ABS325" s="110"/>
      <c r="ABT325" s="110"/>
      <c r="ABU325" s="110"/>
      <c r="ABV325" s="110"/>
      <c r="ABW325" s="110"/>
      <c r="ABX325" s="110"/>
      <c r="ABY325" s="110"/>
      <c r="ABZ325" s="110"/>
      <c r="ACA325" s="110"/>
      <c r="ACB325" s="110"/>
      <c r="ACC325" s="110"/>
      <c r="ACD325" s="110"/>
      <c r="ACE325" s="110"/>
      <c r="ACF325" s="110"/>
      <c r="ACG325" s="110"/>
      <c r="ACH325" s="110"/>
      <c r="ACI325" s="110"/>
      <c r="ACJ325" s="110"/>
      <c r="ACK325" s="110"/>
      <c r="ACL325" s="110"/>
      <c r="ACM325" s="110"/>
      <c r="ACN325" s="110"/>
      <c r="ACO325" s="110"/>
      <c r="ACP325" s="110"/>
      <c r="ACQ325" s="110"/>
      <c r="ACR325" s="110"/>
      <c r="ACS325" s="110"/>
      <c r="ACT325" s="110"/>
      <c r="ACU325" s="110"/>
      <c r="ACV325" s="110"/>
      <c r="ACW325" s="110"/>
      <c r="ACX325" s="110"/>
      <c r="ACY325" s="110"/>
      <c r="ACZ325" s="110"/>
      <c r="ADA325" s="110"/>
      <c r="ADB325" s="110"/>
      <c r="ADC325" s="110"/>
      <c r="ADD325" s="110"/>
      <c r="ADE325" s="110"/>
      <c r="ADF325" s="110"/>
      <c r="ADG325" s="110"/>
      <c r="ADH325" s="110"/>
      <c r="ADI325" s="110"/>
      <c r="ADJ325" s="110"/>
      <c r="ADK325" s="110"/>
      <c r="ADL325" s="110"/>
      <c r="ADM325" s="110"/>
      <c r="ADN325" s="110"/>
      <c r="ADO325" s="110"/>
      <c r="ADP325" s="110"/>
      <c r="ADQ325" s="110"/>
      <c r="ADR325" s="110"/>
      <c r="ADS325" s="110"/>
      <c r="ADT325" s="110"/>
      <c r="ADU325" s="110"/>
      <c r="ADV325" s="110"/>
      <c r="ADW325" s="110"/>
      <c r="ADX325" s="110"/>
      <c r="ADY325" s="110"/>
      <c r="ADZ325" s="110"/>
      <c r="AEA325" s="110"/>
      <c r="AEB325" s="110"/>
      <c r="AEC325" s="110"/>
      <c r="AED325" s="110"/>
      <c r="AEE325" s="110"/>
      <c r="AEF325" s="110"/>
      <c r="AEG325" s="110"/>
      <c r="AEH325" s="110"/>
      <c r="AEI325" s="110"/>
      <c r="AEJ325" s="110"/>
      <c r="AEK325" s="110"/>
      <c r="AEL325" s="110"/>
      <c r="AEM325" s="110"/>
      <c r="AEN325" s="110"/>
      <c r="AEO325" s="110"/>
      <c r="AEP325" s="110"/>
      <c r="AEQ325" s="110"/>
      <c r="AER325" s="110"/>
      <c r="AES325" s="110"/>
      <c r="AET325" s="110"/>
      <c r="AEU325" s="110"/>
      <c r="AEV325" s="110"/>
      <c r="AEW325" s="110"/>
      <c r="AEX325" s="110"/>
      <c r="AEY325" s="110"/>
      <c r="AEZ325" s="110"/>
      <c r="AFA325" s="110"/>
      <c r="AFB325" s="110"/>
      <c r="AFC325" s="110"/>
      <c r="AFD325" s="110"/>
      <c r="AFE325" s="110"/>
      <c r="AFF325" s="110"/>
      <c r="AFG325" s="110"/>
      <c r="AFH325" s="110"/>
      <c r="AFI325" s="110"/>
      <c r="AFJ325" s="110"/>
      <c r="AFK325" s="110"/>
      <c r="AFL325" s="110"/>
      <c r="AFM325" s="110"/>
      <c r="AFN325" s="110"/>
      <c r="AFO325" s="110"/>
      <c r="AFP325" s="110"/>
      <c r="AFQ325" s="110"/>
      <c r="AFR325" s="110"/>
      <c r="AFS325" s="110"/>
      <c r="AFT325" s="110"/>
      <c r="AFU325" s="110"/>
      <c r="AFV325" s="110"/>
      <c r="AFW325" s="110"/>
      <c r="AFX325" s="110"/>
      <c r="AFY325" s="110"/>
      <c r="AFZ325" s="110"/>
      <c r="AGA325" s="110"/>
      <c r="AGB325" s="110"/>
      <c r="AGC325" s="110"/>
      <c r="AGD325" s="110"/>
      <c r="AGE325" s="110"/>
      <c r="AGF325" s="110"/>
      <c r="AGG325" s="110"/>
      <c r="AGH325" s="110"/>
      <c r="AGI325" s="110"/>
      <c r="AGJ325" s="110"/>
      <c r="AGK325" s="110"/>
      <c r="AGL325" s="110"/>
      <c r="AGM325" s="110"/>
      <c r="AGN325" s="110"/>
      <c r="AGO325" s="110"/>
      <c r="AGP325" s="110"/>
      <c r="AGQ325" s="110"/>
      <c r="AGR325" s="110"/>
      <c r="AGS325" s="110"/>
      <c r="AGT325" s="110"/>
      <c r="AGU325" s="110"/>
      <c r="AGV325" s="110"/>
      <c r="AGW325" s="110"/>
      <c r="AGX325" s="110"/>
      <c r="AGY325" s="110"/>
      <c r="AGZ325" s="110"/>
      <c r="AHA325" s="110"/>
      <c r="AHB325" s="110"/>
      <c r="AHC325" s="110"/>
      <c r="AHD325" s="110"/>
      <c r="AHE325" s="110"/>
      <c r="AHF325" s="110"/>
      <c r="AHG325" s="110"/>
      <c r="AHH325" s="110"/>
      <c r="AHI325" s="110"/>
      <c r="AHJ325" s="110"/>
      <c r="AHK325" s="110"/>
      <c r="AHL325" s="110"/>
      <c r="AHM325" s="110"/>
      <c r="AHN325" s="110"/>
      <c r="AHO325" s="110"/>
      <c r="AHP325" s="110"/>
      <c r="AHQ325" s="110"/>
      <c r="AHR325" s="110"/>
      <c r="AHS325" s="110"/>
      <c r="AHT325" s="110"/>
      <c r="AHU325" s="110"/>
      <c r="AHV325" s="110"/>
      <c r="AHW325" s="110"/>
      <c r="AHX325" s="110"/>
      <c r="AHY325" s="110"/>
      <c r="AHZ325" s="110"/>
      <c r="AIA325" s="110"/>
      <c r="AIB325" s="110"/>
      <c r="AIC325" s="110"/>
      <c r="AID325" s="110"/>
      <c r="AIE325" s="110"/>
      <c r="AIF325" s="110"/>
      <c r="AIG325" s="110"/>
      <c r="AIH325" s="110"/>
      <c r="AII325" s="110"/>
      <c r="AIJ325" s="110"/>
      <c r="AIK325" s="110"/>
      <c r="AIL325" s="110"/>
      <c r="AIM325" s="110"/>
      <c r="AIN325" s="110"/>
      <c r="AIO325" s="110"/>
      <c r="AIP325" s="110"/>
      <c r="AIQ325" s="110"/>
      <c r="AIR325" s="110"/>
      <c r="AIS325" s="110"/>
      <c r="AIT325" s="110"/>
      <c r="AIU325" s="110"/>
      <c r="AIV325" s="110"/>
      <c r="AIW325" s="110"/>
      <c r="AIX325" s="110"/>
      <c r="AIY325" s="110"/>
      <c r="AIZ325" s="110"/>
      <c r="AJA325" s="110"/>
      <c r="AJB325" s="110"/>
      <c r="AJC325" s="110"/>
      <c r="AJD325" s="110"/>
      <c r="AJE325" s="110"/>
      <c r="AJF325" s="110"/>
      <c r="AJG325" s="110"/>
      <c r="AJH325" s="110"/>
      <c r="AJI325" s="110"/>
      <c r="AJJ325" s="110"/>
      <c r="AJK325" s="110"/>
      <c r="AJL325" s="110"/>
      <c r="AJM325" s="110"/>
      <c r="AJN325" s="110"/>
      <c r="AJO325" s="110"/>
      <c r="AJP325" s="110"/>
      <c r="AJQ325" s="110"/>
      <c r="AJR325" s="110"/>
      <c r="AJS325" s="110"/>
      <c r="AJT325" s="110"/>
      <c r="AJU325" s="110"/>
      <c r="AJV325" s="110"/>
      <c r="AJW325" s="110"/>
      <c r="AJX325" s="110"/>
      <c r="AJY325" s="110"/>
      <c r="AJZ325" s="110"/>
      <c r="AKA325" s="110"/>
      <c r="AKB325" s="110"/>
      <c r="AKC325" s="110"/>
      <c r="AKD325" s="110"/>
      <c r="AKE325" s="110"/>
      <c r="AKF325" s="110"/>
      <c r="AKG325" s="110"/>
      <c r="AKH325" s="110"/>
      <c r="AKI325" s="110"/>
      <c r="AKJ325" s="110"/>
      <c r="AKK325" s="110"/>
      <c r="AKL325" s="110"/>
      <c r="AKM325" s="110"/>
      <c r="AKN325" s="110"/>
      <c r="AKO325" s="110"/>
      <c r="AKP325" s="110"/>
      <c r="AKQ325" s="110"/>
      <c r="AKR325" s="110"/>
      <c r="AKS325" s="110"/>
      <c r="AKT325" s="110"/>
      <c r="AKU325" s="110"/>
      <c r="AKV325" s="110"/>
      <c r="AKW325" s="110"/>
      <c r="AKX325" s="110"/>
      <c r="AKY325" s="110"/>
      <c r="AKZ325" s="110"/>
      <c r="ALA325" s="110"/>
      <c r="ALB325" s="110"/>
      <c r="ALC325" s="110"/>
      <c r="ALD325" s="110"/>
      <c r="ALE325" s="110"/>
      <c r="ALF325" s="110"/>
      <c r="ALG325" s="110"/>
      <c r="ALH325" s="110"/>
      <c r="ALI325" s="110"/>
      <c r="ALJ325" s="110"/>
      <c r="ALK325" s="110"/>
      <c r="ALL325" s="110"/>
      <c r="ALM325" s="110"/>
      <c r="ALN325" s="110"/>
      <c r="ALO325" s="110"/>
      <c r="ALP325" s="110"/>
      <c r="ALQ325" s="110"/>
      <c r="ALR325" s="110"/>
      <c r="ALS325" s="110"/>
      <c r="ALT325" s="110"/>
      <c r="ALU325" s="110"/>
      <c r="ALV325" s="110"/>
      <c r="ALW325" s="110"/>
      <c r="ALX325" s="110"/>
      <c r="ALY325" s="110"/>
      <c r="ALZ325" s="110"/>
      <c r="AMA325" s="110"/>
      <c r="AMB325" s="110"/>
      <c r="AMC325" s="110"/>
      <c r="AMD325" s="110"/>
      <c r="AME325" s="110"/>
      <c r="AMF325" s="110"/>
    </row>
    <row r="326" spans="1:1020" s="142" customFormat="1" ht="11.25" customHeight="1">
      <c r="A326" s="143" t="s">
        <v>474</v>
      </c>
      <c r="B326" s="123">
        <v>1</v>
      </c>
      <c r="C326" s="126">
        <v>319</v>
      </c>
      <c r="D326" s="127" t="s">
        <v>500</v>
      </c>
      <c r="E326" s="194">
        <v>235</v>
      </c>
      <c r="F326" s="125">
        <f>ROUND(E326*Valores!$C$2,2)</f>
        <v>12795.75</v>
      </c>
      <c r="G326" s="192">
        <v>0</v>
      </c>
      <c r="H326" s="125">
        <f>ROUND(G326*Valores!$C$2,2)</f>
        <v>0</v>
      </c>
      <c r="I326" s="192">
        <v>0</v>
      </c>
      <c r="J326" s="125">
        <f>ROUND(I326*Valores!$C$2,2)</f>
        <v>0</v>
      </c>
      <c r="K326" s="192">
        <v>0</v>
      </c>
      <c r="L326" s="125">
        <f>ROUND(K326*Valores!$C$2,2)</f>
        <v>0</v>
      </c>
      <c r="M326" s="125">
        <f>ROUND(IF($H$2=0,IF(AND(A326&lt;&gt;"13-930",A326&lt;&gt;"13-940"),(SUM(F326,H326,J326,L326,X326,T326,R326)*Valores!$C$4),0),0),2)</f>
        <v>0</v>
      </c>
      <c r="N326" s="125">
        <f t="shared" si="42"/>
        <v>0</v>
      </c>
      <c r="O326" s="125">
        <v>0</v>
      </c>
      <c r="P326" s="125">
        <v>0</v>
      </c>
      <c r="Q326" s="125">
        <v>0</v>
      </c>
      <c r="R326" s="125">
        <f>IF($F$4="NO",Valores!$C$50,Valores!$C$50/2)</f>
        <v>1446.04</v>
      </c>
      <c r="S326" s="125">
        <v>0</v>
      </c>
      <c r="T326" s="125">
        <f t="shared" si="51"/>
        <v>0</v>
      </c>
      <c r="U326" s="125">
        <v>0</v>
      </c>
      <c r="V326" s="125">
        <v>0</v>
      </c>
      <c r="W326" s="192">
        <v>0</v>
      </c>
      <c r="X326" s="125">
        <f>ROUND(W326*Valores!$C$2,2)</f>
        <v>0</v>
      </c>
      <c r="Y326" s="125">
        <v>0</v>
      </c>
      <c r="Z326" s="125">
        <f>Valores!$C$98</f>
        <v>3811.38</v>
      </c>
      <c r="AA326" s="125">
        <v>0</v>
      </c>
      <c r="AB326" s="214">
        <v>0</v>
      </c>
      <c r="AC326" s="125">
        <f t="shared" si="43"/>
        <v>0</v>
      </c>
      <c r="AD326" s="125">
        <v>0</v>
      </c>
      <c r="AE326" s="192">
        <v>0</v>
      </c>
      <c r="AF326" s="125">
        <f>ROUND(AE326*Valores!$C$2,2)</f>
        <v>0</v>
      </c>
      <c r="AG326" s="125">
        <f>Valores!$C$64</f>
        <v>1310.4</v>
      </c>
      <c r="AH326" s="125">
        <f t="shared" si="46"/>
        <v>19363.570000000003</v>
      </c>
      <c r="AI326" s="125">
        <v>0</v>
      </c>
      <c r="AJ326" s="125">
        <f>Valores!$C$91</f>
        <v>0</v>
      </c>
      <c r="AK326" s="125">
        <v>0</v>
      </c>
      <c r="AL326" s="125">
        <v>0</v>
      </c>
      <c r="AM326" s="125">
        <f t="shared" si="44"/>
        <v>0</v>
      </c>
      <c r="AN326" s="125">
        <f>AH326*Valores!$C$71</f>
        <v>-2129.9927000000002</v>
      </c>
      <c r="AO326" s="125">
        <f>AH326*-Valores!$C$72</f>
        <v>0</v>
      </c>
      <c r="AP326" s="125">
        <f>AH326*Valores!$C$73</f>
        <v>-871.3606500000001</v>
      </c>
      <c r="AQ326" s="125">
        <v>0</v>
      </c>
      <c r="AR326" s="125">
        <v>0</v>
      </c>
      <c r="AS326" s="125">
        <f t="shared" si="47"/>
        <v>16362.216650000002</v>
      </c>
      <c r="AT326" s="125">
        <f>AN326</f>
        <v>-2129.9927000000002</v>
      </c>
      <c r="AU326" s="125">
        <f>AH326*Valores!$C$74</f>
        <v>-522.8163900000001</v>
      </c>
      <c r="AV326" s="125">
        <f>AH326*Valores!$C$75</f>
        <v>-58.09071000000001</v>
      </c>
      <c r="AW326" s="125">
        <f t="shared" si="45"/>
        <v>16652.670200000004</v>
      </c>
      <c r="AX326" s="126"/>
      <c r="AY326" s="126"/>
      <c r="AZ326" s="123" t="s">
        <v>4</v>
      </c>
      <c r="BA326" s="110"/>
      <c r="BB326" s="110"/>
      <c r="BC326" s="110"/>
      <c r="BD326" s="110"/>
      <c r="BE326" s="110"/>
      <c r="BF326" s="110"/>
      <c r="BG326" s="110"/>
      <c r="BH326" s="110"/>
      <c r="BI326" s="110"/>
      <c r="BJ326" s="110"/>
      <c r="BK326" s="110"/>
      <c r="BL326" s="110"/>
      <c r="BM326" s="110"/>
      <c r="BN326" s="110"/>
      <c r="BO326" s="110"/>
      <c r="BP326" s="110"/>
      <c r="BQ326" s="110"/>
      <c r="BR326" s="110"/>
      <c r="BS326" s="110"/>
      <c r="BT326" s="110"/>
      <c r="BU326" s="110"/>
      <c r="BV326" s="110"/>
      <c r="BW326" s="110"/>
      <c r="BX326" s="110"/>
      <c r="BY326" s="110"/>
      <c r="BZ326" s="110"/>
      <c r="CA326" s="110"/>
      <c r="CB326" s="110"/>
      <c r="CC326" s="110"/>
      <c r="CD326" s="110"/>
      <c r="CE326" s="110"/>
      <c r="CF326" s="110"/>
      <c r="CG326" s="110"/>
      <c r="CH326" s="110"/>
      <c r="CI326" s="110"/>
      <c r="CJ326" s="110"/>
      <c r="CK326" s="110"/>
      <c r="CL326" s="110"/>
      <c r="CM326" s="110"/>
      <c r="CN326" s="110"/>
      <c r="CO326" s="110"/>
      <c r="CP326" s="110"/>
      <c r="CQ326" s="110"/>
      <c r="CR326" s="110"/>
      <c r="CS326" s="110"/>
      <c r="CT326" s="110"/>
      <c r="CU326" s="110"/>
      <c r="CV326" s="110"/>
      <c r="CW326" s="110"/>
      <c r="CX326" s="110"/>
      <c r="CY326" s="110"/>
      <c r="CZ326" s="110"/>
      <c r="DA326" s="110"/>
      <c r="DB326" s="110"/>
      <c r="DC326" s="110"/>
      <c r="DD326" s="110"/>
      <c r="DE326" s="110"/>
      <c r="DF326" s="110"/>
      <c r="DG326" s="110"/>
      <c r="DH326" s="110"/>
      <c r="DI326" s="110"/>
      <c r="DJ326" s="110"/>
      <c r="DK326" s="110"/>
      <c r="DL326" s="110"/>
      <c r="DM326" s="110"/>
      <c r="DN326" s="110"/>
      <c r="DO326" s="110"/>
      <c r="DP326" s="110"/>
      <c r="DQ326" s="110"/>
      <c r="DR326" s="110"/>
      <c r="DS326" s="110"/>
      <c r="DT326" s="110"/>
      <c r="DU326" s="110"/>
      <c r="DV326" s="110"/>
      <c r="DW326" s="110"/>
      <c r="DX326" s="110"/>
      <c r="DY326" s="110"/>
      <c r="DZ326" s="110"/>
      <c r="EA326" s="110"/>
      <c r="EB326" s="110"/>
      <c r="EC326" s="110"/>
      <c r="ED326" s="110"/>
      <c r="EE326" s="110"/>
      <c r="EF326" s="110"/>
      <c r="EG326" s="110"/>
      <c r="EH326" s="110"/>
      <c r="EI326" s="110"/>
      <c r="EJ326" s="110"/>
      <c r="EK326" s="110"/>
      <c r="EL326" s="110"/>
      <c r="EM326" s="110"/>
      <c r="EN326" s="110"/>
      <c r="EO326" s="110"/>
      <c r="EP326" s="110"/>
      <c r="EQ326" s="110"/>
      <c r="ER326" s="110"/>
      <c r="ES326" s="110"/>
      <c r="ET326" s="110"/>
      <c r="EU326" s="110"/>
      <c r="EV326" s="110"/>
      <c r="EW326" s="110"/>
      <c r="EX326" s="110"/>
      <c r="EY326" s="110"/>
      <c r="EZ326" s="110"/>
      <c r="FA326" s="110"/>
      <c r="FB326" s="110"/>
      <c r="FC326" s="110"/>
      <c r="FD326" s="110"/>
      <c r="FE326" s="110"/>
      <c r="FF326" s="110"/>
      <c r="FG326" s="110"/>
      <c r="FH326" s="110"/>
      <c r="FI326" s="110"/>
      <c r="FJ326" s="110"/>
      <c r="FK326" s="110"/>
      <c r="FL326" s="110"/>
      <c r="FM326" s="110"/>
      <c r="FN326" s="110"/>
      <c r="FO326" s="110"/>
      <c r="FP326" s="110"/>
      <c r="FQ326" s="110"/>
      <c r="FR326" s="110"/>
      <c r="FS326" s="110"/>
      <c r="FT326" s="110"/>
      <c r="FU326" s="110"/>
      <c r="FV326" s="110"/>
      <c r="FW326" s="110"/>
      <c r="FX326" s="110"/>
      <c r="FY326" s="110"/>
      <c r="FZ326" s="110"/>
      <c r="GA326" s="110"/>
      <c r="GB326" s="110"/>
      <c r="GC326" s="110"/>
      <c r="GD326" s="110"/>
      <c r="GE326" s="110"/>
      <c r="GF326" s="110"/>
      <c r="GG326" s="110"/>
      <c r="GH326" s="110"/>
      <c r="GI326" s="110"/>
      <c r="GJ326" s="110"/>
      <c r="GK326" s="110"/>
      <c r="GL326" s="110"/>
      <c r="GM326" s="110"/>
      <c r="GN326" s="110"/>
      <c r="GO326" s="110"/>
      <c r="GP326" s="110"/>
      <c r="GQ326" s="110"/>
      <c r="GR326" s="110"/>
      <c r="GS326" s="110"/>
      <c r="GT326" s="110"/>
      <c r="GU326" s="110"/>
      <c r="GV326" s="110"/>
      <c r="GW326" s="110"/>
      <c r="GX326" s="110"/>
      <c r="GY326" s="110"/>
      <c r="GZ326" s="110"/>
      <c r="HA326" s="110"/>
      <c r="HB326" s="110"/>
      <c r="HC326" s="110"/>
      <c r="HD326" s="110"/>
      <c r="HE326" s="110"/>
      <c r="HF326" s="110"/>
      <c r="HG326" s="110"/>
      <c r="HH326" s="110"/>
      <c r="HI326" s="110"/>
      <c r="HJ326" s="110"/>
      <c r="HK326" s="110"/>
      <c r="HL326" s="110"/>
      <c r="HM326" s="110"/>
      <c r="HN326" s="110"/>
      <c r="HO326" s="110"/>
      <c r="HP326" s="110"/>
      <c r="HQ326" s="110"/>
      <c r="HR326" s="110"/>
      <c r="HS326" s="110"/>
      <c r="HT326" s="110"/>
      <c r="HU326" s="110"/>
      <c r="HV326" s="110"/>
      <c r="HW326" s="110"/>
      <c r="HX326" s="110"/>
      <c r="HY326" s="110"/>
      <c r="HZ326" s="110"/>
      <c r="IA326" s="110"/>
      <c r="IB326" s="110"/>
      <c r="IC326" s="110"/>
      <c r="ID326" s="110"/>
      <c r="IE326" s="110"/>
      <c r="IF326" s="110"/>
      <c r="IG326" s="110"/>
      <c r="IH326" s="110"/>
      <c r="II326" s="110"/>
      <c r="IJ326" s="110"/>
      <c r="IK326" s="110"/>
      <c r="IL326" s="110"/>
      <c r="IM326" s="110"/>
      <c r="IN326" s="110"/>
      <c r="IO326" s="110"/>
      <c r="IP326" s="110"/>
      <c r="IQ326" s="110"/>
      <c r="IR326" s="110"/>
      <c r="IS326" s="110"/>
      <c r="IT326" s="110"/>
      <c r="IU326" s="110"/>
      <c r="IV326" s="110"/>
      <c r="IW326" s="110"/>
      <c r="IX326" s="110"/>
      <c r="IY326" s="110"/>
      <c r="IZ326" s="110"/>
      <c r="JA326" s="110"/>
      <c r="JB326" s="110"/>
      <c r="JC326" s="110"/>
      <c r="JD326" s="110"/>
      <c r="JE326" s="110"/>
      <c r="JF326" s="110"/>
      <c r="JG326" s="110"/>
      <c r="JH326" s="110"/>
      <c r="JI326" s="110"/>
      <c r="JJ326" s="110"/>
      <c r="JK326" s="110"/>
      <c r="JL326" s="110"/>
      <c r="JM326" s="110"/>
      <c r="JN326" s="110"/>
      <c r="JO326" s="110"/>
      <c r="JP326" s="110"/>
      <c r="JQ326" s="110"/>
      <c r="JR326" s="110"/>
      <c r="JS326" s="110"/>
      <c r="JT326" s="110"/>
      <c r="JU326" s="110"/>
      <c r="JV326" s="110"/>
      <c r="JW326" s="110"/>
      <c r="JX326" s="110"/>
      <c r="JY326" s="110"/>
      <c r="JZ326" s="110"/>
      <c r="KA326" s="110"/>
      <c r="KB326" s="110"/>
      <c r="KC326" s="110"/>
      <c r="KD326" s="110"/>
      <c r="KE326" s="110"/>
      <c r="KF326" s="110"/>
      <c r="KG326" s="110"/>
      <c r="KH326" s="110"/>
      <c r="KI326" s="110"/>
      <c r="KJ326" s="110"/>
      <c r="KK326" s="110"/>
      <c r="KL326" s="110"/>
      <c r="KM326" s="110"/>
      <c r="KN326" s="110"/>
      <c r="KO326" s="110"/>
      <c r="KP326" s="110"/>
      <c r="KQ326" s="110"/>
      <c r="KR326" s="110"/>
      <c r="KS326" s="110"/>
      <c r="KT326" s="110"/>
      <c r="KU326" s="110"/>
      <c r="KV326" s="110"/>
      <c r="KW326" s="110"/>
      <c r="KX326" s="110"/>
      <c r="KY326" s="110"/>
      <c r="KZ326" s="110"/>
      <c r="LA326" s="110"/>
      <c r="LB326" s="110"/>
      <c r="LC326" s="110"/>
      <c r="LD326" s="110"/>
      <c r="LE326" s="110"/>
      <c r="LF326" s="110"/>
      <c r="LG326" s="110"/>
      <c r="LH326" s="110"/>
      <c r="LI326" s="110"/>
      <c r="LJ326" s="110"/>
      <c r="LK326" s="110"/>
      <c r="LL326" s="110"/>
      <c r="LM326" s="110"/>
      <c r="LN326" s="110"/>
      <c r="LO326" s="110"/>
      <c r="LP326" s="110"/>
      <c r="LQ326" s="110"/>
      <c r="LR326" s="110"/>
      <c r="LS326" s="110"/>
      <c r="LT326" s="110"/>
      <c r="LU326" s="110"/>
      <c r="LV326" s="110"/>
      <c r="LW326" s="110"/>
      <c r="LX326" s="110"/>
      <c r="LY326" s="110"/>
      <c r="LZ326" s="110"/>
      <c r="MA326" s="110"/>
      <c r="MB326" s="110"/>
      <c r="MC326" s="110"/>
      <c r="MD326" s="110"/>
      <c r="ME326" s="110"/>
      <c r="MF326" s="110"/>
      <c r="MG326" s="110"/>
      <c r="MH326" s="110"/>
      <c r="MI326" s="110"/>
      <c r="MJ326" s="110"/>
      <c r="MK326" s="110"/>
      <c r="ML326" s="110"/>
      <c r="MM326" s="110"/>
      <c r="MN326" s="110"/>
      <c r="MO326" s="110"/>
      <c r="MP326" s="110"/>
      <c r="MQ326" s="110"/>
      <c r="MR326" s="110"/>
      <c r="MS326" s="110"/>
      <c r="MT326" s="110"/>
      <c r="MU326" s="110"/>
      <c r="MV326" s="110"/>
      <c r="MW326" s="110"/>
      <c r="MX326" s="110"/>
      <c r="MY326" s="110"/>
      <c r="MZ326" s="110"/>
      <c r="NA326" s="110"/>
      <c r="NB326" s="110"/>
      <c r="NC326" s="110"/>
      <c r="ND326" s="110"/>
      <c r="NE326" s="110"/>
      <c r="NF326" s="110"/>
      <c r="NG326" s="110"/>
      <c r="NH326" s="110"/>
      <c r="NI326" s="110"/>
      <c r="NJ326" s="110"/>
      <c r="NK326" s="110"/>
      <c r="NL326" s="110"/>
      <c r="NM326" s="110"/>
      <c r="NN326" s="110"/>
      <c r="NO326" s="110"/>
      <c r="NP326" s="110"/>
      <c r="NQ326" s="110"/>
      <c r="NR326" s="110"/>
      <c r="NS326" s="110"/>
      <c r="NT326" s="110"/>
      <c r="NU326" s="110"/>
      <c r="NV326" s="110"/>
      <c r="NW326" s="110"/>
      <c r="NX326" s="110"/>
      <c r="NY326" s="110"/>
      <c r="NZ326" s="110"/>
      <c r="OA326" s="110"/>
      <c r="OB326" s="110"/>
      <c r="OC326" s="110"/>
      <c r="OD326" s="110"/>
      <c r="OE326" s="110"/>
      <c r="OF326" s="110"/>
      <c r="OG326" s="110"/>
      <c r="OH326" s="110"/>
      <c r="OI326" s="110"/>
      <c r="OJ326" s="110"/>
      <c r="OK326" s="110"/>
      <c r="OL326" s="110"/>
      <c r="OM326" s="110"/>
      <c r="ON326" s="110"/>
      <c r="OO326" s="110"/>
      <c r="OP326" s="110"/>
      <c r="OQ326" s="110"/>
      <c r="OR326" s="110"/>
      <c r="OS326" s="110"/>
      <c r="OT326" s="110"/>
      <c r="OU326" s="110"/>
      <c r="OV326" s="110"/>
      <c r="OW326" s="110"/>
      <c r="OX326" s="110"/>
      <c r="OY326" s="110"/>
      <c r="OZ326" s="110"/>
      <c r="PA326" s="110"/>
      <c r="PB326" s="110"/>
      <c r="PC326" s="110"/>
      <c r="PD326" s="110"/>
      <c r="PE326" s="110"/>
      <c r="PF326" s="110"/>
      <c r="PG326" s="110"/>
      <c r="PH326" s="110"/>
      <c r="PI326" s="110"/>
      <c r="PJ326" s="110"/>
      <c r="PK326" s="110"/>
      <c r="PL326" s="110"/>
      <c r="PM326" s="110"/>
      <c r="PN326" s="110"/>
      <c r="PO326" s="110"/>
      <c r="PP326" s="110"/>
      <c r="PQ326" s="110"/>
      <c r="PR326" s="110"/>
      <c r="PS326" s="110"/>
      <c r="PT326" s="110"/>
      <c r="PU326" s="110"/>
      <c r="PV326" s="110"/>
      <c r="PW326" s="110"/>
      <c r="PX326" s="110"/>
      <c r="PY326" s="110"/>
      <c r="PZ326" s="110"/>
      <c r="QA326" s="110"/>
      <c r="QB326" s="110"/>
      <c r="QC326" s="110"/>
      <c r="QD326" s="110"/>
      <c r="QE326" s="110"/>
      <c r="QF326" s="110"/>
      <c r="QG326" s="110"/>
      <c r="QH326" s="110"/>
      <c r="QI326" s="110"/>
      <c r="QJ326" s="110"/>
      <c r="QK326" s="110"/>
      <c r="QL326" s="110"/>
      <c r="QM326" s="110"/>
      <c r="QN326" s="110"/>
      <c r="QO326" s="110"/>
      <c r="QP326" s="110"/>
      <c r="QQ326" s="110"/>
      <c r="QR326" s="110"/>
      <c r="QS326" s="110"/>
      <c r="QT326" s="110"/>
      <c r="QU326" s="110"/>
      <c r="QV326" s="110"/>
      <c r="QW326" s="110"/>
      <c r="QX326" s="110"/>
      <c r="QY326" s="110"/>
      <c r="QZ326" s="110"/>
      <c r="RA326" s="110"/>
      <c r="RB326" s="110"/>
      <c r="RC326" s="110"/>
      <c r="RD326" s="110"/>
      <c r="RE326" s="110"/>
      <c r="RF326" s="110"/>
      <c r="RG326" s="110"/>
      <c r="RH326" s="110"/>
      <c r="RI326" s="110"/>
      <c r="RJ326" s="110"/>
      <c r="RK326" s="110"/>
      <c r="RL326" s="110"/>
      <c r="RM326" s="110"/>
      <c r="RN326" s="110"/>
      <c r="RO326" s="110"/>
      <c r="RP326" s="110"/>
      <c r="RQ326" s="110"/>
      <c r="RR326" s="110"/>
      <c r="RS326" s="110"/>
      <c r="RT326" s="110"/>
      <c r="RU326" s="110"/>
      <c r="RV326" s="110"/>
      <c r="RW326" s="110"/>
      <c r="RX326" s="110"/>
      <c r="RY326" s="110"/>
      <c r="RZ326" s="110"/>
      <c r="SA326" s="110"/>
      <c r="SB326" s="110"/>
      <c r="SC326" s="110"/>
      <c r="SD326" s="110"/>
      <c r="SE326" s="110"/>
      <c r="SF326" s="110"/>
      <c r="SG326" s="110"/>
      <c r="SH326" s="110"/>
      <c r="SI326" s="110"/>
      <c r="SJ326" s="110"/>
      <c r="SK326" s="110"/>
      <c r="SL326" s="110"/>
      <c r="SM326" s="110"/>
      <c r="SN326" s="110"/>
      <c r="SO326" s="110"/>
      <c r="SP326" s="110"/>
      <c r="SQ326" s="110"/>
      <c r="SR326" s="110"/>
      <c r="SS326" s="110"/>
      <c r="ST326" s="110"/>
      <c r="SU326" s="110"/>
      <c r="SV326" s="110"/>
      <c r="SW326" s="110"/>
      <c r="SX326" s="110"/>
      <c r="SY326" s="110"/>
      <c r="SZ326" s="110"/>
      <c r="TA326" s="110"/>
      <c r="TB326" s="110"/>
      <c r="TC326" s="110"/>
      <c r="TD326" s="110"/>
      <c r="TE326" s="110"/>
      <c r="TF326" s="110"/>
      <c r="TG326" s="110"/>
      <c r="TH326" s="110"/>
      <c r="TI326" s="110"/>
      <c r="TJ326" s="110"/>
      <c r="TK326" s="110"/>
      <c r="TL326" s="110"/>
      <c r="TM326" s="110"/>
      <c r="TN326" s="110"/>
      <c r="TO326" s="110"/>
      <c r="TP326" s="110"/>
      <c r="TQ326" s="110"/>
      <c r="TR326" s="110"/>
      <c r="TS326" s="110"/>
      <c r="TT326" s="110"/>
      <c r="TU326" s="110"/>
      <c r="TV326" s="110"/>
      <c r="TW326" s="110"/>
      <c r="TX326" s="110"/>
      <c r="TY326" s="110"/>
      <c r="TZ326" s="110"/>
      <c r="UA326" s="110"/>
      <c r="UB326" s="110"/>
      <c r="UC326" s="110"/>
      <c r="UD326" s="110"/>
      <c r="UE326" s="110"/>
      <c r="UF326" s="110"/>
      <c r="UG326" s="110"/>
      <c r="UH326" s="110"/>
      <c r="UI326" s="110"/>
      <c r="UJ326" s="110"/>
      <c r="UK326" s="110"/>
      <c r="UL326" s="110"/>
      <c r="UM326" s="110"/>
      <c r="UN326" s="110"/>
      <c r="UO326" s="110"/>
      <c r="UP326" s="110"/>
      <c r="UQ326" s="110"/>
      <c r="UR326" s="110"/>
      <c r="US326" s="110"/>
      <c r="UT326" s="110"/>
      <c r="UU326" s="110"/>
      <c r="UV326" s="110"/>
      <c r="UW326" s="110"/>
      <c r="UX326" s="110"/>
      <c r="UY326" s="110"/>
      <c r="UZ326" s="110"/>
      <c r="VA326" s="110"/>
      <c r="VB326" s="110"/>
      <c r="VC326" s="110"/>
      <c r="VD326" s="110"/>
      <c r="VE326" s="110"/>
      <c r="VF326" s="110"/>
      <c r="VG326" s="110"/>
      <c r="VH326" s="110"/>
      <c r="VI326" s="110"/>
      <c r="VJ326" s="110"/>
      <c r="VK326" s="110"/>
      <c r="VL326" s="110"/>
      <c r="VM326" s="110"/>
      <c r="VN326" s="110"/>
      <c r="VO326" s="110"/>
      <c r="VP326" s="110"/>
      <c r="VQ326" s="110"/>
      <c r="VR326" s="110"/>
      <c r="VS326" s="110"/>
      <c r="VT326" s="110"/>
      <c r="VU326" s="110"/>
      <c r="VV326" s="110"/>
      <c r="VW326" s="110"/>
      <c r="VX326" s="110"/>
      <c r="VY326" s="110"/>
      <c r="VZ326" s="110"/>
      <c r="WA326" s="110"/>
      <c r="WB326" s="110"/>
      <c r="WC326" s="110"/>
      <c r="WD326" s="110"/>
      <c r="WE326" s="110"/>
      <c r="WF326" s="110"/>
      <c r="WG326" s="110"/>
      <c r="WH326" s="110"/>
      <c r="WI326" s="110"/>
      <c r="WJ326" s="110"/>
      <c r="WK326" s="110"/>
      <c r="WL326" s="110"/>
      <c r="WM326" s="110"/>
      <c r="WN326" s="110"/>
      <c r="WO326" s="110"/>
      <c r="WP326" s="110"/>
      <c r="WQ326" s="110"/>
      <c r="WR326" s="110"/>
      <c r="WS326" s="110"/>
      <c r="WT326" s="110"/>
      <c r="WU326" s="110"/>
      <c r="WV326" s="110"/>
      <c r="WW326" s="110"/>
      <c r="WX326" s="110"/>
      <c r="WY326" s="110"/>
      <c r="WZ326" s="110"/>
      <c r="XA326" s="110"/>
      <c r="XB326" s="110"/>
      <c r="XC326" s="110"/>
      <c r="XD326" s="110"/>
      <c r="XE326" s="110"/>
      <c r="XF326" s="110"/>
      <c r="XG326" s="110"/>
      <c r="XH326" s="110"/>
      <c r="XI326" s="110"/>
      <c r="XJ326" s="110"/>
      <c r="XK326" s="110"/>
      <c r="XL326" s="110"/>
      <c r="XM326" s="110"/>
      <c r="XN326" s="110"/>
      <c r="XO326" s="110"/>
      <c r="XP326" s="110"/>
      <c r="XQ326" s="110"/>
      <c r="XR326" s="110"/>
      <c r="XS326" s="110"/>
      <c r="XT326" s="110"/>
      <c r="XU326" s="110"/>
      <c r="XV326" s="110"/>
      <c r="XW326" s="110"/>
      <c r="XX326" s="110"/>
      <c r="XY326" s="110"/>
      <c r="XZ326" s="110"/>
      <c r="YA326" s="110"/>
      <c r="YB326" s="110"/>
      <c r="YC326" s="110"/>
      <c r="YD326" s="110"/>
      <c r="YE326" s="110"/>
      <c r="YF326" s="110"/>
      <c r="YG326" s="110"/>
      <c r="YH326" s="110"/>
      <c r="YI326" s="110"/>
      <c r="YJ326" s="110"/>
      <c r="YK326" s="110"/>
      <c r="YL326" s="110"/>
      <c r="YM326" s="110"/>
      <c r="YN326" s="110"/>
      <c r="YO326" s="110"/>
      <c r="YP326" s="110"/>
      <c r="YQ326" s="110"/>
      <c r="YR326" s="110"/>
      <c r="YS326" s="110"/>
      <c r="YT326" s="110"/>
      <c r="YU326" s="110"/>
      <c r="YV326" s="110"/>
      <c r="YW326" s="110"/>
      <c r="YX326" s="110"/>
      <c r="YY326" s="110"/>
      <c r="YZ326" s="110"/>
      <c r="ZA326" s="110"/>
      <c r="ZB326" s="110"/>
      <c r="ZC326" s="110"/>
      <c r="ZD326" s="110"/>
      <c r="ZE326" s="110"/>
      <c r="ZF326" s="110"/>
      <c r="ZG326" s="110"/>
      <c r="ZH326" s="110"/>
      <c r="ZI326" s="110"/>
      <c r="ZJ326" s="110"/>
      <c r="ZK326" s="110"/>
      <c r="ZL326" s="110"/>
      <c r="ZM326" s="110"/>
      <c r="ZN326" s="110"/>
      <c r="ZO326" s="110"/>
      <c r="ZP326" s="110"/>
      <c r="ZQ326" s="110"/>
      <c r="ZR326" s="110"/>
      <c r="ZS326" s="110"/>
      <c r="ZT326" s="110"/>
      <c r="ZU326" s="110"/>
      <c r="ZV326" s="110"/>
      <c r="ZW326" s="110"/>
      <c r="ZX326" s="110"/>
      <c r="ZY326" s="110"/>
      <c r="ZZ326" s="110"/>
      <c r="AAA326" s="110"/>
      <c r="AAB326" s="110"/>
      <c r="AAC326" s="110"/>
      <c r="AAD326" s="110"/>
      <c r="AAE326" s="110"/>
      <c r="AAF326" s="110"/>
      <c r="AAG326" s="110"/>
      <c r="AAH326" s="110"/>
      <c r="AAI326" s="110"/>
      <c r="AAJ326" s="110"/>
      <c r="AAK326" s="110"/>
      <c r="AAL326" s="110"/>
      <c r="AAM326" s="110"/>
      <c r="AAN326" s="110"/>
      <c r="AAO326" s="110"/>
      <c r="AAP326" s="110"/>
      <c r="AAQ326" s="110"/>
      <c r="AAR326" s="110"/>
      <c r="AAS326" s="110"/>
      <c r="AAT326" s="110"/>
      <c r="AAU326" s="110"/>
      <c r="AAV326" s="110"/>
      <c r="AAW326" s="110"/>
      <c r="AAX326" s="110"/>
      <c r="AAY326" s="110"/>
      <c r="AAZ326" s="110"/>
      <c r="ABA326" s="110"/>
      <c r="ABB326" s="110"/>
      <c r="ABC326" s="110"/>
      <c r="ABD326" s="110"/>
      <c r="ABE326" s="110"/>
      <c r="ABF326" s="110"/>
      <c r="ABG326" s="110"/>
      <c r="ABH326" s="110"/>
      <c r="ABI326" s="110"/>
      <c r="ABJ326" s="110"/>
      <c r="ABK326" s="110"/>
      <c r="ABL326" s="110"/>
      <c r="ABM326" s="110"/>
      <c r="ABN326" s="110"/>
      <c r="ABO326" s="110"/>
      <c r="ABP326" s="110"/>
      <c r="ABQ326" s="110"/>
      <c r="ABR326" s="110"/>
      <c r="ABS326" s="110"/>
      <c r="ABT326" s="110"/>
      <c r="ABU326" s="110"/>
      <c r="ABV326" s="110"/>
      <c r="ABW326" s="110"/>
      <c r="ABX326" s="110"/>
      <c r="ABY326" s="110"/>
      <c r="ABZ326" s="110"/>
      <c r="ACA326" s="110"/>
      <c r="ACB326" s="110"/>
      <c r="ACC326" s="110"/>
      <c r="ACD326" s="110"/>
      <c r="ACE326" s="110"/>
      <c r="ACF326" s="110"/>
      <c r="ACG326" s="110"/>
      <c r="ACH326" s="110"/>
      <c r="ACI326" s="110"/>
      <c r="ACJ326" s="110"/>
      <c r="ACK326" s="110"/>
      <c r="ACL326" s="110"/>
      <c r="ACM326" s="110"/>
      <c r="ACN326" s="110"/>
      <c r="ACO326" s="110"/>
      <c r="ACP326" s="110"/>
      <c r="ACQ326" s="110"/>
      <c r="ACR326" s="110"/>
      <c r="ACS326" s="110"/>
      <c r="ACT326" s="110"/>
      <c r="ACU326" s="110"/>
      <c r="ACV326" s="110"/>
      <c r="ACW326" s="110"/>
      <c r="ACX326" s="110"/>
      <c r="ACY326" s="110"/>
      <c r="ACZ326" s="110"/>
      <c r="ADA326" s="110"/>
      <c r="ADB326" s="110"/>
      <c r="ADC326" s="110"/>
      <c r="ADD326" s="110"/>
      <c r="ADE326" s="110"/>
      <c r="ADF326" s="110"/>
      <c r="ADG326" s="110"/>
      <c r="ADH326" s="110"/>
      <c r="ADI326" s="110"/>
      <c r="ADJ326" s="110"/>
      <c r="ADK326" s="110"/>
      <c r="ADL326" s="110"/>
      <c r="ADM326" s="110"/>
      <c r="ADN326" s="110"/>
      <c r="ADO326" s="110"/>
      <c r="ADP326" s="110"/>
      <c r="ADQ326" s="110"/>
      <c r="ADR326" s="110"/>
      <c r="ADS326" s="110"/>
      <c r="ADT326" s="110"/>
      <c r="ADU326" s="110"/>
      <c r="ADV326" s="110"/>
      <c r="ADW326" s="110"/>
      <c r="ADX326" s="110"/>
      <c r="ADY326" s="110"/>
      <c r="ADZ326" s="110"/>
      <c r="AEA326" s="110"/>
      <c r="AEB326" s="110"/>
      <c r="AEC326" s="110"/>
      <c r="AED326" s="110"/>
      <c r="AEE326" s="110"/>
      <c r="AEF326" s="110"/>
      <c r="AEG326" s="110"/>
      <c r="AEH326" s="110"/>
      <c r="AEI326" s="110"/>
      <c r="AEJ326" s="110"/>
      <c r="AEK326" s="110"/>
      <c r="AEL326" s="110"/>
      <c r="AEM326" s="110"/>
      <c r="AEN326" s="110"/>
      <c r="AEO326" s="110"/>
      <c r="AEP326" s="110"/>
      <c r="AEQ326" s="110"/>
      <c r="AER326" s="110"/>
      <c r="AES326" s="110"/>
      <c r="AET326" s="110"/>
      <c r="AEU326" s="110"/>
      <c r="AEV326" s="110"/>
      <c r="AEW326" s="110"/>
      <c r="AEX326" s="110"/>
      <c r="AEY326" s="110"/>
      <c r="AEZ326" s="110"/>
      <c r="AFA326" s="110"/>
      <c r="AFB326" s="110"/>
      <c r="AFC326" s="110"/>
      <c r="AFD326" s="110"/>
      <c r="AFE326" s="110"/>
      <c r="AFF326" s="110"/>
      <c r="AFG326" s="110"/>
      <c r="AFH326" s="110"/>
      <c r="AFI326" s="110"/>
      <c r="AFJ326" s="110"/>
      <c r="AFK326" s="110"/>
      <c r="AFL326" s="110"/>
      <c r="AFM326" s="110"/>
      <c r="AFN326" s="110"/>
      <c r="AFO326" s="110"/>
      <c r="AFP326" s="110"/>
      <c r="AFQ326" s="110"/>
      <c r="AFR326" s="110"/>
      <c r="AFS326" s="110"/>
      <c r="AFT326" s="110"/>
      <c r="AFU326" s="110"/>
      <c r="AFV326" s="110"/>
      <c r="AFW326" s="110"/>
      <c r="AFX326" s="110"/>
      <c r="AFY326" s="110"/>
      <c r="AFZ326" s="110"/>
      <c r="AGA326" s="110"/>
      <c r="AGB326" s="110"/>
      <c r="AGC326" s="110"/>
      <c r="AGD326" s="110"/>
      <c r="AGE326" s="110"/>
      <c r="AGF326" s="110"/>
      <c r="AGG326" s="110"/>
      <c r="AGH326" s="110"/>
      <c r="AGI326" s="110"/>
      <c r="AGJ326" s="110"/>
      <c r="AGK326" s="110"/>
      <c r="AGL326" s="110"/>
      <c r="AGM326" s="110"/>
      <c r="AGN326" s="110"/>
      <c r="AGO326" s="110"/>
      <c r="AGP326" s="110"/>
      <c r="AGQ326" s="110"/>
      <c r="AGR326" s="110"/>
      <c r="AGS326" s="110"/>
      <c r="AGT326" s="110"/>
      <c r="AGU326" s="110"/>
      <c r="AGV326" s="110"/>
      <c r="AGW326" s="110"/>
      <c r="AGX326" s="110"/>
      <c r="AGY326" s="110"/>
      <c r="AGZ326" s="110"/>
      <c r="AHA326" s="110"/>
      <c r="AHB326" s="110"/>
      <c r="AHC326" s="110"/>
      <c r="AHD326" s="110"/>
      <c r="AHE326" s="110"/>
      <c r="AHF326" s="110"/>
      <c r="AHG326" s="110"/>
      <c r="AHH326" s="110"/>
      <c r="AHI326" s="110"/>
      <c r="AHJ326" s="110"/>
      <c r="AHK326" s="110"/>
      <c r="AHL326" s="110"/>
      <c r="AHM326" s="110"/>
      <c r="AHN326" s="110"/>
      <c r="AHO326" s="110"/>
      <c r="AHP326" s="110"/>
      <c r="AHQ326" s="110"/>
      <c r="AHR326" s="110"/>
      <c r="AHS326" s="110"/>
      <c r="AHT326" s="110"/>
      <c r="AHU326" s="110"/>
      <c r="AHV326" s="110"/>
      <c r="AHW326" s="110"/>
      <c r="AHX326" s="110"/>
      <c r="AHY326" s="110"/>
      <c r="AHZ326" s="110"/>
      <c r="AIA326" s="110"/>
      <c r="AIB326" s="110"/>
      <c r="AIC326" s="110"/>
      <c r="AID326" s="110"/>
      <c r="AIE326" s="110"/>
      <c r="AIF326" s="110"/>
      <c r="AIG326" s="110"/>
      <c r="AIH326" s="110"/>
      <c r="AII326" s="110"/>
      <c r="AIJ326" s="110"/>
      <c r="AIK326" s="110"/>
      <c r="AIL326" s="110"/>
      <c r="AIM326" s="110"/>
      <c r="AIN326" s="110"/>
      <c r="AIO326" s="110"/>
      <c r="AIP326" s="110"/>
      <c r="AIQ326" s="110"/>
      <c r="AIR326" s="110"/>
      <c r="AIS326" s="110"/>
      <c r="AIT326" s="110"/>
      <c r="AIU326" s="110"/>
      <c r="AIV326" s="110"/>
      <c r="AIW326" s="110"/>
      <c r="AIX326" s="110"/>
      <c r="AIY326" s="110"/>
      <c r="AIZ326" s="110"/>
      <c r="AJA326" s="110"/>
      <c r="AJB326" s="110"/>
      <c r="AJC326" s="110"/>
      <c r="AJD326" s="110"/>
      <c r="AJE326" s="110"/>
      <c r="AJF326" s="110"/>
      <c r="AJG326" s="110"/>
      <c r="AJH326" s="110"/>
      <c r="AJI326" s="110"/>
      <c r="AJJ326" s="110"/>
      <c r="AJK326" s="110"/>
      <c r="AJL326" s="110"/>
      <c r="AJM326" s="110"/>
      <c r="AJN326" s="110"/>
      <c r="AJO326" s="110"/>
      <c r="AJP326" s="110"/>
      <c r="AJQ326" s="110"/>
      <c r="AJR326" s="110"/>
      <c r="AJS326" s="110"/>
      <c r="AJT326" s="110"/>
      <c r="AJU326" s="110"/>
      <c r="AJV326" s="110"/>
      <c r="AJW326" s="110"/>
      <c r="AJX326" s="110"/>
      <c r="AJY326" s="110"/>
      <c r="AJZ326" s="110"/>
      <c r="AKA326" s="110"/>
      <c r="AKB326" s="110"/>
      <c r="AKC326" s="110"/>
      <c r="AKD326" s="110"/>
      <c r="AKE326" s="110"/>
      <c r="AKF326" s="110"/>
      <c r="AKG326" s="110"/>
      <c r="AKH326" s="110"/>
      <c r="AKI326" s="110"/>
      <c r="AKJ326" s="110"/>
      <c r="AKK326" s="110"/>
      <c r="AKL326" s="110"/>
      <c r="AKM326" s="110"/>
      <c r="AKN326" s="110"/>
      <c r="AKO326" s="110"/>
      <c r="AKP326" s="110"/>
      <c r="AKQ326" s="110"/>
      <c r="AKR326" s="110"/>
      <c r="AKS326" s="110"/>
      <c r="AKT326" s="110"/>
      <c r="AKU326" s="110"/>
      <c r="AKV326" s="110"/>
      <c r="AKW326" s="110"/>
      <c r="AKX326" s="110"/>
      <c r="AKY326" s="110"/>
      <c r="AKZ326" s="110"/>
      <c r="ALA326" s="110"/>
      <c r="ALB326" s="110"/>
      <c r="ALC326" s="110"/>
      <c r="ALD326" s="110"/>
      <c r="ALE326" s="110"/>
      <c r="ALF326" s="110"/>
      <c r="ALG326" s="110"/>
      <c r="ALH326" s="110"/>
      <c r="ALI326" s="110"/>
      <c r="ALJ326" s="110"/>
      <c r="ALK326" s="110"/>
      <c r="ALL326" s="110"/>
      <c r="ALM326" s="110"/>
      <c r="ALN326" s="110"/>
      <c r="ALO326" s="110"/>
      <c r="ALP326" s="110"/>
      <c r="ALQ326" s="110"/>
      <c r="ALR326" s="110"/>
      <c r="ALS326" s="110"/>
      <c r="ALT326" s="110"/>
      <c r="ALU326" s="110"/>
      <c r="ALV326" s="110"/>
      <c r="ALW326" s="110"/>
      <c r="ALX326" s="110"/>
      <c r="ALY326" s="110"/>
      <c r="ALZ326" s="110"/>
      <c r="AMA326" s="110"/>
      <c r="AMB326" s="110"/>
      <c r="AMC326" s="110"/>
      <c r="AMD326" s="110"/>
      <c r="AME326" s="110"/>
      <c r="AMF326" s="110"/>
    </row>
    <row r="328" spans="6:35" ht="11.25" customHeight="1">
      <c r="F328" s="173"/>
      <c r="H328" s="128"/>
      <c r="N328" s="128"/>
      <c r="O328" s="128"/>
      <c r="P328" s="128"/>
      <c r="Q328" s="128"/>
      <c r="R328" s="128"/>
      <c r="S328" s="128"/>
      <c r="T328" s="128"/>
      <c r="U328" s="128"/>
      <c r="V328" s="128"/>
      <c r="W328" s="129">
        <f>W48-W55</f>
        <v>0</v>
      </c>
      <c r="X328" s="128"/>
      <c r="Y328" s="128"/>
      <c r="Z328" s="128"/>
      <c r="AA328" s="128"/>
      <c r="AB328" s="128"/>
      <c r="AC328" s="128"/>
      <c r="AD328" s="128"/>
      <c r="AG328" s="128"/>
      <c r="AH328" s="130"/>
      <c r="AI328" s="131"/>
    </row>
    <row r="332" ht="12.75">
      <c r="R332" s="168"/>
    </row>
  </sheetData>
  <autoFilter ref="A7:AZ326"/>
  <mergeCells count="14">
    <mergeCell ref="A1:AL1"/>
    <mergeCell ref="AL2:AL3"/>
    <mergeCell ref="G3:H3"/>
    <mergeCell ref="I3:J3"/>
    <mergeCell ref="AE6:AF6"/>
    <mergeCell ref="A5:D5"/>
    <mergeCell ref="O3:V3"/>
    <mergeCell ref="A4:D4"/>
    <mergeCell ref="E6:F6"/>
    <mergeCell ref="G6:H6"/>
    <mergeCell ref="I6:J6"/>
    <mergeCell ref="K6:L6"/>
    <mergeCell ref="W6:X6"/>
    <mergeCell ref="X3:AG4"/>
  </mergeCells>
  <dataValidations count="3">
    <dataValidation type="list" allowBlank="1" showInputMessage="1" showErrorMessage="1" error="VALOR INCORRECTO" sqref="F3:F4 AL4:AL5">
      <formula1>$AM$3:$AM$4</formula1>
      <formula2>0</formula2>
    </dataValidation>
    <dataValidation type="list" allowBlank="1" showInputMessage="1" showErrorMessage="1" error="VALOR INCORRECTO" sqref="F5">
      <formula1>Valores!$L$1:$L$10</formula1>
    </dataValidation>
    <dataValidation type="list" allowBlank="1" showInputMessage="1" showErrorMessage="1" sqref="AB8:AB326">
      <formula1>Valores!$N$2:$N$8</formula1>
    </dataValidation>
  </dataValidations>
  <printOptions/>
  <pageMargins left="0" right="0" top="0.7480314960629921" bottom="0.31496062992125984" header="0.3937007874015748" footer="0"/>
  <pageSetup horizontalDpi="600" verticalDpi="600" orientation="landscape" paperSize="9" scale="110" r:id="rId2"/>
  <headerFooter>
    <oddHeader>&amp;C&amp;F</oddHeader>
    <oddFooter>&amp;C&amp;P/&amp;N      &amp;D
</oddFooter>
  </headerFooter>
  <colBreaks count="1" manualBreakCount="1">
    <brk id="26" max="1638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1"/>
  <sheetViews>
    <sheetView workbookViewId="0" topLeftCell="A291">
      <selection activeCell="C306" sqref="C306:C315"/>
    </sheetView>
  </sheetViews>
  <sheetFormatPr defaultColWidth="11.421875" defaultRowHeight="12.75"/>
  <cols>
    <col min="1" max="1" width="44.00390625" style="0" bestFit="1" customWidth="1"/>
    <col min="2" max="2" width="5.00390625" style="0" bestFit="1" customWidth="1"/>
    <col min="3" max="3" width="7.421875" style="0" bestFit="1" customWidth="1"/>
    <col min="4" max="4" width="42.28125" style="0" bestFit="1" customWidth="1"/>
  </cols>
  <sheetData>
    <row r="1" spans="1:4" ht="12.75">
      <c r="A1" t="s">
        <v>659</v>
      </c>
      <c r="B1" t="s">
        <v>660</v>
      </c>
      <c r="C1" t="s">
        <v>76</v>
      </c>
      <c r="D1" t="s">
        <v>690</v>
      </c>
    </row>
    <row r="2" spans="1:4" ht="12.75">
      <c r="A2" t="str">
        <f>CONCATENATE(C2,"   ",D2)</f>
        <v xml:space="preserve">           SIN ESPECIFICAR</v>
      </c>
      <c r="C2" s="74" t="str">
        <f>REPT("  ",4)</f>
        <v xml:space="preserve">        </v>
      </c>
      <c r="D2" s="74" t="s">
        <v>692</v>
      </c>
    </row>
    <row r="3" spans="1:4" ht="12.75">
      <c r="A3" t="str">
        <f>CONCATENATE(C3,"   ",D3)</f>
        <v>13001   Director D.E.M.E.S.</v>
      </c>
      <c r="B3">
        <v>1</v>
      </c>
      <c r="C3">
        <v>13001</v>
      </c>
      <c r="D3" t="s">
        <v>111</v>
      </c>
    </row>
    <row r="4" spans="1:4" ht="12.75">
      <c r="A4" t="str">
        <f aca="true" t="shared" si="0" ref="A4:A67">CONCATENATE(C4,"   ",D4)</f>
        <v>13002   Director D.N.I.P.y P</v>
      </c>
      <c r="B4">
        <v>2</v>
      </c>
      <c r="C4">
        <v>13002</v>
      </c>
      <c r="D4" t="s">
        <v>113</v>
      </c>
    </row>
    <row r="5" spans="1:4" ht="12.75">
      <c r="A5" t="str">
        <f t="shared" si="0"/>
        <v>13003   Asesor Técnico</v>
      </c>
      <c r="B5">
        <v>3</v>
      </c>
      <c r="C5">
        <v>13003</v>
      </c>
      <c r="D5" t="s">
        <v>115</v>
      </c>
    </row>
    <row r="6" spans="1:4" ht="12.75">
      <c r="A6" t="str">
        <f t="shared" si="0"/>
        <v>13004   Director D.I.I.E.</v>
      </c>
      <c r="B6">
        <v>4</v>
      </c>
      <c r="C6">
        <v>13004</v>
      </c>
      <c r="D6" t="s">
        <v>117</v>
      </c>
    </row>
    <row r="7" spans="1:4" ht="12.75">
      <c r="A7" t="str">
        <f t="shared" si="0"/>
        <v>13005   Director D.I.P.E.</v>
      </c>
      <c r="B7">
        <v>5</v>
      </c>
      <c r="C7">
        <v>13005</v>
      </c>
      <c r="D7" t="s">
        <v>119</v>
      </c>
    </row>
    <row r="8" spans="1:4" ht="12.75">
      <c r="A8" t="str">
        <f t="shared" si="0"/>
        <v>13006   Director D.A.E.I.</v>
      </c>
      <c r="B8">
        <v>6</v>
      </c>
      <c r="C8">
        <v>13006</v>
      </c>
      <c r="D8" t="s">
        <v>121</v>
      </c>
    </row>
    <row r="9" spans="1:4" ht="12.75">
      <c r="A9" t="str">
        <f t="shared" si="0"/>
        <v>13007   Director D.E.A</v>
      </c>
      <c r="B9">
        <v>7</v>
      </c>
      <c r="C9">
        <v>13007</v>
      </c>
      <c r="D9" t="s">
        <v>123</v>
      </c>
    </row>
    <row r="10" spans="1:4" ht="12.75">
      <c r="A10" t="str">
        <f t="shared" si="0"/>
        <v>13009   Director D.E.F.</v>
      </c>
      <c r="B10">
        <v>8</v>
      </c>
      <c r="C10">
        <v>13009</v>
      </c>
      <c r="D10" t="s">
        <v>125</v>
      </c>
    </row>
    <row r="11" spans="1:4" ht="12.75">
      <c r="A11" t="str">
        <f t="shared" si="0"/>
        <v>13010   Subdirector D.I.I.E.</v>
      </c>
      <c r="B11">
        <v>9</v>
      </c>
      <c r="C11">
        <v>13010</v>
      </c>
      <c r="D11" t="s">
        <v>127</v>
      </c>
    </row>
    <row r="12" spans="1:4" ht="12.75">
      <c r="A12" t="str">
        <f t="shared" si="0"/>
        <v>13011   Subdirector D.E.M.E.S.</v>
      </c>
      <c r="B12">
        <v>10</v>
      </c>
      <c r="C12">
        <v>13011</v>
      </c>
      <c r="D12" t="s">
        <v>129</v>
      </c>
    </row>
    <row r="13" spans="1:4" ht="12.75">
      <c r="A13" t="str">
        <f t="shared" si="0"/>
        <v>13012   Subdirector Perfecc. Educativo</v>
      </c>
      <c r="B13">
        <v>11</v>
      </c>
      <c r="C13">
        <v>13012</v>
      </c>
      <c r="D13" t="s">
        <v>131</v>
      </c>
    </row>
    <row r="14" spans="1:4" ht="12.75">
      <c r="A14" t="str">
        <f t="shared" si="0"/>
        <v>13013   Subdirector D.N.I.P.y P.</v>
      </c>
      <c r="B14">
        <v>12</v>
      </c>
      <c r="C14">
        <v>13013</v>
      </c>
      <c r="D14" t="s">
        <v>133</v>
      </c>
    </row>
    <row r="15" spans="1:4" ht="12.75">
      <c r="A15" t="str">
        <f t="shared" si="0"/>
        <v>13014   Subdirector D.I.P.E.</v>
      </c>
      <c r="B15">
        <v>13</v>
      </c>
      <c r="C15">
        <v>13014</v>
      </c>
      <c r="D15" t="s">
        <v>135</v>
      </c>
    </row>
    <row r="16" spans="1:4" ht="12.75">
      <c r="A16" t="str">
        <f t="shared" si="0"/>
        <v>13015   Inspector Gral. D.N.I.P. y P.</v>
      </c>
      <c r="B16">
        <v>14</v>
      </c>
      <c r="C16">
        <v>13015</v>
      </c>
      <c r="D16" t="s">
        <v>137</v>
      </c>
    </row>
    <row r="17" spans="1:4" ht="12.75">
      <c r="A17" t="str">
        <f t="shared" si="0"/>
        <v>13016   Subdirector D.A.E.I.</v>
      </c>
      <c r="B17">
        <v>15</v>
      </c>
      <c r="C17">
        <v>13016</v>
      </c>
      <c r="D17" t="s">
        <v>139</v>
      </c>
    </row>
    <row r="18" spans="1:4" ht="12.75">
      <c r="A18" t="str">
        <f t="shared" si="0"/>
        <v>13017   Subdirector D.E.F.</v>
      </c>
      <c r="B18">
        <v>16</v>
      </c>
      <c r="C18">
        <v>13017</v>
      </c>
      <c r="D18" t="s">
        <v>141</v>
      </c>
    </row>
    <row r="19" spans="1:4" ht="12.75">
      <c r="A19" t="str">
        <f t="shared" si="0"/>
        <v>13018   Subdirector D.E.A.</v>
      </c>
      <c r="B19">
        <v>17</v>
      </c>
      <c r="C19">
        <v>13018</v>
      </c>
      <c r="D19" t="s">
        <v>143</v>
      </c>
    </row>
    <row r="20" spans="1:4" ht="12.75">
      <c r="A20" t="str">
        <f t="shared" si="0"/>
        <v>13019   Inspector Gral.D.E.M.E.S.</v>
      </c>
      <c r="B20">
        <v>18</v>
      </c>
      <c r="C20">
        <v>13019</v>
      </c>
      <c r="D20" t="s">
        <v>145</v>
      </c>
    </row>
    <row r="21" spans="1:4" ht="12.75">
      <c r="A21" t="str">
        <f t="shared" si="0"/>
        <v xml:space="preserve">13020   Inspector Gral. De Adultos </v>
      </c>
      <c r="B21">
        <v>19</v>
      </c>
      <c r="C21">
        <v>13020</v>
      </c>
      <c r="D21" t="s">
        <v>147</v>
      </c>
    </row>
    <row r="22" spans="1:4" ht="12.75">
      <c r="A22" t="str">
        <f t="shared" si="0"/>
        <v>13021   Inspector Gral. D.I.P.E.</v>
      </c>
      <c r="B22">
        <v>20</v>
      </c>
      <c r="C22">
        <v>13021</v>
      </c>
      <c r="D22" t="s">
        <v>149</v>
      </c>
    </row>
    <row r="23" spans="1:4" ht="12.75">
      <c r="A23" t="str">
        <f t="shared" si="0"/>
        <v>13023   Inspector Gral. D.E.F.</v>
      </c>
      <c r="B23">
        <v>21</v>
      </c>
      <c r="C23">
        <v>13023</v>
      </c>
      <c r="D23" t="s">
        <v>151</v>
      </c>
    </row>
    <row r="24" spans="1:4" ht="12.75">
      <c r="A24" t="str">
        <f t="shared" si="0"/>
        <v>13024   Subinspector Gral. D.E.M.E.S.</v>
      </c>
      <c r="B24">
        <v>22</v>
      </c>
      <c r="C24">
        <v>13024</v>
      </c>
      <c r="D24" t="s">
        <v>153</v>
      </c>
    </row>
    <row r="25" spans="1:4" ht="12.75">
      <c r="A25" t="str">
        <f t="shared" si="0"/>
        <v>13025   Subinspector Gral. D.E.F.</v>
      </c>
      <c r="B25">
        <v>23</v>
      </c>
      <c r="C25">
        <v>13025</v>
      </c>
      <c r="D25" t="s">
        <v>155</v>
      </c>
    </row>
    <row r="26" spans="1:4" ht="12.75">
      <c r="A26" t="str">
        <f t="shared" si="0"/>
        <v>13030   Subinspector Gral. D.N.I.P. y P.</v>
      </c>
      <c r="B26">
        <v>24</v>
      </c>
      <c r="C26">
        <v>13030</v>
      </c>
      <c r="D26" t="s">
        <v>157</v>
      </c>
    </row>
    <row r="27" spans="1:4" ht="12.75">
      <c r="A27" t="str">
        <f t="shared" si="0"/>
        <v>13035   Inspector Gral. Instituto del Menor</v>
      </c>
      <c r="B27">
        <v>25</v>
      </c>
      <c r="C27">
        <v>13035</v>
      </c>
      <c r="D27" t="s">
        <v>159</v>
      </c>
    </row>
    <row r="28" spans="1:4" ht="12.75">
      <c r="A28" t="str">
        <f t="shared" si="0"/>
        <v>13040   Inspector D.E.M.E.S.</v>
      </c>
      <c r="B28">
        <v>26</v>
      </c>
      <c r="C28">
        <v>13040</v>
      </c>
      <c r="D28" t="s">
        <v>161</v>
      </c>
    </row>
    <row r="29" spans="1:4" ht="12.75">
      <c r="A29" t="str">
        <f t="shared" si="0"/>
        <v>13041   Inspector de Jovenes y Adultos</v>
      </c>
      <c r="B29">
        <v>27</v>
      </c>
      <c r="C29">
        <v>13041</v>
      </c>
      <c r="D29" t="s">
        <v>163</v>
      </c>
    </row>
    <row r="30" spans="1:4" ht="12.75">
      <c r="A30" t="str">
        <f t="shared" si="0"/>
        <v>13045   Inspector D.E.F.</v>
      </c>
      <c r="B30">
        <v>28</v>
      </c>
      <c r="C30">
        <v>13045</v>
      </c>
      <c r="D30" t="s">
        <v>165</v>
      </c>
    </row>
    <row r="31" spans="1:4" ht="12.75">
      <c r="A31" t="str">
        <f t="shared" si="0"/>
        <v>13050   Inspector Educación Complem.</v>
      </c>
      <c r="B31">
        <v>29</v>
      </c>
      <c r="C31">
        <v>13050</v>
      </c>
      <c r="D31" t="s">
        <v>167</v>
      </c>
    </row>
    <row r="32" spans="1:4" ht="12.75">
      <c r="A32" t="str">
        <f t="shared" si="0"/>
        <v>13055   Inspector Instituto del Menor</v>
      </c>
      <c r="B32">
        <v>30</v>
      </c>
      <c r="C32">
        <v>13055</v>
      </c>
      <c r="D32" t="s">
        <v>169</v>
      </c>
    </row>
    <row r="33" spans="1:4" ht="12.75">
      <c r="A33" t="str">
        <f t="shared" si="0"/>
        <v>13060   Jefe Departamento Nutrición</v>
      </c>
      <c r="B33">
        <v>31</v>
      </c>
      <c r="C33">
        <v>13060</v>
      </c>
      <c r="D33" t="s">
        <v>171</v>
      </c>
    </row>
    <row r="34" spans="1:4" ht="12.75">
      <c r="A34" t="str">
        <f t="shared" si="0"/>
        <v>13065   Inspector D.N.I.P.y P.</v>
      </c>
      <c r="B34">
        <v>32</v>
      </c>
      <c r="C34">
        <v>13065</v>
      </c>
      <c r="D34" t="s">
        <v>173</v>
      </c>
    </row>
    <row r="35" spans="1:4" ht="12.75">
      <c r="A35" t="str">
        <f t="shared" si="0"/>
        <v>13070   Supervisor Enseñanza Religiosa</v>
      </c>
      <c r="B35">
        <v>33</v>
      </c>
      <c r="C35">
        <v>13070</v>
      </c>
      <c r="D35" t="s">
        <v>175</v>
      </c>
    </row>
    <row r="36" spans="1:4" ht="12.75">
      <c r="A36" t="str">
        <f t="shared" si="0"/>
        <v>13080   Jefe Departamento Planeamiento</v>
      </c>
      <c r="B36">
        <v>34</v>
      </c>
      <c r="C36">
        <v>13080</v>
      </c>
      <c r="D36" t="s">
        <v>177</v>
      </c>
    </row>
    <row r="37" spans="1:4" ht="12.75">
      <c r="A37" t="str">
        <f t="shared" si="0"/>
        <v>13085   Jefe Departamento Planeamiento</v>
      </c>
      <c r="B37">
        <v>35</v>
      </c>
      <c r="C37">
        <v>13085</v>
      </c>
      <c r="D37" t="s">
        <v>177</v>
      </c>
    </row>
    <row r="38" spans="1:4" ht="12.75">
      <c r="A38" t="str">
        <f t="shared" si="0"/>
        <v>13090   Analista Mayor Planeamiento</v>
      </c>
      <c r="B38">
        <v>36</v>
      </c>
      <c r="C38">
        <v>13090</v>
      </c>
      <c r="D38" t="s">
        <v>180</v>
      </c>
    </row>
    <row r="39" spans="1:4" ht="12.75">
      <c r="A39" t="str">
        <f t="shared" si="0"/>
        <v>13095   Analista Principal Planeamiento</v>
      </c>
      <c r="B39">
        <v>37</v>
      </c>
      <c r="C39">
        <v>13095</v>
      </c>
      <c r="D39" t="s">
        <v>182</v>
      </c>
    </row>
    <row r="40" spans="1:4" ht="12.75">
      <c r="A40" t="str">
        <f t="shared" si="0"/>
        <v>13100   Presidente Junta Clas. Primaria</v>
      </c>
      <c r="B40">
        <v>38</v>
      </c>
      <c r="C40">
        <v>13100</v>
      </c>
      <c r="D40" t="s">
        <v>184</v>
      </c>
    </row>
    <row r="41" spans="1:4" ht="12.75">
      <c r="A41" t="str">
        <f t="shared" si="0"/>
        <v>13101   Vocal Junta Clas. Primaria</v>
      </c>
      <c r="B41">
        <v>39</v>
      </c>
      <c r="C41">
        <v>13101</v>
      </c>
      <c r="D41" t="s">
        <v>186</v>
      </c>
    </row>
    <row r="42" spans="1:4" ht="12.75">
      <c r="A42" t="str">
        <f t="shared" si="0"/>
        <v>13102   Miembro Vocal de Junta D.E.M.E.S.</v>
      </c>
      <c r="B42">
        <v>40</v>
      </c>
      <c r="C42">
        <v>13102</v>
      </c>
      <c r="D42" t="s">
        <v>188</v>
      </c>
    </row>
    <row r="43" spans="1:4" ht="12.75">
      <c r="A43" t="str">
        <f t="shared" si="0"/>
        <v>13105   Director de 1ª Enseñanza Superior</v>
      </c>
      <c r="B43">
        <v>41</v>
      </c>
      <c r="C43">
        <v>13105</v>
      </c>
      <c r="D43" t="s">
        <v>190</v>
      </c>
    </row>
    <row r="44" spans="1:4" ht="12.75">
      <c r="A44" t="str">
        <f t="shared" si="0"/>
        <v>13110   Director de 2ª Enseñanza Superior</v>
      </c>
      <c r="B44">
        <v>42</v>
      </c>
      <c r="C44">
        <v>13110</v>
      </c>
      <c r="D44" t="s">
        <v>192</v>
      </c>
    </row>
    <row r="45" spans="1:4" ht="12.75">
      <c r="A45" t="str">
        <f t="shared" si="0"/>
        <v>13115   Vicedirector de Enseñ. Superior</v>
      </c>
      <c r="B45">
        <v>43</v>
      </c>
      <c r="C45">
        <v>13115</v>
      </c>
      <c r="D45" t="s">
        <v>194</v>
      </c>
    </row>
    <row r="46" spans="1:4" ht="12.75">
      <c r="A46" t="str">
        <f t="shared" si="0"/>
        <v>13120   Regente de Enseñ. Superior</v>
      </c>
      <c r="B46">
        <v>44</v>
      </c>
      <c r="C46">
        <v>13120</v>
      </c>
      <c r="D46" t="s">
        <v>196</v>
      </c>
    </row>
    <row r="47" spans="1:4" ht="12.75">
      <c r="A47" t="str">
        <f t="shared" si="0"/>
        <v>13140   Director de 1ª Ens. Media J. Comp</v>
      </c>
      <c r="B47">
        <v>45</v>
      </c>
      <c r="C47">
        <v>13140</v>
      </c>
      <c r="D47" t="s">
        <v>198</v>
      </c>
    </row>
    <row r="48" spans="1:4" ht="12.75">
      <c r="A48" t="str">
        <f t="shared" si="0"/>
        <v>13143   Director de 2ª Ens. Media J. Comp</v>
      </c>
      <c r="B48">
        <v>46</v>
      </c>
      <c r="C48">
        <v>13143</v>
      </c>
      <c r="D48" t="s">
        <v>200</v>
      </c>
    </row>
    <row r="49" spans="1:4" ht="12.75">
      <c r="A49" t="str">
        <f t="shared" si="0"/>
        <v>13145   Director de 3ª Ens. Media J. Comp</v>
      </c>
      <c r="B49">
        <v>47</v>
      </c>
      <c r="C49">
        <v>13145</v>
      </c>
      <c r="D49" t="s">
        <v>202</v>
      </c>
    </row>
    <row r="50" spans="1:4" ht="12.75">
      <c r="A50" t="str">
        <f t="shared" si="0"/>
        <v>13150   Director de 1ª Ens. Media</v>
      </c>
      <c r="B50">
        <v>48</v>
      </c>
      <c r="C50">
        <v>13150</v>
      </c>
      <c r="D50" t="s">
        <v>204</v>
      </c>
    </row>
    <row r="51" spans="1:4" ht="12.75">
      <c r="A51" t="str">
        <f t="shared" si="0"/>
        <v>13153   Director de 1ª Ens. Especial</v>
      </c>
      <c r="B51">
        <v>49</v>
      </c>
      <c r="C51">
        <v>13153</v>
      </c>
      <c r="D51" t="s">
        <v>206</v>
      </c>
    </row>
    <row r="52" spans="1:4" ht="12.75">
      <c r="A52" t="str">
        <f t="shared" si="0"/>
        <v>13155   Director de 2ª Ens. Media</v>
      </c>
      <c r="B52">
        <v>50</v>
      </c>
      <c r="C52">
        <v>13155</v>
      </c>
      <c r="D52" t="s">
        <v>208</v>
      </c>
    </row>
    <row r="53" spans="1:4" ht="12.75">
      <c r="A53" t="str">
        <f t="shared" si="0"/>
        <v>13157   Director de 2ª Ens. Especial</v>
      </c>
      <c r="B53">
        <v>51</v>
      </c>
      <c r="C53">
        <v>13157</v>
      </c>
      <c r="D53" t="s">
        <v>210</v>
      </c>
    </row>
    <row r="54" spans="1:4" ht="12.75">
      <c r="A54" t="str">
        <f t="shared" si="0"/>
        <v>13160   Director de 3ª Ens. Media</v>
      </c>
      <c r="B54">
        <v>52</v>
      </c>
      <c r="C54">
        <v>13160</v>
      </c>
      <c r="D54" t="s">
        <v>212</v>
      </c>
    </row>
    <row r="55" spans="1:4" ht="12.75">
      <c r="A55" t="str">
        <f t="shared" si="0"/>
        <v>13163   Director de 3ª Ens. Especial</v>
      </c>
      <c r="B55">
        <v>53</v>
      </c>
      <c r="C55">
        <v>13163</v>
      </c>
      <c r="D55" t="s">
        <v>214</v>
      </c>
    </row>
    <row r="56" spans="1:4" ht="12.75">
      <c r="A56" t="str">
        <f t="shared" si="0"/>
        <v>13164   Vicedirector Ens. Media J. Compl.</v>
      </c>
      <c r="B56">
        <v>54</v>
      </c>
      <c r="C56">
        <v>13164</v>
      </c>
      <c r="D56" t="s">
        <v>216</v>
      </c>
    </row>
    <row r="57" spans="1:4" ht="12.75">
      <c r="A57" t="str">
        <f t="shared" si="0"/>
        <v>13165   Vicedirector de 1ª  Ens. Media</v>
      </c>
      <c r="B57">
        <v>55</v>
      </c>
      <c r="C57">
        <v>13165</v>
      </c>
      <c r="D57" t="s">
        <v>218</v>
      </c>
    </row>
    <row r="58" spans="1:4" ht="12.75">
      <c r="A58" t="str">
        <f t="shared" si="0"/>
        <v>13167   Vicedirector de 1ª  Ens. Especial</v>
      </c>
      <c r="B58">
        <v>56</v>
      </c>
      <c r="C58">
        <v>13167</v>
      </c>
      <c r="D58" t="s">
        <v>220</v>
      </c>
    </row>
    <row r="59" spans="1:4" ht="12.75">
      <c r="A59" t="str">
        <f t="shared" si="0"/>
        <v>13170   Vicedirector de 2ª  Ens. Media</v>
      </c>
      <c r="B59">
        <v>57</v>
      </c>
      <c r="C59">
        <v>13170</v>
      </c>
      <c r="D59" t="s">
        <v>222</v>
      </c>
    </row>
    <row r="60" spans="1:4" ht="12.75">
      <c r="A60" t="str">
        <f t="shared" si="0"/>
        <v>13173   Vicedirector de 2ª  Ens. Especial</v>
      </c>
      <c r="B60">
        <v>58</v>
      </c>
      <c r="C60">
        <v>13173</v>
      </c>
      <c r="D60" t="s">
        <v>224</v>
      </c>
    </row>
    <row r="61" spans="1:4" ht="12.75">
      <c r="A61" t="str">
        <f t="shared" si="0"/>
        <v>13175   Vicedirector de 3ª  Ens. Media</v>
      </c>
      <c r="B61">
        <v>59</v>
      </c>
      <c r="C61">
        <v>13175</v>
      </c>
      <c r="D61" t="s">
        <v>226</v>
      </c>
    </row>
    <row r="62" spans="1:4" ht="12.75">
      <c r="A62" t="str">
        <f t="shared" si="0"/>
        <v>13178   Vicedirector de 3ª  Ens. Especial</v>
      </c>
      <c r="B62">
        <v>60</v>
      </c>
      <c r="C62">
        <v>13178</v>
      </c>
      <c r="D62" t="s">
        <v>228</v>
      </c>
    </row>
    <row r="63" spans="1:4" ht="12.75">
      <c r="A63" t="str">
        <f t="shared" si="0"/>
        <v>13179   Asesor Pedagógico Proyecto 13</v>
      </c>
      <c r="B63">
        <v>61</v>
      </c>
      <c r="C63">
        <v>13179</v>
      </c>
      <c r="D63" t="s">
        <v>230</v>
      </c>
    </row>
    <row r="64" spans="1:4" ht="12.75">
      <c r="A64" t="str">
        <f t="shared" si="0"/>
        <v>13180   Regente de 1ª Ens. Media</v>
      </c>
      <c r="B64">
        <v>62</v>
      </c>
      <c r="C64">
        <v>13180</v>
      </c>
      <c r="D64" t="s">
        <v>232</v>
      </c>
    </row>
    <row r="65" spans="1:4" ht="12.75">
      <c r="A65" t="str">
        <f t="shared" si="0"/>
        <v>13181   Regente de 1ª Ens. Media J. Com.</v>
      </c>
      <c r="B65">
        <v>63</v>
      </c>
      <c r="C65">
        <v>13181</v>
      </c>
      <c r="D65" t="s">
        <v>234</v>
      </c>
    </row>
    <row r="66" spans="1:4" ht="12.75">
      <c r="A66" t="str">
        <f t="shared" si="0"/>
        <v>13183   Regente de 1ª Ens. Primaria</v>
      </c>
      <c r="B66">
        <v>64</v>
      </c>
      <c r="C66">
        <v>13183</v>
      </c>
      <c r="D66" t="s">
        <v>236</v>
      </c>
    </row>
    <row r="67" spans="1:4" ht="12.75">
      <c r="A67" t="str">
        <f t="shared" si="0"/>
        <v>13184   Regente de 2ª Ens. Media J. Com.</v>
      </c>
      <c r="B67">
        <v>65</v>
      </c>
      <c r="C67">
        <v>13184</v>
      </c>
      <c r="D67" t="s">
        <v>238</v>
      </c>
    </row>
    <row r="68" spans="1:4" ht="12.75">
      <c r="A68" t="str">
        <f aca="true" t="shared" si="1" ref="A68:A131">CONCATENATE(C68,"   ",D68)</f>
        <v>13185   Regente Educación Artística</v>
      </c>
      <c r="B68">
        <v>66</v>
      </c>
      <c r="C68">
        <v>13185</v>
      </c>
      <c r="D68" t="s">
        <v>240</v>
      </c>
    </row>
    <row r="69" spans="1:4" ht="12.75">
      <c r="A69" t="str">
        <f t="shared" si="1"/>
        <v>13186   Regente de 3ª Ens. Media J. Com.</v>
      </c>
      <c r="B69">
        <v>67</v>
      </c>
      <c r="C69">
        <v>13186</v>
      </c>
      <c r="D69" t="s">
        <v>242</v>
      </c>
    </row>
    <row r="70" spans="1:4" ht="12.75">
      <c r="A70" t="str">
        <f t="shared" si="1"/>
        <v>13187   Director de Coro</v>
      </c>
      <c r="B70">
        <v>68</v>
      </c>
      <c r="C70">
        <v>13187</v>
      </c>
      <c r="D70" t="s">
        <v>244</v>
      </c>
    </row>
    <row r="71" spans="1:4" ht="12.75">
      <c r="A71" t="str">
        <f t="shared" si="1"/>
        <v>13188   Director de Coro Jornada Reducida</v>
      </c>
      <c r="B71">
        <v>69</v>
      </c>
      <c r="C71">
        <v>13188</v>
      </c>
      <c r="D71" t="s">
        <v>246</v>
      </c>
    </row>
    <row r="72" spans="1:4" ht="12.75">
      <c r="A72" t="str">
        <f t="shared" si="1"/>
        <v>13189   Director de Orquesta de Ctro.Educ</v>
      </c>
      <c r="B72">
        <v>70</v>
      </c>
      <c r="C72">
        <v>13189</v>
      </c>
      <c r="D72" t="s">
        <v>248</v>
      </c>
    </row>
    <row r="73" spans="1:4" ht="12.75">
      <c r="A73" t="str">
        <f t="shared" si="1"/>
        <v>13190   Jefe Gabinete Psicopedagógico</v>
      </c>
      <c r="B73">
        <v>71</v>
      </c>
      <c r="C73">
        <v>13190</v>
      </c>
      <c r="D73" t="s">
        <v>250</v>
      </c>
    </row>
    <row r="74" spans="1:4" ht="12.75">
      <c r="A74" t="str">
        <f t="shared" si="1"/>
        <v>13195   Regente de 2ª Ens. Media</v>
      </c>
      <c r="B74">
        <v>72</v>
      </c>
      <c r="C74">
        <v>13195</v>
      </c>
      <c r="D74" t="s">
        <v>252</v>
      </c>
    </row>
    <row r="75" spans="1:4" ht="12.75">
      <c r="A75" t="str">
        <f t="shared" si="1"/>
        <v>13196   Regente de 3ª Ens. Media</v>
      </c>
      <c r="B75">
        <v>73</v>
      </c>
      <c r="C75">
        <v>13196</v>
      </c>
      <c r="D75" t="s">
        <v>254</v>
      </c>
    </row>
    <row r="76" spans="1:4" ht="12.75">
      <c r="A76" t="str">
        <f t="shared" si="1"/>
        <v>13197   Regente de 2ª Ens. Primaria</v>
      </c>
      <c r="B76">
        <v>74</v>
      </c>
      <c r="C76">
        <v>13197</v>
      </c>
      <c r="D76" t="s">
        <v>256</v>
      </c>
    </row>
    <row r="77" spans="1:4" ht="12.75">
      <c r="A77" t="str">
        <f t="shared" si="1"/>
        <v>13200   Subregente de 1ª Ens. Media</v>
      </c>
      <c r="B77">
        <v>75</v>
      </c>
      <c r="C77">
        <v>13200</v>
      </c>
      <c r="D77" t="s">
        <v>258</v>
      </c>
    </row>
    <row r="78" spans="1:4" ht="12.75">
      <c r="A78" t="str">
        <f t="shared" si="1"/>
        <v>13203   Subregente de 1ª Ens. Primaria</v>
      </c>
      <c r="B78">
        <v>76</v>
      </c>
      <c r="C78">
        <v>13203</v>
      </c>
      <c r="D78" t="s">
        <v>260</v>
      </c>
    </row>
    <row r="79" spans="1:4" ht="12.75">
      <c r="A79" t="str">
        <f t="shared" si="1"/>
        <v>13205   Jefe Departamento Didáctico</v>
      </c>
      <c r="B79">
        <v>77</v>
      </c>
      <c r="C79">
        <v>13205</v>
      </c>
      <c r="D79" t="s">
        <v>262</v>
      </c>
    </row>
    <row r="80" spans="1:4" ht="12.75">
      <c r="A80" t="str">
        <f t="shared" si="1"/>
        <v>13210   Coordinador Curso Ens. Superior</v>
      </c>
      <c r="B80">
        <v>78</v>
      </c>
      <c r="C80">
        <v>13210</v>
      </c>
      <c r="D80" t="s">
        <v>264</v>
      </c>
    </row>
    <row r="81" spans="1:4" ht="12.75">
      <c r="A81" t="str">
        <f t="shared" si="1"/>
        <v>13215   Coordinador Curso Ens. Media</v>
      </c>
      <c r="B81">
        <v>79</v>
      </c>
      <c r="C81">
        <v>13215</v>
      </c>
      <c r="D81" t="s">
        <v>266</v>
      </c>
    </row>
    <row r="82" spans="1:4" ht="12.75">
      <c r="A82" t="str">
        <f t="shared" si="1"/>
        <v>13250   Director Cantina Base</v>
      </c>
      <c r="B82">
        <v>80</v>
      </c>
      <c r="C82">
        <v>13250</v>
      </c>
      <c r="D82" t="s">
        <v>268</v>
      </c>
    </row>
    <row r="83" spans="1:4" ht="12.75">
      <c r="A83" t="str">
        <f t="shared" si="1"/>
        <v>13255   Director de 1ª Ens. Primaria</v>
      </c>
      <c r="B83">
        <v>81</v>
      </c>
      <c r="C83">
        <v>13255</v>
      </c>
      <c r="D83" t="s">
        <v>270</v>
      </c>
    </row>
    <row r="84" spans="1:4" ht="12.75">
      <c r="A84" t="str">
        <f t="shared" si="1"/>
        <v>13255   Director de 1ª Ens. Primaria (Jardin Inf)</v>
      </c>
      <c r="B84">
        <v>82</v>
      </c>
      <c r="C84">
        <v>13255</v>
      </c>
      <c r="D84" t="s">
        <v>271</v>
      </c>
    </row>
    <row r="85" spans="1:4" ht="12.75">
      <c r="A85" t="str">
        <f t="shared" si="1"/>
        <v>13260   Director de 2ª Ens. Primaria</v>
      </c>
      <c r="B85">
        <v>83</v>
      </c>
      <c r="C85">
        <v>13260</v>
      </c>
      <c r="D85" t="s">
        <v>273</v>
      </c>
    </row>
    <row r="86" spans="1:4" ht="12.75">
      <c r="A86" t="str">
        <f t="shared" si="1"/>
        <v>13260   Director de 2ª Ens. Primaria (Jardin Inf)</v>
      </c>
      <c r="B86">
        <v>84</v>
      </c>
      <c r="C86">
        <v>13260</v>
      </c>
      <c r="D86" t="s">
        <v>274</v>
      </c>
    </row>
    <row r="87" spans="1:4" ht="12.75">
      <c r="A87" t="str">
        <f t="shared" si="1"/>
        <v>13265   Director de 3ª Ens. Primaria</v>
      </c>
      <c r="B87">
        <v>85</v>
      </c>
      <c r="C87">
        <v>13265</v>
      </c>
      <c r="D87" t="s">
        <v>276</v>
      </c>
    </row>
    <row r="88" spans="1:4" ht="12.75">
      <c r="A88" t="str">
        <f t="shared" si="1"/>
        <v>13265   Director de 3ª Ens. Primaria (Jardin Inf)</v>
      </c>
      <c r="B88">
        <v>86</v>
      </c>
      <c r="C88">
        <v>13265</v>
      </c>
      <c r="D88" t="s">
        <v>277</v>
      </c>
    </row>
    <row r="89" spans="1:4" ht="12.75">
      <c r="A89" t="str">
        <f t="shared" si="1"/>
        <v>13270   Vicedirector Ens. Primaria</v>
      </c>
      <c r="B89">
        <v>87</v>
      </c>
      <c r="C89">
        <v>13270</v>
      </c>
      <c r="D89" t="s">
        <v>279</v>
      </c>
    </row>
    <row r="90" spans="1:4" ht="12.75">
      <c r="A90" t="str">
        <f t="shared" si="1"/>
        <v>13290   Regente Ctro. Educ. Complemen.</v>
      </c>
      <c r="B90">
        <v>88</v>
      </c>
      <c r="C90">
        <v>13290</v>
      </c>
      <c r="D90" t="s">
        <v>281</v>
      </c>
    </row>
    <row r="91" spans="1:4" ht="12.75">
      <c r="A91" t="str">
        <f t="shared" si="1"/>
        <v>13293   Dir. 1ª Ctro. Dep. Educ. Física</v>
      </c>
      <c r="B91">
        <v>89</v>
      </c>
      <c r="C91">
        <v>13293</v>
      </c>
      <c r="D91" t="s">
        <v>283</v>
      </c>
    </row>
    <row r="92" spans="1:4" ht="12.75">
      <c r="A92" t="str">
        <f t="shared" si="1"/>
        <v>13294   Dir. 2ª Ctro. Dep. Educ. Física</v>
      </c>
      <c r="B92">
        <v>90</v>
      </c>
      <c r="C92">
        <v>13294</v>
      </c>
      <c r="D92" t="s">
        <v>285</v>
      </c>
    </row>
    <row r="93" spans="1:4" ht="12.75">
      <c r="A93" t="str">
        <f t="shared" si="1"/>
        <v>13295   Dir. 3ª Ctro. Dep. Educ. Física</v>
      </c>
      <c r="B93">
        <v>91</v>
      </c>
      <c r="C93">
        <v>13295</v>
      </c>
      <c r="D93" t="s">
        <v>287</v>
      </c>
    </row>
    <row r="94" spans="1:4" ht="12.75">
      <c r="A94" t="str">
        <f t="shared" si="1"/>
        <v>13298   Coordinador Reg. Educ. Física</v>
      </c>
      <c r="B94">
        <v>92</v>
      </c>
      <c r="C94">
        <v>13298</v>
      </c>
      <c r="D94" t="s">
        <v>289</v>
      </c>
    </row>
    <row r="95" spans="1:4" ht="12.75">
      <c r="A95" t="str">
        <f t="shared" si="1"/>
        <v>13300   Vicedirec. de 1ª Ctro.Dep.Ed.F.</v>
      </c>
      <c r="B95">
        <v>93</v>
      </c>
      <c r="C95">
        <v>13300</v>
      </c>
      <c r="D95" t="s">
        <v>291</v>
      </c>
    </row>
    <row r="96" spans="1:4" ht="12.75">
      <c r="A96" t="str">
        <f t="shared" si="1"/>
        <v>13301   Vicedirec. de 2ª Ctro.Dep.Ed.F.</v>
      </c>
      <c r="B96">
        <v>94</v>
      </c>
      <c r="C96">
        <v>13301</v>
      </c>
      <c r="D96" t="s">
        <v>293</v>
      </c>
    </row>
    <row r="97" spans="1:4" ht="12.75">
      <c r="A97" t="str">
        <f t="shared" si="1"/>
        <v>13302   Vicedirec. de 3ª Ctro.Dep.Ed.F.</v>
      </c>
      <c r="B97">
        <v>95</v>
      </c>
      <c r="C97">
        <v>13302</v>
      </c>
      <c r="D97" t="s">
        <v>295</v>
      </c>
    </row>
    <row r="98" spans="1:4" ht="12.75">
      <c r="A98" t="str">
        <f t="shared" si="1"/>
        <v>13305   Secretario (Enseñanza Superior)</v>
      </c>
      <c r="B98">
        <v>96</v>
      </c>
      <c r="C98">
        <v>13305</v>
      </c>
      <c r="D98" t="s">
        <v>297</v>
      </c>
    </row>
    <row r="99" spans="1:4" ht="12.75">
      <c r="A99" t="str">
        <f t="shared" si="1"/>
        <v>13307   Prosecr. Docente Ens. Superior</v>
      </c>
      <c r="B99">
        <v>97</v>
      </c>
      <c r="C99">
        <v>13307</v>
      </c>
      <c r="D99" t="s">
        <v>299</v>
      </c>
    </row>
    <row r="100" spans="1:4" ht="12.75">
      <c r="A100" t="str">
        <f t="shared" si="1"/>
        <v>13310   Secretario Doc. de 1ª Ens. Media</v>
      </c>
      <c r="B100">
        <v>98</v>
      </c>
      <c r="C100">
        <v>13310</v>
      </c>
      <c r="D100" t="s">
        <v>301</v>
      </c>
    </row>
    <row r="101" spans="1:4" ht="12.75">
      <c r="A101" t="str">
        <f t="shared" si="1"/>
        <v>13315   Secretario Doc. de 2ª Ens. Media</v>
      </c>
      <c r="B101">
        <v>99</v>
      </c>
      <c r="C101">
        <v>13315</v>
      </c>
      <c r="D101" t="s">
        <v>303</v>
      </c>
    </row>
    <row r="102" spans="1:4" ht="12.75">
      <c r="A102" t="str">
        <f t="shared" si="1"/>
        <v>13320   Secretario Doc. de 3ª Ens. Media</v>
      </c>
      <c r="B102">
        <v>100</v>
      </c>
      <c r="C102">
        <v>13320</v>
      </c>
      <c r="D102" t="s">
        <v>305</v>
      </c>
    </row>
    <row r="103" spans="1:4" ht="12.75">
      <c r="A103" t="str">
        <f t="shared" si="1"/>
        <v>13325   Prosecr. Doc. de 1ª Ens. Media</v>
      </c>
      <c r="B103">
        <v>101</v>
      </c>
      <c r="C103">
        <v>13325</v>
      </c>
      <c r="D103" t="s">
        <v>307</v>
      </c>
    </row>
    <row r="104" spans="1:4" ht="12.75">
      <c r="A104" t="str">
        <f t="shared" si="1"/>
        <v>13330   Prosecr. Doc. de 2ª Ens. Media</v>
      </c>
      <c r="B104">
        <v>102</v>
      </c>
      <c r="C104">
        <v>13330</v>
      </c>
      <c r="D104" t="s">
        <v>309</v>
      </c>
    </row>
    <row r="105" spans="1:4" ht="12.75">
      <c r="A105" t="str">
        <f t="shared" si="1"/>
        <v>13335   Prosecr. Doc. de 3ª Ens. Media</v>
      </c>
      <c r="B105">
        <v>103</v>
      </c>
      <c r="C105">
        <v>13335</v>
      </c>
      <c r="D105" t="s">
        <v>311</v>
      </c>
    </row>
    <row r="106" spans="1:4" ht="12.75">
      <c r="A106" t="str">
        <f t="shared" si="1"/>
        <v>13340   Secretario Docente Ens. Especial</v>
      </c>
      <c r="B106">
        <v>104</v>
      </c>
      <c r="C106">
        <v>13340</v>
      </c>
      <c r="D106" t="s">
        <v>313</v>
      </c>
    </row>
    <row r="107" spans="1:4" ht="12.75">
      <c r="A107" t="str">
        <f t="shared" si="1"/>
        <v>13345   Prosecr. Docente Ens. Especial</v>
      </c>
      <c r="B107">
        <v>105</v>
      </c>
      <c r="C107">
        <v>13345</v>
      </c>
      <c r="D107" t="s">
        <v>315</v>
      </c>
    </row>
    <row r="108" spans="1:4" ht="12.75">
      <c r="A108" t="str">
        <f t="shared" si="1"/>
        <v>13350   Secr. Doc. de 1ª Ens. Primaria</v>
      </c>
      <c r="B108">
        <v>106</v>
      </c>
      <c r="C108">
        <v>13350</v>
      </c>
      <c r="D108" t="s">
        <v>317</v>
      </c>
    </row>
    <row r="109" spans="1:4" ht="12.75">
      <c r="A109" t="str">
        <f t="shared" si="1"/>
        <v>13355   Secr. Doc. de 2ª Ens. Primaria</v>
      </c>
      <c r="B109">
        <v>107</v>
      </c>
      <c r="C109">
        <v>13355</v>
      </c>
      <c r="D109" t="s">
        <v>319</v>
      </c>
    </row>
    <row r="110" spans="1:4" ht="12.75">
      <c r="A110" t="str">
        <f t="shared" si="1"/>
        <v>13360   Secr. Doc. de 3ª Ens. Primaria</v>
      </c>
      <c r="B110">
        <v>108</v>
      </c>
      <c r="C110">
        <v>13360</v>
      </c>
      <c r="D110" t="s">
        <v>321</v>
      </c>
    </row>
    <row r="111" spans="1:4" ht="12.75">
      <c r="A111" t="str">
        <f t="shared" si="1"/>
        <v>13365   Secr. Doc. de 4ª Ens. Primaria</v>
      </c>
      <c r="B111">
        <v>109</v>
      </c>
      <c r="C111">
        <v>13365</v>
      </c>
      <c r="D111" t="s">
        <v>323</v>
      </c>
    </row>
    <row r="112" spans="1:4" ht="12.75">
      <c r="A112" t="str">
        <f t="shared" si="1"/>
        <v>13370   Secr. Doc. de 5ª Ens. Primaria</v>
      </c>
      <c r="B112">
        <v>110</v>
      </c>
      <c r="C112">
        <v>13370</v>
      </c>
      <c r="D112" t="s">
        <v>325</v>
      </c>
    </row>
    <row r="113" spans="1:4" ht="12.75">
      <c r="A113" t="str">
        <f t="shared" si="1"/>
        <v>13420   Jefe de Internado</v>
      </c>
      <c r="B113">
        <v>111</v>
      </c>
      <c r="C113">
        <v>13420</v>
      </c>
      <c r="D113" t="s">
        <v>327</v>
      </c>
    </row>
    <row r="114" spans="1:4" ht="12.75">
      <c r="A114" t="str">
        <f t="shared" si="1"/>
        <v>13425   Jefe Enseñanza Practica de 1ª</v>
      </c>
      <c r="B114">
        <v>112</v>
      </c>
      <c r="C114">
        <v>13425</v>
      </c>
      <c r="D114" t="s">
        <v>329</v>
      </c>
    </row>
    <row r="115" spans="1:4" ht="12.75">
      <c r="A115" t="str">
        <f t="shared" si="1"/>
        <v>13430   Jefe Enseñanza Practica de 2ª</v>
      </c>
      <c r="B115">
        <v>113</v>
      </c>
      <c r="C115">
        <v>13430</v>
      </c>
      <c r="D115" t="s">
        <v>331</v>
      </c>
    </row>
    <row r="116" spans="1:4" ht="12.75">
      <c r="A116" t="str">
        <f t="shared" si="1"/>
        <v>13435   Jefe Enseñanza Practica de 3ª</v>
      </c>
      <c r="B116">
        <v>114</v>
      </c>
      <c r="C116">
        <v>13435</v>
      </c>
      <c r="D116" t="s">
        <v>333</v>
      </c>
    </row>
    <row r="117" spans="1:4" ht="12.75">
      <c r="A117" t="str">
        <f t="shared" si="1"/>
        <v>13436   Instructor Jor. Compl. Agr.</v>
      </c>
      <c r="B117">
        <v>115</v>
      </c>
      <c r="C117">
        <v>13436</v>
      </c>
      <c r="D117" t="s">
        <v>335</v>
      </c>
    </row>
    <row r="118" spans="1:4" ht="12.75">
      <c r="A118" t="str">
        <f t="shared" si="1"/>
        <v>13437   Jefe Sección Jorn. Completa</v>
      </c>
      <c r="B118">
        <v>116</v>
      </c>
      <c r="C118">
        <v>13437</v>
      </c>
      <c r="D118" t="s">
        <v>337</v>
      </c>
    </row>
    <row r="119" spans="1:4" ht="12.75">
      <c r="A119" t="str">
        <f t="shared" si="1"/>
        <v>13438   Instructor Enfermería</v>
      </c>
      <c r="B119">
        <v>117</v>
      </c>
      <c r="C119">
        <v>13438</v>
      </c>
      <c r="D119" t="s">
        <v>339</v>
      </c>
    </row>
    <row r="120" spans="1:4" ht="12.75">
      <c r="A120" t="str">
        <f t="shared" si="1"/>
        <v>13440   Encar.Secc.Gab.Psicop.(Med. y Sup.)</v>
      </c>
      <c r="B120">
        <v>118</v>
      </c>
      <c r="C120">
        <v>13440</v>
      </c>
      <c r="D120" t="s">
        <v>341</v>
      </c>
    </row>
    <row r="121" spans="1:4" ht="12.75">
      <c r="A121" t="str">
        <f t="shared" si="1"/>
        <v>13443   Encar.Secc.Gab.Psicop.(Especial)</v>
      </c>
      <c r="B121">
        <v>119</v>
      </c>
      <c r="C121">
        <v>13443</v>
      </c>
      <c r="D121" t="s">
        <v>343</v>
      </c>
    </row>
    <row r="122" spans="1:4" ht="12.75">
      <c r="A122" t="str">
        <f t="shared" si="1"/>
        <v>13444   Jefe de Gabinete Psicoped. (Primar.)</v>
      </c>
      <c r="B122">
        <v>120</v>
      </c>
      <c r="C122">
        <v>13444</v>
      </c>
      <c r="D122" t="s">
        <v>345</v>
      </c>
    </row>
    <row r="123" spans="1:4" ht="12.75">
      <c r="A123" t="str">
        <f t="shared" si="1"/>
        <v>13445   Ayudante de Gab. Psic. Ens. M y Sup</v>
      </c>
      <c r="B123">
        <v>121</v>
      </c>
      <c r="C123">
        <v>13445</v>
      </c>
      <c r="D123" t="s">
        <v>347</v>
      </c>
    </row>
    <row r="124" spans="1:4" ht="12.75">
      <c r="A124" t="str">
        <f t="shared" si="1"/>
        <v>13447   Ayudante de Gab. Psic. Ens. Esp.</v>
      </c>
      <c r="B124">
        <v>122</v>
      </c>
      <c r="C124">
        <v>13447</v>
      </c>
      <c r="D124" t="s">
        <v>349</v>
      </c>
    </row>
    <row r="125" spans="1:4" ht="12.75">
      <c r="A125" t="str">
        <f t="shared" si="1"/>
        <v>13448   Ayudante de Gab. Psic. Ens. Prim.</v>
      </c>
      <c r="B125">
        <v>123</v>
      </c>
      <c r="C125">
        <v>13448</v>
      </c>
      <c r="D125" t="s">
        <v>351</v>
      </c>
    </row>
    <row r="126" spans="1:4" ht="12.75">
      <c r="A126" t="str">
        <f t="shared" si="1"/>
        <v>13450   Maestro de Grupo Escolar</v>
      </c>
      <c r="B126">
        <v>124</v>
      </c>
      <c r="C126">
        <v>13450</v>
      </c>
      <c r="D126" t="s">
        <v>353</v>
      </c>
    </row>
    <row r="127" spans="1:4" ht="12.75">
      <c r="A127" t="str">
        <f t="shared" si="1"/>
        <v>13455   Maestro de Grado Ens. Especial</v>
      </c>
      <c r="B127">
        <v>125</v>
      </c>
      <c r="C127">
        <v>13455</v>
      </c>
      <c r="D127" t="s">
        <v>355</v>
      </c>
    </row>
    <row r="128" spans="1:4" ht="12.75">
      <c r="A128" t="str">
        <f t="shared" si="1"/>
        <v>13457   Reeducador Especial</v>
      </c>
      <c r="B128">
        <v>126</v>
      </c>
      <c r="C128">
        <v>13457</v>
      </c>
      <c r="D128" t="s">
        <v>357</v>
      </c>
    </row>
    <row r="129" spans="1:4" ht="12.75">
      <c r="A129" t="str">
        <f t="shared" si="1"/>
        <v>13460   Encargado de Taller</v>
      </c>
      <c r="B129">
        <v>127</v>
      </c>
      <c r="C129">
        <v>13460</v>
      </c>
      <c r="D129" t="s">
        <v>359</v>
      </c>
    </row>
    <row r="130" spans="1:4" ht="12.75">
      <c r="A130" t="str">
        <f t="shared" si="1"/>
        <v>13463   Jefe de Trabajos Prácticos</v>
      </c>
      <c r="B130">
        <v>128</v>
      </c>
      <c r="C130">
        <v>13463</v>
      </c>
      <c r="D130" t="s">
        <v>361</v>
      </c>
    </row>
    <row r="131" spans="1:4" ht="12.75">
      <c r="A131" t="str">
        <f t="shared" si="1"/>
        <v>13464   Jefe de Laboratorio</v>
      </c>
      <c r="B131">
        <v>129</v>
      </c>
      <c r="C131">
        <v>13464</v>
      </c>
      <c r="D131" t="s">
        <v>363</v>
      </c>
    </row>
    <row r="132" spans="1:4" ht="12.75">
      <c r="A132" t="str">
        <f aca="true" t="shared" si="2" ref="A132:A195">CONCATENATE(C132,"   ",D132)</f>
        <v>13465   Jefe de Gabinete Contabilidad</v>
      </c>
      <c r="B132">
        <v>130</v>
      </c>
      <c r="C132">
        <v>13465</v>
      </c>
      <c r="D132" t="s">
        <v>365</v>
      </c>
    </row>
    <row r="133" spans="1:4" ht="12.75">
      <c r="A133" t="str">
        <f t="shared" si="2"/>
        <v>13466   Jefe de Dpto. Educ. Física</v>
      </c>
      <c r="B133">
        <v>131</v>
      </c>
      <c r="C133">
        <v>13466</v>
      </c>
      <c r="D133" t="s">
        <v>367</v>
      </c>
    </row>
    <row r="134" spans="1:4" ht="12.75">
      <c r="A134" t="str">
        <f t="shared" si="2"/>
        <v>13470   Prof. Ctro. Depor. Educ. Física</v>
      </c>
      <c r="B134">
        <v>132</v>
      </c>
      <c r="C134">
        <v>13470</v>
      </c>
      <c r="D134" t="s">
        <v>369</v>
      </c>
    </row>
    <row r="135" spans="1:4" ht="12.75">
      <c r="A135" t="str">
        <f t="shared" si="2"/>
        <v>13472   Jefe de Ens. Pract. Ens. Especial</v>
      </c>
      <c r="B135">
        <v>133</v>
      </c>
      <c r="C135">
        <v>13472</v>
      </c>
      <c r="D135" t="s">
        <v>371</v>
      </c>
    </row>
    <row r="136" spans="1:4" ht="12.75">
      <c r="A136" t="str">
        <f t="shared" si="2"/>
        <v>13473   Jefe de Sección Ens. Practica</v>
      </c>
      <c r="B136">
        <v>134</v>
      </c>
      <c r="C136">
        <v>13473</v>
      </c>
      <c r="D136" t="s">
        <v>373</v>
      </c>
    </row>
    <row r="137" spans="1:4" ht="12.75">
      <c r="A137" t="str">
        <f t="shared" si="2"/>
        <v>13475   Maestra de Grado Ens. Primaria</v>
      </c>
      <c r="B137">
        <v>135</v>
      </c>
      <c r="C137">
        <v>13475</v>
      </c>
      <c r="D137" t="s">
        <v>375</v>
      </c>
    </row>
    <row r="138" spans="1:4" ht="12.75">
      <c r="A138" t="str">
        <f t="shared" si="2"/>
        <v>13477   Maestro de D. E. A.</v>
      </c>
      <c r="B138">
        <v>136</v>
      </c>
      <c r="C138">
        <v>13477</v>
      </c>
      <c r="D138" t="s">
        <v>377</v>
      </c>
    </row>
    <row r="139" spans="1:4" ht="12.75">
      <c r="A139" t="str">
        <f t="shared" si="2"/>
        <v>13480   Maestro de Jardín de Infantes</v>
      </c>
      <c r="B139">
        <v>137</v>
      </c>
      <c r="C139">
        <v>13480</v>
      </c>
      <c r="D139" t="s">
        <v>379</v>
      </c>
    </row>
    <row r="140" spans="1:4" ht="12.75">
      <c r="A140" t="str">
        <f t="shared" si="2"/>
        <v>13484   Maestro Ens. Practica Ens. Esp.</v>
      </c>
      <c r="B140">
        <v>138</v>
      </c>
      <c r="C140">
        <v>13484</v>
      </c>
      <c r="D140" t="s">
        <v>381</v>
      </c>
    </row>
    <row r="141" spans="1:4" ht="12.75">
      <c r="A141" t="str">
        <f t="shared" si="2"/>
        <v>13485   Maestro Enseñanza Practica</v>
      </c>
      <c r="B141">
        <v>139</v>
      </c>
      <c r="C141">
        <v>13485</v>
      </c>
      <c r="D141" t="s">
        <v>383</v>
      </c>
    </row>
    <row r="142" spans="1:4" ht="12.75">
      <c r="A142" t="str">
        <f t="shared" si="2"/>
        <v>13486   Maestro de Grado Artístico</v>
      </c>
      <c r="B142">
        <v>140</v>
      </c>
      <c r="C142">
        <v>13486</v>
      </c>
      <c r="D142" t="s">
        <v>385</v>
      </c>
    </row>
    <row r="143" spans="1:4" ht="12.75">
      <c r="A143" t="str">
        <f t="shared" si="2"/>
        <v>13487   Maestro de Grado Artístico Jorn. Red.</v>
      </c>
      <c r="B143">
        <v>141</v>
      </c>
      <c r="C143">
        <v>13487</v>
      </c>
      <c r="D143" t="s">
        <v>387</v>
      </c>
    </row>
    <row r="144" spans="1:4" ht="12.75">
      <c r="A144" t="str">
        <f t="shared" si="2"/>
        <v>13488   Maestro de Grado de Adultos</v>
      </c>
      <c r="B144">
        <v>142</v>
      </c>
      <c r="C144">
        <v>13488</v>
      </c>
      <c r="D144" t="s">
        <v>389</v>
      </c>
    </row>
    <row r="145" spans="1:4" ht="12.75">
      <c r="A145" t="str">
        <f t="shared" si="2"/>
        <v>13490   Maestro Cultura General</v>
      </c>
      <c r="B145">
        <v>143</v>
      </c>
      <c r="C145">
        <v>13490</v>
      </c>
      <c r="D145" t="s">
        <v>391</v>
      </c>
    </row>
    <row r="146" spans="1:4" ht="12.75">
      <c r="A146" t="str">
        <f t="shared" si="2"/>
        <v>13495   Bibliotecario Jefe</v>
      </c>
      <c r="B146">
        <v>144</v>
      </c>
      <c r="C146">
        <v>13495</v>
      </c>
      <c r="D146" t="s">
        <v>393</v>
      </c>
    </row>
    <row r="147" spans="1:4" ht="12.75">
      <c r="A147" t="str">
        <f t="shared" si="2"/>
        <v>13500   Bibliotecario</v>
      </c>
      <c r="B147">
        <v>145</v>
      </c>
      <c r="C147">
        <v>13500</v>
      </c>
      <c r="D147" t="s">
        <v>395</v>
      </c>
    </row>
    <row r="148" spans="1:4" ht="12.75">
      <c r="A148" t="str">
        <f t="shared" si="2"/>
        <v>13505   Ayudante Técnico</v>
      </c>
      <c r="B148">
        <v>146</v>
      </c>
      <c r="C148">
        <v>13505</v>
      </c>
      <c r="D148" t="s">
        <v>397</v>
      </c>
    </row>
    <row r="149" spans="1:4" ht="12.75">
      <c r="A149" t="str">
        <f t="shared" si="2"/>
        <v>13507   Jefe de Preceptores J. Completa</v>
      </c>
      <c r="B149">
        <v>147</v>
      </c>
      <c r="C149">
        <v>13507</v>
      </c>
      <c r="D149" t="s">
        <v>399</v>
      </c>
    </row>
    <row r="150" spans="1:4" ht="12.75">
      <c r="A150" t="str">
        <f t="shared" si="2"/>
        <v>13510   Jefe de Preceptores</v>
      </c>
      <c r="B150">
        <v>148</v>
      </c>
      <c r="C150">
        <v>13510</v>
      </c>
      <c r="D150" t="s">
        <v>401</v>
      </c>
    </row>
    <row r="151" spans="1:4" ht="12.75">
      <c r="A151" t="str">
        <f t="shared" si="2"/>
        <v>13512   Subjefe de Preceptores de 1ª</v>
      </c>
      <c r="B151">
        <v>149</v>
      </c>
      <c r="C151">
        <v>13512</v>
      </c>
      <c r="D151" t="s">
        <v>403</v>
      </c>
    </row>
    <row r="152" spans="1:4" ht="12.75">
      <c r="A152" t="str">
        <f t="shared" si="2"/>
        <v>13514   Maestro Cultura Rural Dom</v>
      </c>
      <c r="B152">
        <v>150</v>
      </c>
      <c r="C152">
        <v>13514</v>
      </c>
      <c r="D152" t="s">
        <v>405</v>
      </c>
    </row>
    <row r="153" spans="1:4" ht="12.75">
      <c r="A153" t="str">
        <f t="shared" si="2"/>
        <v>13515   Maestro Materia Especial</v>
      </c>
      <c r="B153">
        <v>151</v>
      </c>
      <c r="C153">
        <v>13515</v>
      </c>
      <c r="D153" t="s">
        <v>407</v>
      </c>
    </row>
    <row r="154" spans="1:4" ht="12.75">
      <c r="A154" t="str">
        <f t="shared" si="2"/>
        <v>13515   Maestro Mat. Esp. - Ex. Cons. Menor</v>
      </c>
      <c r="B154">
        <v>152</v>
      </c>
      <c r="C154">
        <v>13515</v>
      </c>
      <c r="D154" t="s">
        <v>408</v>
      </c>
    </row>
    <row r="155" spans="1:4" ht="12.75">
      <c r="A155" t="str">
        <f t="shared" si="2"/>
        <v>13517   Maestro Esp Artística</v>
      </c>
      <c r="B155">
        <v>153</v>
      </c>
      <c r="C155">
        <v>13517</v>
      </c>
      <c r="D155" t="s">
        <v>410</v>
      </c>
    </row>
    <row r="156" spans="1:4" ht="12.75">
      <c r="A156" t="str">
        <f t="shared" si="2"/>
        <v>13520   Preceptor</v>
      </c>
      <c r="B156">
        <v>154</v>
      </c>
      <c r="C156">
        <v>13520</v>
      </c>
      <c r="D156" t="s">
        <v>412</v>
      </c>
    </row>
    <row r="157" spans="1:4" ht="12.75">
      <c r="A157" t="str">
        <f t="shared" si="2"/>
        <v>13520   Preceptor Escuela de Mod Especial</v>
      </c>
      <c r="B157">
        <v>155</v>
      </c>
      <c r="C157">
        <v>13520</v>
      </c>
      <c r="D157" t="s">
        <v>413</v>
      </c>
    </row>
    <row r="158" spans="1:4" ht="12.75">
      <c r="A158" t="str">
        <f t="shared" si="2"/>
        <v>13700   Director de 1ª Inst. del Menor</v>
      </c>
      <c r="B158">
        <v>156</v>
      </c>
      <c r="C158">
        <v>13700</v>
      </c>
      <c r="D158" t="s">
        <v>415</v>
      </c>
    </row>
    <row r="159" spans="1:4" ht="12.75">
      <c r="A159" t="str">
        <f t="shared" si="2"/>
        <v>13705   Director de 2ª Inst. del Menor</v>
      </c>
      <c r="B159">
        <v>157</v>
      </c>
      <c r="C159">
        <v>13705</v>
      </c>
      <c r="D159" t="s">
        <v>417</v>
      </c>
    </row>
    <row r="160" spans="1:4" ht="12.75">
      <c r="A160" t="str">
        <f t="shared" si="2"/>
        <v>13710   Director de 3ª Inst. del Menor</v>
      </c>
      <c r="B160">
        <v>158</v>
      </c>
      <c r="C160">
        <v>13710</v>
      </c>
      <c r="D160" t="s">
        <v>419</v>
      </c>
    </row>
    <row r="161" spans="1:4" ht="12.75">
      <c r="A161" t="str">
        <f t="shared" si="2"/>
        <v>13715   Vicedir de 1ª Instit. del Menor</v>
      </c>
      <c r="B161">
        <v>159</v>
      </c>
      <c r="C161">
        <v>13715</v>
      </c>
      <c r="D161" t="s">
        <v>421</v>
      </c>
    </row>
    <row r="162" spans="1:4" ht="12.75">
      <c r="A162" t="str">
        <f t="shared" si="2"/>
        <v>13720   Vicedir de 2ª Instit. del Menor</v>
      </c>
      <c r="B162">
        <v>160</v>
      </c>
      <c r="C162">
        <v>13720</v>
      </c>
      <c r="D162" t="s">
        <v>423</v>
      </c>
    </row>
    <row r="163" spans="1:4" ht="12.75">
      <c r="A163" t="str">
        <f t="shared" si="2"/>
        <v>13725   Vicedir de 3ª Instit. del Menor</v>
      </c>
      <c r="B163">
        <v>161</v>
      </c>
      <c r="C163">
        <v>13725</v>
      </c>
      <c r="D163" t="s">
        <v>425</v>
      </c>
    </row>
    <row r="164" spans="1:4" ht="12.75">
      <c r="A164" t="str">
        <f t="shared" si="2"/>
        <v>13730   Regente de Instituto del Menor</v>
      </c>
      <c r="B164">
        <v>162</v>
      </c>
      <c r="C164">
        <v>13730</v>
      </c>
      <c r="D164" t="s">
        <v>427</v>
      </c>
    </row>
    <row r="165" spans="1:4" ht="12.75">
      <c r="A165" t="str">
        <f t="shared" si="2"/>
        <v>13732   Secr. Doc. de 1ª Inst. Menor</v>
      </c>
      <c r="B165">
        <v>163</v>
      </c>
      <c r="C165">
        <v>13732</v>
      </c>
      <c r="D165" t="s">
        <v>429</v>
      </c>
    </row>
    <row r="166" spans="1:4" ht="12.75">
      <c r="A166" t="str">
        <f t="shared" si="2"/>
        <v>13733   Secr. Doc. de 2ª Inst. Menor</v>
      </c>
      <c r="B166">
        <v>164</v>
      </c>
      <c r="C166">
        <v>13733</v>
      </c>
      <c r="D166" t="s">
        <v>431</v>
      </c>
    </row>
    <row r="167" spans="1:4" ht="12.75">
      <c r="A167" t="str">
        <f t="shared" si="2"/>
        <v>13735   Maestro de Inst. de Menores</v>
      </c>
      <c r="B167">
        <v>165</v>
      </c>
      <c r="C167">
        <v>13735</v>
      </c>
      <c r="D167" t="s">
        <v>433</v>
      </c>
    </row>
    <row r="168" spans="1:4" ht="12.75">
      <c r="A168" t="str">
        <f t="shared" si="2"/>
        <v>13740   Dir. de 1ª Jornada Completa</v>
      </c>
      <c r="B168">
        <v>166</v>
      </c>
      <c r="C168">
        <v>13740</v>
      </c>
      <c r="D168" t="s">
        <v>435</v>
      </c>
    </row>
    <row r="169" spans="1:4" ht="12.75">
      <c r="A169" t="str">
        <f t="shared" si="2"/>
        <v>13743   Dir. de 2ª Jornada Completa</v>
      </c>
      <c r="B169">
        <v>167</v>
      </c>
      <c r="C169">
        <v>13743</v>
      </c>
      <c r="D169" t="s">
        <v>437</v>
      </c>
    </row>
    <row r="170" spans="1:4" ht="12.75">
      <c r="A170" t="str">
        <f t="shared" si="2"/>
        <v>13745   Dir. de 3ª Jornada Completa</v>
      </c>
      <c r="B170">
        <v>168</v>
      </c>
      <c r="C170">
        <v>13745</v>
      </c>
      <c r="D170" t="s">
        <v>439</v>
      </c>
    </row>
    <row r="171" spans="1:4" ht="12.75">
      <c r="A171" t="str">
        <f t="shared" si="2"/>
        <v>13747   Vicedirector Jornada Completa</v>
      </c>
      <c r="B171">
        <v>169</v>
      </c>
      <c r="C171">
        <v>13747</v>
      </c>
      <c r="D171" t="s">
        <v>441</v>
      </c>
    </row>
    <row r="172" spans="1:4" ht="12.75">
      <c r="A172" t="str">
        <f t="shared" si="2"/>
        <v>13748   Maestro Grado Jorn. Completa</v>
      </c>
      <c r="B172">
        <v>170</v>
      </c>
      <c r="C172">
        <v>13748</v>
      </c>
      <c r="D172" t="s">
        <v>443</v>
      </c>
    </row>
    <row r="173" spans="1:4" ht="12.75">
      <c r="A173" t="str">
        <f t="shared" si="2"/>
        <v>13749   Maestro Ram. Esp. Jor. Compl.</v>
      </c>
      <c r="B173">
        <v>171</v>
      </c>
      <c r="C173">
        <v>13749</v>
      </c>
      <c r="D173" t="s">
        <v>445</v>
      </c>
    </row>
    <row r="174" spans="1:4" ht="12.75">
      <c r="A174" t="str">
        <f t="shared" si="2"/>
        <v>13750   Director Escuela Hogar</v>
      </c>
      <c r="B174">
        <v>172</v>
      </c>
      <c r="C174">
        <v>13750</v>
      </c>
      <c r="D174" t="s">
        <v>447</v>
      </c>
    </row>
    <row r="175" spans="1:4" ht="12.75">
      <c r="A175" t="str">
        <f t="shared" si="2"/>
        <v>13760   Director 2ª Anexo Albergue</v>
      </c>
      <c r="B175">
        <v>173</v>
      </c>
      <c r="C175">
        <v>13760</v>
      </c>
      <c r="D175" t="s">
        <v>449</v>
      </c>
    </row>
    <row r="176" spans="1:4" ht="12.75">
      <c r="A176" t="str">
        <f t="shared" si="2"/>
        <v>13765   Director 3ª Anexo Albergue</v>
      </c>
      <c r="B176">
        <v>174</v>
      </c>
      <c r="C176">
        <v>13765</v>
      </c>
      <c r="D176" t="s">
        <v>451</v>
      </c>
    </row>
    <row r="177" spans="1:4" ht="12.75">
      <c r="A177" t="str">
        <f t="shared" si="2"/>
        <v>13767   Maestro Anexo Albergue</v>
      </c>
      <c r="B177">
        <v>175</v>
      </c>
      <c r="C177">
        <v>13767</v>
      </c>
      <c r="D177" t="s">
        <v>453</v>
      </c>
    </row>
    <row r="178" spans="1:4" ht="12.75">
      <c r="A178" t="str">
        <f t="shared" si="2"/>
        <v>13769   Maestro Ram. Esp. An. Alber.</v>
      </c>
      <c r="B178">
        <v>176</v>
      </c>
      <c r="C178">
        <v>13769</v>
      </c>
      <c r="D178" t="s">
        <v>455</v>
      </c>
    </row>
    <row r="179" spans="1:4" ht="12.75">
      <c r="A179" t="str">
        <f t="shared" si="2"/>
        <v>13770   Vicedir. Esc. Hogar Te.</v>
      </c>
      <c r="B179">
        <v>177</v>
      </c>
      <c r="C179">
        <v>13770</v>
      </c>
      <c r="D179" t="s">
        <v>457</v>
      </c>
    </row>
    <row r="180" spans="1:4" ht="12.75">
      <c r="A180" t="str">
        <f t="shared" si="2"/>
        <v>13775   Secretario Téc. Esc. Hogar</v>
      </c>
      <c r="B180">
        <v>178</v>
      </c>
      <c r="C180">
        <v>13775</v>
      </c>
      <c r="D180" t="s">
        <v>459</v>
      </c>
    </row>
    <row r="181" spans="1:4" ht="12.75">
      <c r="A181" t="str">
        <f t="shared" si="2"/>
        <v>13780   Jefe Serv. Soc. Esc. Hogar</v>
      </c>
      <c r="B181">
        <v>179</v>
      </c>
      <c r="C181">
        <v>13780</v>
      </c>
      <c r="D181" t="s">
        <v>461</v>
      </c>
    </row>
    <row r="182" spans="1:4" ht="12.75">
      <c r="A182" t="str">
        <f t="shared" si="2"/>
        <v>13785   Visitador Higiene Social</v>
      </c>
      <c r="B182">
        <v>180</v>
      </c>
      <c r="C182">
        <v>13785</v>
      </c>
      <c r="D182" t="s">
        <v>463</v>
      </c>
    </row>
    <row r="183" spans="1:4" ht="12.75">
      <c r="A183" t="str">
        <f t="shared" si="2"/>
        <v>13795   Maestro Grado Esc. Hogar</v>
      </c>
      <c r="B183">
        <v>181</v>
      </c>
      <c r="C183">
        <v>13795</v>
      </c>
      <c r="D183" t="s">
        <v>465</v>
      </c>
    </row>
    <row r="184" spans="1:4" ht="12.75">
      <c r="A184" t="str">
        <f t="shared" si="2"/>
        <v>13797   Preceptor Jor Compl, Esc Hogar, An Alb</v>
      </c>
      <c r="B184">
        <v>182</v>
      </c>
      <c r="C184">
        <v>13797</v>
      </c>
      <c r="D184" t="s">
        <v>467</v>
      </c>
    </row>
    <row r="185" spans="1:4" ht="12.75">
      <c r="A185" t="str">
        <f t="shared" si="2"/>
        <v>13800   Mtro. Mat. Esp. Esc. Hogar</v>
      </c>
      <c r="B185">
        <v>183</v>
      </c>
      <c r="C185">
        <v>13800</v>
      </c>
      <c r="D185" t="s">
        <v>469</v>
      </c>
    </row>
    <row r="186" spans="1:4" ht="12.75">
      <c r="A186" t="str">
        <f t="shared" si="2"/>
        <v>13900    01 H Sup</v>
      </c>
      <c r="B186">
        <v>184</v>
      </c>
      <c r="C186">
        <v>13900</v>
      </c>
      <c r="D186" s="74" t="s">
        <v>700</v>
      </c>
    </row>
    <row r="187" spans="1:4" ht="12.75">
      <c r="A187" t="str">
        <f t="shared" si="2"/>
        <v>13900    02 Hs Sup</v>
      </c>
      <c r="B187">
        <v>185</v>
      </c>
      <c r="C187">
        <v>13900</v>
      </c>
      <c r="D187" s="74" t="s">
        <v>696</v>
      </c>
    </row>
    <row r="188" spans="1:4" ht="12.75">
      <c r="A188" t="str">
        <f t="shared" si="2"/>
        <v>13900    03 Hs Sup</v>
      </c>
      <c r="B188">
        <v>186</v>
      </c>
      <c r="C188">
        <v>13900</v>
      </c>
      <c r="D188" s="74" t="s">
        <v>697</v>
      </c>
    </row>
    <row r="189" spans="1:4" ht="12.75">
      <c r="A189" t="str">
        <f t="shared" si="2"/>
        <v>13900    04 Hs Sup</v>
      </c>
      <c r="B189">
        <v>187</v>
      </c>
      <c r="C189">
        <v>13900</v>
      </c>
      <c r="D189" s="74" t="s">
        <v>698</v>
      </c>
    </row>
    <row r="190" spans="1:4" ht="12.75">
      <c r="A190" t="str">
        <f t="shared" si="2"/>
        <v>13900    05 Hs Sup</v>
      </c>
      <c r="B190">
        <v>188</v>
      </c>
      <c r="C190">
        <v>13900</v>
      </c>
      <c r="D190" s="74" t="s">
        <v>699</v>
      </c>
    </row>
    <row r="191" spans="1:4" ht="12.75">
      <c r="A191" t="str">
        <f t="shared" si="2"/>
        <v>13900    06 Hs Sup</v>
      </c>
      <c r="B191">
        <v>189</v>
      </c>
      <c r="C191">
        <v>13900</v>
      </c>
      <c r="D191" s="74" t="s">
        <v>701</v>
      </c>
    </row>
    <row r="192" spans="1:4" ht="12.75">
      <c r="A192" t="str">
        <f t="shared" si="2"/>
        <v>13900    07Hs Sup</v>
      </c>
      <c r="B192">
        <v>190</v>
      </c>
      <c r="C192">
        <v>13900</v>
      </c>
      <c r="D192" s="74" t="s">
        <v>702</v>
      </c>
    </row>
    <row r="193" spans="1:4" ht="12.75">
      <c r="A193" t="str">
        <f t="shared" si="2"/>
        <v>13900    08 Hs Sup</v>
      </c>
      <c r="B193">
        <v>191</v>
      </c>
      <c r="C193">
        <v>13900</v>
      </c>
      <c r="D193" s="74" t="s">
        <v>703</v>
      </c>
    </row>
    <row r="194" spans="1:4" ht="12.75">
      <c r="A194" t="str">
        <f t="shared" si="2"/>
        <v>13900    09 Hs Sup</v>
      </c>
      <c r="B194">
        <v>192</v>
      </c>
      <c r="C194">
        <v>13900</v>
      </c>
      <c r="D194" s="74" t="s">
        <v>704</v>
      </c>
    </row>
    <row r="195" spans="1:4" ht="12.75">
      <c r="A195" t="str">
        <f t="shared" si="2"/>
        <v>13900    10 Hs Sup</v>
      </c>
      <c r="B195">
        <v>193</v>
      </c>
      <c r="C195">
        <v>13900</v>
      </c>
      <c r="D195" s="74" t="s">
        <v>705</v>
      </c>
    </row>
    <row r="196" spans="1:4" ht="12.75">
      <c r="A196" t="str">
        <f aca="true" t="shared" si="3" ref="A196:A259">CONCATENATE(C196,"   ",D196)</f>
        <v>13900    11 Hs Sup</v>
      </c>
      <c r="B196">
        <v>194</v>
      </c>
      <c r="C196">
        <v>13900</v>
      </c>
      <c r="D196" s="74" t="s">
        <v>706</v>
      </c>
    </row>
    <row r="197" spans="1:4" ht="12.75">
      <c r="A197" t="str">
        <f t="shared" si="3"/>
        <v>13900    12 Hs Sup</v>
      </c>
      <c r="B197">
        <v>195</v>
      </c>
      <c r="C197">
        <v>13900</v>
      </c>
      <c r="D197" s="74" t="s">
        <v>708</v>
      </c>
    </row>
    <row r="198" spans="1:4" ht="12.75">
      <c r="A198" t="str">
        <f t="shared" si="3"/>
        <v>13900    13 Hs Sup</v>
      </c>
      <c r="B198">
        <v>196</v>
      </c>
      <c r="C198">
        <v>13900</v>
      </c>
      <c r="D198" s="74" t="s">
        <v>707</v>
      </c>
    </row>
    <row r="199" spans="1:4" ht="12.75">
      <c r="A199" t="str">
        <f t="shared" si="3"/>
        <v>13900    14 Hs Sup</v>
      </c>
      <c r="B199">
        <v>197</v>
      </c>
      <c r="C199">
        <v>13900</v>
      </c>
      <c r="D199" s="74" t="s">
        <v>709</v>
      </c>
    </row>
    <row r="200" spans="1:4" ht="12.75">
      <c r="A200" t="str">
        <f t="shared" si="3"/>
        <v>13900    15 Hs Sup</v>
      </c>
      <c r="B200">
        <v>198</v>
      </c>
      <c r="C200">
        <v>13900</v>
      </c>
      <c r="D200" s="74" t="s">
        <v>710</v>
      </c>
    </row>
    <row r="201" spans="1:4" ht="12.75">
      <c r="A201" t="str">
        <f t="shared" si="3"/>
        <v>13900    16 Hs Sup</v>
      </c>
      <c r="B201">
        <v>199</v>
      </c>
      <c r="C201">
        <v>13900</v>
      </c>
      <c r="D201" s="74" t="s">
        <v>711</v>
      </c>
    </row>
    <row r="202" spans="1:4" ht="12.75">
      <c r="A202" t="str">
        <f t="shared" si="3"/>
        <v>13900    17 Hs Sup</v>
      </c>
      <c r="B202">
        <v>200</v>
      </c>
      <c r="C202">
        <v>13900</v>
      </c>
      <c r="D202" s="74" t="s">
        <v>712</v>
      </c>
    </row>
    <row r="203" spans="1:4" ht="12.75">
      <c r="A203" t="str">
        <f t="shared" si="3"/>
        <v>13900    18 Hs Sup</v>
      </c>
      <c r="B203">
        <v>201</v>
      </c>
      <c r="C203">
        <v>13900</v>
      </c>
      <c r="D203" s="74" t="s">
        <v>713</v>
      </c>
    </row>
    <row r="204" spans="1:4" ht="12.75">
      <c r="A204" t="str">
        <f t="shared" si="3"/>
        <v>13900    19 Hs Sup</v>
      </c>
      <c r="B204">
        <v>202</v>
      </c>
      <c r="C204">
        <v>13900</v>
      </c>
      <c r="D204" s="74" t="s">
        <v>714</v>
      </c>
    </row>
    <row r="205" spans="1:4" ht="12.75">
      <c r="A205" t="str">
        <f t="shared" si="3"/>
        <v>13900    20 Hs Sup</v>
      </c>
      <c r="B205">
        <v>203</v>
      </c>
      <c r="C205">
        <v>13900</v>
      </c>
      <c r="D205" s="74" t="s">
        <v>715</v>
      </c>
    </row>
    <row r="206" spans="1:4" ht="12.75">
      <c r="A206" t="str">
        <f t="shared" si="3"/>
        <v>13900    21 Hs Sup</v>
      </c>
      <c r="B206">
        <v>204</v>
      </c>
      <c r="C206">
        <v>13900</v>
      </c>
      <c r="D206" s="74" t="s">
        <v>716</v>
      </c>
    </row>
    <row r="207" spans="1:4" ht="12.75">
      <c r="A207" t="str">
        <f t="shared" si="3"/>
        <v>13900    22 Hs Sup</v>
      </c>
      <c r="B207">
        <v>205</v>
      </c>
      <c r="C207">
        <v>13900</v>
      </c>
      <c r="D207" s="74" t="s">
        <v>717</v>
      </c>
    </row>
    <row r="208" spans="1:4" ht="12.75">
      <c r="A208" t="str">
        <f t="shared" si="3"/>
        <v>13900    23 Hs Sup</v>
      </c>
      <c r="B208">
        <v>206</v>
      </c>
      <c r="C208">
        <v>13900</v>
      </c>
      <c r="D208" s="74" t="s">
        <v>718</v>
      </c>
    </row>
    <row r="209" spans="1:4" ht="12.75">
      <c r="A209" t="str">
        <f t="shared" si="3"/>
        <v>13900    24 Hs Sup</v>
      </c>
      <c r="B209">
        <v>207</v>
      </c>
      <c r="C209">
        <v>13900</v>
      </c>
      <c r="D209" s="74" t="s">
        <v>719</v>
      </c>
    </row>
    <row r="210" spans="1:4" ht="12.75">
      <c r="A210" t="str">
        <f t="shared" si="3"/>
        <v>13900    25 Hs Sup</v>
      </c>
      <c r="B210">
        <v>208</v>
      </c>
      <c r="C210">
        <v>13900</v>
      </c>
      <c r="D210" s="74" t="s">
        <v>720</v>
      </c>
    </row>
    <row r="211" spans="1:4" ht="12.75">
      <c r="A211" t="str">
        <f t="shared" si="3"/>
        <v>13900    26 Hs Sup</v>
      </c>
      <c r="B211">
        <v>209</v>
      </c>
      <c r="C211">
        <v>13900</v>
      </c>
      <c r="D211" s="74" t="s">
        <v>721</v>
      </c>
    </row>
    <row r="212" spans="1:4" ht="12.75">
      <c r="A212" t="str">
        <f t="shared" si="3"/>
        <v>13900    27 Hs Sup</v>
      </c>
      <c r="B212">
        <v>210</v>
      </c>
      <c r="C212">
        <v>13900</v>
      </c>
      <c r="D212" s="74" t="s">
        <v>722</v>
      </c>
    </row>
    <row r="213" spans="1:4" ht="12.75">
      <c r="A213" t="str">
        <f t="shared" si="3"/>
        <v>13900    28 Hs Sup</v>
      </c>
      <c r="B213">
        <v>211</v>
      </c>
      <c r="C213">
        <v>13900</v>
      </c>
      <c r="D213" s="74" t="s">
        <v>723</v>
      </c>
    </row>
    <row r="214" spans="1:4" ht="12.75">
      <c r="A214" t="str">
        <f t="shared" si="3"/>
        <v>13900    29 Hs Sup</v>
      </c>
      <c r="B214">
        <v>212</v>
      </c>
      <c r="C214">
        <v>13900</v>
      </c>
      <c r="D214" s="74" t="s">
        <v>724</v>
      </c>
    </row>
    <row r="215" spans="1:4" ht="12.75">
      <c r="A215" t="str">
        <f t="shared" si="3"/>
        <v>13900    30 Hs Sup</v>
      </c>
      <c r="B215">
        <v>213</v>
      </c>
      <c r="C215">
        <v>13900</v>
      </c>
      <c r="D215" s="74" t="s">
        <v>725</v>
      </c>
    </row>
    <row r="216" spans="1:4" ht="12.75">
      <c r="A216" t="str">
        <f t="shared" si="3"/>
        <v>13900    31 Hs Sup</v>
      </c>
      <c r="B216">
        <v>214</v>
      </c>
      <c r="C216">
        <v>13900</v>
      </c>
      <c r="D216" s="74" t="s">
        <v>726</v>
      </c>
    </row>
    <row r="217" spans="1:4" ht="12.75">
      <c r="A217" t="str">
        <f t="shared" si="3"/>
        <v>13900    32 Hs Sup</v>
      </c>
      <c r="B217">
        <v>215</v>
      </c>
      <c r="C217">
        <v>13900</v>
      </c>
      <c r="D217" s="74" t="s">
        <v>727</v>
      </c>
    </row>
    <row r="218" spans="1:4" ht="12.75">
      <c r="A218" t="str">
        <f t="shared" si="3"/>
        <v>13900    33 Hs Sup</v>
      </c>
      <c r="B218">
        <v>216</v>
      </c>
      <c r="C218">
        <v>13900</v>
      </c>
      <c r="D218" s="74" t="s">
        <v>728</v>
      </c>
    </row>
    <row r="219" spans="1:4" ht="12.75">
      <c r="A219" t="str">
        <f t="shared" si="3"/>
        <v>13900    34 Hs Sup</v>
      </c>
      <c r="B219">
        <v>217</v>
      </c>
      <c r="C219">
        <v>13900</v>
      </c>
      <c r="D219" s="74" t="s">
        <v>729</v>
      </c>
    </row>
    <row r="220" spans="1:4" ht="12.75">
      <c r="A220" t="str">
        <f t="shared" si="3"/>
        <v>13900    35 Hs Sup</v>
      </c>
      <c r="B220">
        <v>218</v>
      </c>
      <c r="C220">
        <v>13900</v>
      </c>
      <c r="D220" s="74" t="s">
        <v>730</v>
      </c>
    </row>
    <row r="221" spans="1:4" ht="12.75">
      <c r="A221" t="str">
        <f t="shared" si="3"/>
        <v>13900    36 Hs Sup</v>
      </c>
      <c r="B221">
        <v>219</v>
      </c>
      <c r="C221">
        <v>13900</v>
      </c>
      <c r="D221" s="74" t="s">
        <v>731</v>
      </c>
    </row>
    <row r="222" spans="1:4" ht="12.75">
      <c r="A222" t="str">
        <f t="shared" si="3"/>
        <v>13910   01 H Med</v>
      </c>
      <c r="B222">
        <v>220</v>
      </c>
      <c r="C222">
        <v>13910</v>
      </c>
      <c r="D222" s="74" t="s">
        <v>732</v>
      </c>
    </row>
    <row r="223" spans="1:4" ht="12.75">
      <c r="A223" t="str">
        <f t="shared" si="3"/>
        <v>13910   01 H Med Ens Esp</v>
      </c>
      <c r="B223">
        <v>221</v>
      </c>
      <c r="C223">
        <v>13910</v>
      </c>
      <c r="D223" s="74" t="s">
        <v>733</v>
      </c>
    </row>
    <row r="224" spans="1:4" ht="12.75">
      <c r="A224" t="str">
        <f t="shared" si="3"/>
        <v>13910   02 Hs Med</v>
      </c>
      <c r="B224">
        <v>222</v>
      </c>
      <c r="C224">
        <v>13910</v>
      </c>
      <c r="D224" s="74" t="s">
        <v>734</v>
      </c>
    </row>
    <row r="225" spans="1:4" ht="12.75">
      <c r="A225" t="str">
        <f t="shared" si="3"/>
        <v>13910   02 Hs Med Ens Esp</v>
      </c>
      <c r="B225">
        <v>223</v>
      </c>
      <c r="C225">
        <v>13910</v>
      </c>
      <c r="D225" s="74" t="s">
        <v>735</v>
      </c>
    </row>
    <row r="226" spans="1:4" ht="12.75">
      <c r="A226" t="str">
        <f t="shared" si="3"/>
        <v>13910   03 Hs Med</v>
      </c>
      <c r="B226">
        <v>224</v>
      </c>
      <c r="C226">
        <v>13910</v>
      </c>
      <c r="D226" s="74" t="s">
        <v>736</v>
      </c>
    </row>
    <row r="227" spans="1:4" ht="12.75">
      <c r="A227" t="str">
        <f t="shared" si="3"/>
        <v>13910   03 Hs Med Ens Esp</v>
      </c>
      <c r="B227">
        <v>225</v>
      </c>
      <c r="C227">
        <v>13910</v>
      </c>
      <c r="D227" s="74" t="s">
        <v>737</v>
      </c>
    </row>
    <row r="228" spans="1:4" ht="12.75">
      <c r="A228" t="str">
        <f t="shared" si="3"/>
        <v>13910   04 Hs Med</v>
      </c>
      <c r="B228">
        <v>226</v>
      </c>
      <c r="C228">
        <v>13910</v>
      </c>
      <c r="D228" s="74" t="s">
        <v>738</v>
      </c>
    </row>
    <row r="229" spans="1:4" ht="12.75">
      <c r="A229" t="str">
        <f t="shared" si="3"/>
        <v>13910   04 Hs Med Ens Esp</v>
      </c>
      <c r="B229">
        <v>227</v>
      </c>
      <c r="C229">
        <v>13910</v>
      </c>
      <c r="D229" s="74" t="s">
        <v>739</v>
      </c>
    </row>
    <row r="230" spans="1:4" ht="12.75">
      <c r="A230" t="str">
        <f t="shared" si="3"/>
        <v>13910   05 Hs Med</v>
      </c>
      <c r="B230">
        <v>228</v>
      </c>
      <c r="C230">
        <v>13910</v>
      </c>
      <c r="D230" s="74" t="s">
        <v>740</v>
      </c>
    </row>
    <row r="231" spans="1:4" ht="12.75">
      <c r="A231" t="str">
        <f t="shared" si="3"/>
        <v>13910   05 Hs Med Ens Esp</v>
      </c>
      <c r="B231">
        <v>229</v>
      </c>
      <c r="C231">
        <v>13910</v>
      </c>
      <c r="D231" s="74" t="s">
        <v>741</v>
      </c>
    </row>
    <row r="232" spans="1:4" ht="12.75">
      <c r="A232" t="str">
        <f t="shared" si="3"/>
        <v>13910   06 Hs Med</v>
      </c>
      <c r="B232">
        <v>230</v>
      </c>
      <c r="C232">
        <v>13910</v>
      </c>
      <c r="D232" s="74" t="s">
        <v>742</v>
      </c>
    </row>
    <row r="233" spans="1:4" ht="12.75">
      <c r="A233" t="str">
        <f t="shared" si="3"/>
        <v>13910   06 Hs Med Ens Esp</v>
      </c>
      <c r="B233">
        <v>231</v>
      </c>
      <c r="C233">
        <v>13910</v>
      </c>
      <c r="D233" s="74" t="s">
        <v>743</v>
      </c>
    </row>
    <row r="234" spans="1:4" ht="12.75">
      <c r="A234" t="str">
        <f t="shared" si="3"/>
        <v>13910   07 Hs Med</v>
      </c>
      <c r="B234">
        <v>232</v>
      </c>
      <c r="C234">
        <v>13910</v>
      </c>
      <c r="D234" s="74" t="s">
        <v>744</v>
      </c>
    </row>
    <row r="235" spans="1:4" ht="12.75">
      <c r="A235" t="str">
        <f t="shared" si="3"/>
        <v>13910   07 Hs Med Ens Esp</v>
      </c>
      <c r="B235">
        <v>233</v>
      </c>
      <c r="C235">
        <v>13910</v>
      </c>
      <c r="D235" s="74" t="s">
        <v>745</v>
      </c>
    </row>
    <row r="236" spans="1:4" ht="12.75">
      <c r="A236" t="str">
        <f t="shared" si="3"/>
        <v>13910   08 Hs Med</v>
      </c>
      <c r="B236">
        <v>234</v>
      </c>
      <c r="C236">
        <v>13910</v>
      </c>
      <c r="D236" s="74" t="s">
        <v>746</v>
      </c>
    </row>
    <row r="237" spans="1:4" ht="12.75">
      <c r="A237" t="str">
        <f t="shared" si="3"/>
        <v>13910   08 Hs Med Ens Esp</v>
      </c>
      <c r="B237">
        <v>235</v>
      </c>
      <c r="C237">
        <v>13910</v>
      </c>
      <c r="D237" s="74" t="s">
        <v>747</v>
      </c>
    </row>
    <row r="238" spans="1:4" ht="12.75">
      <c r="A238" t="str">
        <f t="shared" si="3"/>
        <v>13910   09 Hs Med</v>
      </c>
      <c r="B238">
        <v>236</v>
      </c>
      <c r="C238">
        <v>13910</v>
      </c>
      <c r="D238" s="74" t="s">
        <v>748</v>
      </c>
    </row>
    <row r="239" spans="1:4" ht="12.75">
      <c r="A239" t="str">
        <f t="shared" si="3"/>
        <v>13910   09 Hs Med Ens Esp</v>
      </c>
      <c r="B239">
        <v>237</v>
      </c>
      <c r="C239">
        <v>13910</v>
      </c>
      <c r="D239" s="74" t="s">
        <v>749</v>
      </c>
    </row>
    <row r="240" spans="1:4" ht="12.75">
      <c r="A240" t="str">
        <f t="shared" si="3"/>
        <v>13910   10 Hs Med</v>
      </c>
      <c r="B240">
        <v>238</v>
      </c>
      <c r="C240">
        <v>13910</v>
      </c>
      <c r="D240" s="74" t="s">
        <v>750</v>
      </c>
    </row>
    <row r="241" spans="1:4" ht="12.75">
      <c r="A241" t="str">
        <f t="shared" si="3"/>
        <v>13910   10 Hs Med Ens Esp</v>
      </c>
      <c r="B241">
        <v>239</v>
      </c>
      <c r="C241">
        <v>13910</v>
      </c>
      <c r="D241" s="74" t="s">
        <v>751</v>
      </c>
    </row>
    <row r="242" spans="1:4" ht="12.75">
      <c r="A242" t="str">
        <f t="shared" si="3"/>
        <v>13910   11 Hs Med</v>
      </c>
      <c r="B242">
        <v>240</v>
      </c>
      <c r="C242">
        <v>13910</v>
      </c>
      <c r="D242" s="74" t="s">
        <v>752</v>
      </c>
    </row>
    <row r="243" spans="1:4" ht="12.75">
      <c r="A243" t="str">
        <f t="shared" si="3"/>
        <v>13910   11 Hs Med Ens Esp</v>
      </c>
      <c r="B243">
        <v>241</v>
      </c>
      <c r="C243">
        <v>13910</v>
      </c>
      <c r="D243" s="74" t="s">
        <v>753</v>
      </c>
    </row>
    <row r="244" spans="1:4" ht="12.75">
      <c r="A244" t="str">
        <f t="shared" si="3"/>
        <v>13910   12 Hs Med</v>
      </c>
      <c r="B244">
        <v>242</v>
      </c>
      <c r="C244">
        <v>13910</v>
      </c>
      <c r="D244" s="74" t="s">
        <v>754</v>
      </c>
    </row>
    <row r="245" spans="1:4" ht="12.75">
      <c r="A245" t="str">
        <f t="shared" si="3"/>
        <v>13910   12 Hs Med Ens Esp</v>
      </c>
      <c r="B245">
        <v>243</v>
      </c>
      <c r="C245">
        <v>13910</v>
      </c>
      <c r="D245" s="74" t="s">
        <v>755</v>
      </c>
    </row>
    <row r="246" spans="1:4" ht="12.75">
      <c r="A246" t="str">
        <f t="shared" si="3"/>
        <v>13910   13 Hs Med</v>
      </c>
      <c r="B246">
        <v>244</v>
      </c>
      <c r="C246">
        <v>13910</v>
      </c>
      <c r="D246" s="74" t="s">
        <v>756</v>
      </c>
    </row>
    <row r="247" spans="1:4" ht="12.75">
      <c r="A247" t="str">
        <f t="shared" si="3"/>
        <v>13910   13 Hs Med Ens Esp</v>
      </c>
      <c r="B247">
        <v>245</v>
      </c>
      <c r="C247">
        <v>13910</v>
      </c>
      <c r="D247" s="74" t="s">
        <v>757</v>
      </c>
    </row>
    <row r="248" spans="1:4" ht="12.75">
      <c r="A248" t="str">
        <f t="shared" si="3"/>
        <v>13910   14 Hs Med</v>
      </c>
      <c r="B248">
        <v>246</v>
      </c>
      <c r="C248">
        <v>13910</v>
      </c>
      <c r="D248" s="74" t="s">
        <v>758</v>
      </c>
    </row>
    <row r="249" spans="1:4" ht="12.75">
      <c r="A249" t="str">
        <f t="shared" si="3"/>
        <v>13910   14 Hs Med Ens Esp</v>
      </c>
      <c r="B249">
        <v>247</v>
      </c>
      <c r="C249">
        <v>13910</v>
      </c>
      <c r="D249" s="74" t="s">
        <v>759</v>
      </c>
    </row>
    <row r="250" spans="1:4" ht="12.75">
      <c r="A250" t="str">
        <f t="shared" si="3"/>
        <v>13910   15 Hs Med</v>
      </c>
      <c r="B250">
        <v>248</v>
      </c>
      <c r="C250">
        <v>13910</v>
      </c>
      <c r="D250" s="74" t="s">
        <v>760</v>
      </c>
    </row>
    <row r="251" spans="1:4" ht="12.75">
      <c r="A251" t="str">
        <f t="shared" si="3"/>
        <v>13910   15 Hs Med Ens Esp</v>
      </c>
      <c r="B251">
        <v>249</v>
      </c>
      <c r="C251">
        <v>13910</v>
      </c>
      <c r="D251" s="74" t="s">
        <v>761</v>
      </c>
    </row>
    <row r="252" spans="1:4" ht="12.75">
      <c r="A252" t="str">
        <f t="shared" si="3"/>
        <v>13910   16 Hs Med</v>
      </c>
      <c r="B252">
        <v>250</v>
      </c>
      <c r="C252">
        <v>13910</v>
      </c>
      <c r="D252" s="74" t="s">
        <v>762</v>
      </c>
    </row>
    <row r="253" spans="1:4" ht="12.75">
      <c r="A253" t="str">
        <f t="shared" si="3"/>
        <v>13910   16 Hs Med Ens Esp</v>
      </c>
      <c r="B253">
        <v>251</v>
      </c>
      <c r="C253">
        <v>13910</v>
      </c>
      <c r="D253" s="74" t="s">
        <v>763</v>
      </c>
    </row>
    <row r="254" spans="1:4" ht="12.75">
      <c r="A254" t="str">
        <f t="shared" si="3"/>
        <v>13910   17 Hs Med</v>
      </c>
      <c r="B254">
        <v>252</v>
      </c>
      <c r="C254">
        <v>13910</v>
      </c>
      <c r="D254" s="74" t="s">
        <v>764</v>
      </c>
    </row>
    <row r="255" spans="1:4" ht="12.75">
      <c r="A255" t="str">
        <f t="shared" si="3"/>
        <v>13910   17 Hs Med Ens Esp</v>
      </c>
      <c r="B255">
        <v>253</v>
      </c>
      <c r="C255">
        <v>13910</v>
      </c>
      <c r="D255" s="74" t="s">
        <v>765</v>
      </c>
    </row>
    <row r="256" spans="1:4" ht="12.75">
      <c r="A256" t="str">
        <f t="shared" si="3"/>
        <v>13910   18 Hs Med</v>
      </c>
      <c r="B256">
        <v>254</v>
      </c>
      <c r="C256">
        <v>13910</v>
      </c>
      <c r="D256" s="74" t="s">
        <v>766</v>
      </c>
    </row>
    <row r="257" spans="1:4" ht="12.75">
      <c r="A257" t="str">
        <f t="shared" si="3"/>
        <v>13910   18 Hs Med Ens Esp</v>
      </c>
      <c r="B257">
        <v>255</v>
      </c>
      <c r="C257">
        <v>13910</v>
      </c>
      <c r="D257" s="74" t="s">
        <v>767</v>
      </c>
    </row>
    <row r="258" spans="1:4" ht="12.75">
      <c r="A258" t="str">
        <f t="shared" si="3"/>
        <v>13910   19 Hs Med</v>
      </c>
      <c r="B258">
        <v>256</v>
      </c>
      <c r="C258">
        <v>13910</v>
      </c>
      <c r="D258" s="74" t="s">
        <v>768</v>
      </c>
    </row>
    <row r="259" spans="1:4" ht="12.75">
      <c r="A259" t="str">
        <f t="shared" si="3"/>
        <v>13910   19 Hs Med Ens Esp</v>
      </c>
      <c r="B259">
        <v>257</v>
      </c>
      <c r="C259">
        <v>13910</v>
      </c>
      <c r="D259" s="74" t="s">
        <v>769</v>
      </c>
    </row>
    <row r="260" spans="1:4" ht="12.75">
      <c r="A260" t="str">
        <f aca="true" t="shared" si="4" ref="A260:A321">CONCATENATE(C260,"   ",D260)</f>
        <v>13910   20 Hs Med</v>
      </c>
      <c r="B260">
        <v>258</v>
      </c>
      <c r="C260">
        <v>13910</v>
      </c>
      <c r="D260" s="74" t="s">
        <v>770</v>
      </c>
    </row>
    <row r="261" spans="1:4" ht="12.75">
      <c r="A261" t="str">
        <f t="shared" si="4"/>
        <v>13910   20 Hs Med Ens Esp</v>
      </c>
      <c r="B261">
        <v>259</v>
      </c>
      <c r="C261">
        <v>13910</v>
      </c>
      <c r="D261" s="74" t="s">
        <v>771</v>
      </c>
    </row>
    <row r="262" spans="1:4" ht="12.75">
      <c r="A262" t="str">
        <f t="shared" si="4"/>
        <v>13910   21 Hs Med</v>
      </c>
      <c r="B262">
        <v>260</v>
      </c>
      <c r="C262">
        <v>13910</v>
      </c>
      <c r="D262" s="74" t="s">
        <v>772</v>
      </c>
    </row>
    <row r="263" spans="1:4" ht="12.75">
      <c r="A263" t="str">
        <f t="shared" si="4"/>
        <v>13910   21 Hs Med Ens Esp</v>
      </c>
      <c r="B263">
        <v>261</v>
      </c>
      <c r="C263">
        <v>13910</v>
      </c>
      <c r="D263" s="74" t="s">
        <v>773</v>
      </c>
    </row>
    <row r="264" spans="1:4" ht="12.75">
      <c r="A264" t="str">
        <f t="shared" si="4"/>
        <v>13910   22 Hs Med</v>
      </c>
      <c r="B264">
        <v>262</v>
      </c>
      <c r="C264">
        <v>13910</v>
      </c>
      <c r="D264" s="74" t="s">
        <v>774</v>
      </c>
    </row>
    <row r="265" spans="1:4" ht="12.75">
      <c r="A265" t="str">
        <f t="shared" si="4"/>
        <v>13910   22 Hs Med Ens Esp</v>
      </c>
      <c r="B265">
        <v>263</v>
      </c>
      <c r="C265">
        <v>13910</v>
      </c>
      <c r="D265" s="74" t="s">
        <v>775</v>
      </c>
    </row>
    <row r="266" spans="1:4" ht="12.75">
      <c r="A266" t="str">
        <f t="shared" si="4"/>
        <v>13910   23 Hs Med</v>
      </c>
      <c r="B266">
        <v>264</v>
      </c>
      <c r="C266">
        <v>13910</v>
      </c>
      <c r="D266" s="74" t="s">
        <v>776</v>
      </c>
    </row>
    <row r="267" spans="1:4" ht="12.75">
      <c r="A267" t="str">
        <f t="shared" si="4"/>
        <v>13910   23 Hs Med Ens Esp</v>
      </c>
      <c r="B267">
        <v>265</v>
      </c>
      <c r="C267">
        <v>13910</v>
      </c>
      <c r="D267" s="74" t="s">
        <v>777</v>
      </c>
    </row>
    <row r="268" spans="1:4" ht="12.75">
      <c r="A268" t="str">
        <f t="shared" si="4"/>
        <v>13910   24 Hs Med</v>
      </c>
      <c r="B268">
        <v>266</v>
      </c>
      <c r="C268">
        <v>13910</v>
      </c>
      <c r="D268" s="74" t="s">
        <v>778</v>
      </c>
    </row>
    <row r="269" spans="1:4" ht="12.75">
      <c r="A269" t="str">
        <f t="shared" si="4"/>
        <v>13910   24 Hs Med Ens Esp</v>
      </c>
      <c r="B269">
        <v>267</v>
      </c>
      <c r="C269">
        <v>13910</v>
      </c>
      <c r="D269" s="74" t="s">
        <v>779</v>
      </c>
    </row>
    <row r="270" spans="1:4" ht="12.75">
      <c r="A270" t="str">
        <f t="shared" si="4"/>
        <v>13910   25 Hs Med</v>
      </c>
      <c r="B270">
        <v>268</v>
      </c>
      <c r="C270">
        <v>13910</v>
      </c>
      <c r="D270" s="74" t="s">
        <v>780</v>
      </c>
    </row>
    <row r="271" spans="1:4" ht="12.75">
      <c r="A271" t="str">
        <f t="shared" si="4"/>
        <v>13910   25 Hs Med Ens Esp</v>
      </c>
      <c r="B271">
        <v>269</v>
      </c>
      <c r="C271">
        <v>13910</v>
      </c>
      <c r="D271" s="74" t="s">
        <v>781</v>
      </c>
    </row>
    <row r="272" spans="1:4" ht="12.75">
      <c r="A272" t="str">
        <f t="shared" si="4"/>
        <v>13910   26 Hs Med</v>
      </c>
      <c r="B272">
        <v>270</v>
      </c>
      <c r="C272">
        <v>13910</v>
      </c>
      <c r="D272" s="74" t="s">
        <v>782</v>
      </c>
    </row>
    <row r="273" spans="1:4" ht="12.75">
      <c r="A273" t="str">
        <f t="shared" si="4"/>
        <v>13910   26 Hs Med Ens Esp</v>
      </c>
      <c r="B273">
        <v>271</v>
      </c>
      <c r="C273">
        <v>13910</v>
      </c>
      <c r="D273" s="74" t="s">
        <v>786</v>
      </c>
    </row>
    <row r="274" spans="1:4" ht="12.75">
      <c r="A274" t="str">
        <f t="shared" si="4"/>
        <v>13910   27 Hs Med</v>
      </c>
      <c r="B274">
        <v>272</v>
      </c>
      <c r="C274">
        <v>13910</v>
      </c>
      <c r="D274" s="74" t="s">
        <v>784</v>
      </c>
    </row>
    <row r="275" spans="1:4" ht="12.75">
      <c r="A275" t="str">
        <f t="shared" si="4"/>
        <v>13910   27 Hs Med Ens Esp</v>
      </c>
      <c r="B275">
        <v>273</v>
      </c>
      <c r="C275">
        <v>13910</v>
      </c>
      <c r="D275" s="74" t="s">
        <v>783</v>
      </c>
    </row>
    <row r="276" spans="1:4" ht="12.75">
      <c r="A276" t="str">
        <f t="shared" si="4"/>
        <v>13910   28 Hs Med</v>
      </c>
      <c r="B276">
        <v>274</v>
      </c>
      <c r="C276">
        <v>13910</v>
      </c>
      <c r="D276" s="74" t="s">
        <v>787</v>
      </c>
    </row>
    <row r="277" spans="1:4" ht="12.75">
      <c r="A277" t="str">
        <f t="shared" si="4"/>
        <v>13910   28 Hs Med Ens Esp</v>
      </c>
      <c r="B277">
        <v>275</v>
      </c>
      <c r="C277">
        <v>13910</v>
      </c>
      <c r="D277" s="74" t="s">
        <v>785</v>
      </c>
    </row>
    <row r="278" spans="1:4" ht="12.75">
      <c r="A278" t="str">
        <f t="shared" si="4"/>
        <v>13910   29 Hs Med</v>
      </c>
      <c r="B278">
        <v>276</v>
      </c>
      <c r="C278">
        <v>13910</v>
      </c>
      <c r="D278" s="74" t="s">
        <v>788</v>
      </c>
    </row>
    <row r="279" spans="1:4" ht="12.75">
      <c r="A279" t="str">
        <f t="shared" si="4"/>
        <v>13910   29 Hs Med Ens Esp</v>
      </c>
      <c r="B279">
        <v>277</v>
      </c>
      <c r="C279">
        <v>13910</v>
      </c>
      <c r="D279" s="74" t="s">
        <v>789</v>
      </c>
    </row>
    <row r="280" spans="1:4" ht="12.75">
      <c r="A280" t="str">
        <f t="shared" si="4"/>
        <v>13910   30 Hs Med</v>
      </c>
      <c r="B280">
        <v>278</v>
      </c>
      <c r="C280">
        <v>13910</v>
      </c>
      <c r="D280" s="74" t="s">
        <v>790</v>
      </c>
    </row>
    <row r="281" spans="1:4" ht="12.75">
      <c r="A281" t="str">
        <f t="shared" si="4"/>
        <v>13910   30 Hs Med Ens Esp</v>
      </c>
      <c r="B281">
        <v>279</v>
      </c>
      <c r="C281">
        <v>13910</v>
      </c>
      <c r="D281" s="74" t="s">
        <v>791</v>
      </c>
    </row>
    <row r="282" spans="1:4" ht="12.75">
      <c r="A282" t="str">
        <f t="shared" si="4"/>
        <v>13910   31 Hs Med</v>
      </c>
      <c r="B282">
        <v>280</v>
      </c>
      <c r="C282">
        <v>13910</v>
      </c>
      <c r="D282" s="74" t="s">
        <v>792</v>
      </c>
    </row>
    <row r="283" spans="1:4" ht="12.75">
      <c r="A283" t="str">
        <f t="shared" si="4"/>
        <v>13910   31 Hs Med Ens Esp</v>
      </c>
      <c r="B283">
        <v>281</v>
      </c>
      <c r="C283">
        <v>13910</v>
      </c>
      <c r="D283" s="74" t="s">
        <v>793</v>
      </c>
    </row>
    <row r="284" spans="1:4" ht="12.75">
      <c r="A284" t="str">
        <f t="shared" si="4"/>
        <v>13910   32 Hs Med</v>
      </c>
      <c r="B284">
        <v>282</v>
      </c>
      <c r="C284">
        <v>13910</v>
      </c>
      <c r="D284" s="74" t="s">
        <v>794</v>
      </c>
    </row>
    <row r="285" spans="1:4" ht="12.75">
      <c r="A285" t="str">
        <f t="shared" si="4"/>
        <v>13910   32 Hs Med Ens Esp</v>
      </c>
      <c r="B285">
        <v>283</v>
      </c>
      <c r="C285">
        <v>13910</v>
      </c>
      <c r="D285" s="74" t="s">
        <v>795</v>
      </c>
    </row>
    <row r="286" spans="1:4" ht="12.75">
      <c r="A286" t="str">
        <f t="shared" si="4"/>
        <v>13910   33 Hs Med</v>
      </c>
      <c r="B286">
        <v>284</v>
      </c>
      <c r="C286">
        <v>13910</v>
      </c>
      <c r="D286" s="74" t="s">
        <v>796</v>
      </c>
    </row>
    <row r="287" spans="1:4" ht="12.75">
      <c r="A287" t="str">
        <f t="shared" si="4"/>
        <v>13910   33 Hs Med Ens Esp</v>
      </c>
      <c r="B287">
        <v>285</v>
      </c>
      <c r="C287">
        <v>13910</v>
      </c>
      <c r="D287" s="74" t="s">
        <v>797</v>
      </c>
    </row>
    <row r="288" spans="1:4" ht="12.75">
      <c r="A288" t="str">
        <f t="shared" si="4"/>
        <v>13910   34 Hs Med</v>
      </c>
      <c r="B288">
        <v>286</v>
      </c>
      <c r="C288">
        <v>13910</v>
      </c>
      <c r="D288" s="74" t="s">
        <v>798</v>
      </c>
    </row>
    <row r="289" spans="1:4" ht="12.75">
      <c r="A289" t="str">
        <f t="shared" si="4"/>
        <v>13910   34 Hs Med Ens Esp</v>
      </c>
      <c r="B289">
        <v>287</v>
      </c>
      <c r="C289">
        <v>13910</v>
      </c>
      <c r="D289" s="74" t="s">
        <v>799</v>
      </c>
    </row>
    <row r="290" spans="1:4" ht="12.75">
      <c r="A290" t="str">
        <f t="shared" si="4"/>
        <v>13910   35 Hs Med</v>
      </c>
      <c r="B290">
        <v>288</v>
      </c>
      <c r="C290">
        <v>13910</v>
      </c>
      <c r="D290" s="74" t="s">
        <v>800</v>
      </c>
    </row>
    <row r="291" spans="1:4" ht="12.75">
      <c r="A291" t="str">
        <f t="shared" si="4"/>
        <v>13910   35 Hs Med Ens Esp</v>
      </c>
      <c r="B291">
        <v>289</v>
      </c>
      <c r="C291">
        <v>13910</v>
      </c>
      <c r="D291" s="74" t="s">
        <v>801</v>
      </c>
    </row>
    <row r="292" spans="1:4" ht="12.75">
      <c r="A292" t="str">
        <f t="shared" si="4"/>
        <v>13910   36 Hs Med</v>
      </c>
      <c r="B292">
        <v>290</v>
      </c>
      <c r="C292">
        <v>13910</v>
      </c>
      <c r="D292" s="74" t="s">
        <v>802</v>
      </c>
    </row>
    <row r="293" spans="1:4" ht="12.75">
      <c r="A293" t="str">
        <f t="shared" si="4"/>
        <v>13910   36 Hs Med Ens Esp</v>
      </c>
      <c r="B293">
        <v>291</v>
      </c>
      <c r="C293">
        <v>13910</v>
      </c>
      <c r="D293" s="74" t="s">
        <v>803</v>
      </c>
    </row>
    <row r="294" spans="1:4" ht="12.75">
      <c r="A294" t="str">
        <f t="shared" si="4"/>
        <v>13920   Hs. Cat. Ley 22416 01 Hora</v>
      </c>
      <c r="B294">
        <v>292</v>
      </c>
      <c r="C294">
        <v>13920</v>
      </c>
      <c r="D294" t="s">
        <v>473</v>
      </c>
    </row>
    <row r="295" spans="1:4" ht="12.75">
      <c r="A295" t="str">
        <f t="shared" si="4"/>
        <v>13930   Jornada Extendida Modulo de 2 hs</v>
      </c>
      <c r="B295">
        <v>293</v>
      </c>
      <c r="C295">
        <v>13930</v>
      </c>
      <c r="D295" t="s">
        <v>475</v>
      </c>
    </row>
    <row r="296" spans="1:4" ht="12.75">
      <c r="A296" t="str">
        <f t="shared" si="4"/>
        <v>13940   Quinta Hora Primer Ciclo</v>
      </c>
      <c r="B296">
        <v>294</v>
      </c>
      <c r="C296">
        <v>13940</v>
      </c>
      <c r="D296" t="s">
        <v>651</v>
      </c>
    </row>
    <row r="297" spans="1:4" ht="12.75">
      <c r="A297" t="str">
        <f t="shared" si="4"/>
        <v xml:space="preserve">   Prol Jor Dir B1 (25 + 15 Hs)</v>
      </c>
      <c r="B297">
        <v>295</v>
      </c>
      <c r="D297" t="s">
        <v>476</v>
      </c>
    </row>
    <row r="298" spans="1:4" ht="12.75">
      <c r="A298" t="str">
        <f t="shared" si="4"/>
        <v xml:space="preserve">   Prol Jor Dir B2 (25 + 10 Hs)</v>
      </c>
      <c r="B298">
        <v>296</v>
      </c>
      <c r="D298" t="s">
        <v>477</v>
      </c>
    </row>
    <row r="299" spans="1:4" ht="12.75">
      <c r="A299" t="str">
        <f t="shared" si="4"/>
        <v xml:space="preserve">   Prol Jor Dir B3 (25 + 05 Hs)</v>
      </c>
      <c r="B299">
        <v>297</v>
      </c>
      <c r="D299" t="s">
        <v>478</v>
      </c>
    </row>
    <row r="300" spans="1:4" ht="12.75">
      <c r="A300" t="str">
        <f t="shared" si="4"/>
        <v xml:space="preserve">   Prol Jor (13-515) 01 hora</v>
      </c>
      <c r="B300">
        <v>298</v>
      </c>
      <c r="D300" t="s">
        <v>479</v>
      </c>
    </row>
    <row r="301" spans="1:4" ht="12.75">
      <c r="A301" t="str">
        <f t="shared" si="4"/>
        <v xml:space="preserve">   Prol Jor (13-515) 02 horas</v>
      </c>
      <c r="B301">
        <v>299</v>
      </c>
      <c r="D301" t="s">
        <v>480</v>
      </c>
    </row>
    <row r="302" spans="1:4" ht="12.75">
      <c r="A302" t="str">
        <f t="shared" si="4"/>
        <v xml:space="preserve">   Prol Jor (13-515) 03 horas</v>
      </c>
      <c r="B302">
        <v>300</v>
      </c>
      <c r="D302" t="s">
        <v>481</v>
      </c>
    </row>
    <row r="303" spans="1:4" ht="12.75">
      <c r="A303" t="str">
        <f t="shared" si="4"/>
        <v xml:space="preserve">   Prol Jor (13-515) 04 horas</v>
      </c>
      <c r="B303">
        <v>301</v>
      </c>
      <c r="D303" t="s">
        <v>482</v>
      </c>
    </row>
    <row r="304" spans="1:4" ht="12.75">
      <c r="A304" t="str">
        <f t="shared" si="4"/>
        <v xml:space="preserve">   Prol Jor (13-515) 05 horas</v>
      </c>
      <c r="B304">
        <v>302</v>
      </c>
      <c r="D304" t="s">
        <v>483</v>
      </c>
    </row>
    <row r="305" spans="1:4" ht="12.75">
      <c r="A305" t="str">
        <f t="shared" si="4"/>
        <v xml:space="preserve">   Prol Jor (13-515) 06 horas</v>
      </c>
      <c r="B305">
        <v>303</v>
      </c>
      <c r="D305" t="s">
        <v>484</v>
      </c>
    </row>
    <row r="306" spans="1:4" ht="12.75">
      <c r="A306" t="str">
        <f t="shared" si="4"/>
        <v xml:space="preserve">   Prol Jor (13-515) 07 horas</v>
      </c>
      <c r="B306">
        <v>304</v>
      </c>
      <c r="D306" t="s">
        <v>485</v>
      </c>
    </row>
    <row r="307" spans="1:4" ht="12.75">
      <c r="A307" t="str">
        <f t="shared" si="4"/>
        <v xml:space="preserve">   Prol Jor (13-515) 08 horas</v>
      </c>
      <c r="B307">
        <v>305</v>
      </c>
      <c r="D307" t="s">
        <v>486</v>
      </c>
    </row>
    <row r="308" spans="1:4" ht="12.75">
      <c r="A308" t="str">
        <f t="shared" si="4"/>
        <v xml:space="preserve">   Prol Jor (13-515) 09 horas</v>
      </c>
      <c r="B308">
        <v>306</v>
      </c>
      <c r="D308" t="s">
        <v>487</v>
      </c>
    </row>
    <row r="309" spans="1:4" ht="12.75">
      <c r="A309" t="str">
        <f t="shared" si="4"/>
        <v xml:space="preserve">   Prol Jor (13-515) 10 horas</v>
      </c>
      <c r="B309">
        <v>307</v>
      </c>
      <c r="D309" t="s">
        <v>488</v>
      </c>
    </row>
    <row r="310" spans="1:4" ht="12.75">
      <c r="A310" t="str">
        <f t="shared" si="4"/>
        <v xml:space="preserve">   Prol Jor (13-515) 11 horas</v>
      </c>
      <c r="B310">
        <v>308</v>
      </c>
      <c r="D310" t="s">
        <v>489</v>
      </c>
    </row>
    <row r="311" spans="1:4" ht="12.75">
      <c r="A311" t="str">
        <f t="shared" si="4"/>
        <v xml:space="preserve">   Prol Jor (13-515) 12 horas</v>
      </c>
      <c r="B311">
        <v>309</v>
      </c>
      <c r="D311" t="s">
        <v>490</v>
      </c>
    </row>
    <row r="312" spans="1:4" ht="12.75">
      <c r="A312" t="str">
        <f t="shared" si="4"/>
        <v xml:space="preserve">   Prol Jor (13-515) 13 horas</v>
      </c>
      <c r="B312">
        <v>310</v>
      </c>
      <c r="D312" t="s">
        <v>491</v>
      </c>
    </row>
    <row r="313" spans="1:4" ht="12.75">
      <c r="A313" t="str">
        <f t="shared" si="4"/>
        <v xml:space="preserve">   Prol Jor (13-515) 14 horas</v>
      </c>
      <c r="B313">
        <v>311</v>
      </c>
      <c r="D313" t="s">
        <v>492</v>
      </c>
    </row>
    <row r="314" spans="1:4" ht="12.75">
      <c r="A314" t="str">
        <f t="shared" si="4"/>
        <v xml:space="preserve">   Prol Jor (13-515) 15 horas</v>
      </c>
      <c r="B314">
        <v>312</v>
      </c>
      <c r="D314" t="s">
        <v>493</v>
      </c>
    </row>
    <row r="315" spans="1:4" ht="12.75">
      <c r="A315" t="str">
        <f t="shared" si="4"/>
        <v xml:space="preserve">   Prol Jor (13-515) 16 horas</v>
      </c>
      <c r="B315">
        <v>313</v>
      </c>
      <c r="D315" t="s">
        <v>494</v>
      </c>
    </row>
    <row r="316" spans="1:4" ht="12.75">
      <c r="A316" t="str">
        <f t="shared" si="4"/>
        <v>13930   Jorn Ext Dir Prim de 1°  Por mod de 2 hs</v>
      </c>
      <c r="B316">
        <v>314</v>
      </c>
      <c r="C316">
        <v>13930</v>
      </c>
      <c r="D316" t="s">
        <v>495</v>
      </c>
    </row>
    <row r="317" spans="1:4" ht="12.75">
      <c r="A317" t="str">
        <f t="shared" si="4"/>
        <v>13930   Jorn Ext Dir Prim de 2°  Por mod de 2 hs</v>
      </c>
      <c r="B317">
        <v>315</v>
      </c>
      <c r="C317">
        <v>13930</v>
      </c>
      <c r="D317" t="s">
        <v>496</v>
      </c>
    </row>
    <row r="318" spans="1:4" ht="12.75">
      <c r="A318" t="str">
        <f t="shared" si="4"/>
        <v>13930   Jorn Ext Dir Prim de 3°  Por mod de 2 hs</v>
      </c>
      <c r="B318">
        <v>316</v>
      </c>
      <c r="C318">
        <v>13930</v>
      </c>
      <c r="D318" t="s">
        <v>497</v>
      </c>
    </row>
    <row r="319" spans="1:4" ht="12.75">
      <c r="A319" t="str">
        <f t="shared" si="4"/>
        <v>13930   Jorn Ext Vice Dir Prim   Por mod de 2 hs</v>
      </c>
      <c r="B319">
        <v>317</v>
      </c>
      <c r="C319">
        <v>13930</v>
      </c>
      <c r="D319" t="s">
        <v>498</v>
      </c>
    </row>
    <row r="320" spans="1:4" ht="12.75">
      <c r="A320" t="str">
        <f t="shared" si="4"/>
        <v>13930   Jorn Ext Maestra Gr. Prim   Por mod de 2 hs</v>
      </c>
      <c r="B320">
        <v>318</v>
      </c>
      <c r="C320">
        <v>13930</v>
      </c>
      <c r="D320" t="s">
        <v>499</v>
      </c>
    </row>
    <row r="321" spans="1:4" ht="12.75">
      <c r="A321" t="str">
        <f t="shared" si="4"/>
        <v>13930   Jorn Ext Maestra Mat Especial  Por mod de 2 hs</v>
      </c>
      <c r="B321">
        <v>319</v>
      </c>
      <c r="C321">
        <v>13930</v>
      </c>
      <c r="D321" t="s">
        <v>500</v>
      </c>
    </row>
  </sheetData>
  <autoFilter ref="C1:D32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 topLeftCell="A1">
      <pane xSplit="4" ySplit="3" topLeftCell="E4" activePane="bottomRight" state="frozen"/>
      <selection pane="topRight" activeCell="E1" sqref="E1"/>
      <selection pane="bottomLeft" activeCell="A4" sqref="A4"/>
      <selection pane="bottomRight" activeCell="B3" sqref="B3"/>
    </sheetView>
  </sheetViews>
  <sheetFormatPr defaultColWidth="11.421875" defaultRowHeight="12.75"/>
  <cols>
    <col min="1" max="1" width="49.00390625" style="0" bestFit="1" customWidth="1"/>
    <col min="2" max="2" width="14.140625" style="0" customWidth="1"/>
    <col min="3" max="3" width="11.421875" style="0" hidden="1" customWidth="1"/>
    <col min="4" max="4" width="14.00390625" style="0" hidden="1" customWidth="1"/>
    <col min="5" max="5" width="14.28125" style="0" customWidth="1"/>
    <col min="6" max="6" width="11.421875" style="0" hidden="1" customWidth="1"/>
    <col min="7" max="7" width="15.8515625" style="0" customWidth="1"/>
    <col min="8" max="8" width="11.421875" style="0" hidden="1" customWidth="1"/>
    <col min="9" max="9" width="15.57421875" style="0" customWidth="1"/>
    <col min="10" max="10" width="11.421875" style="0" hidden="1" customWidth="1"/>
    <col min="11" max="11" width="14.421875" style="0" customWidth="1"/>
  </cols>
  <sheetData>
    <row r="1" spans="1:11" ht="12.75">
      <c r="A1" s="74"/>
      <c r="B1" s="74" t="s">
        <v>662</v>
      </c>
      <c r="E1" s="201">
        <v>30</v>
      </c>
      <c r="G1" s="201">
        <v>30</v>
      </c>
      <c r="I1" s="201">
        <v>30</v>
      </c>
      <c r="K1" s="201">
        <v>30</v>
      </c>
    </row>
    <row r="2" spans="1:11" ht="12.75">
      <c r="A2" s="210"/>
      <c r="B2" s="74" t="s">
        <v>691</v>
      </c>
      <c r="E2" s="208">
        <v>0</v>
      </c>
      <c r="G2" s="208">
        <v>0</v>
      </c>
      <c r="H2" s="208"/>
      <c r="I2" s="208">
        <v>0</v>
      </c>
      <c r="J2" s="208"/>
      <c r="K2" s="208">
        <v>0</v>
      </c>
    </row>
    <row r="3" spans="1:11" ht="33.75" customHeight="1">
      <c r="A3" s="205" t="s">
        <v>686</v>
      </c>
      <c r="B3" s="204" t="s">
        <v>689</v>
      </c>
      <c r="E3" s="206" t="s">
        <v>804</v>
      </c>
      <c r="F3" s="207"/>
      <c r="G3" s="206" t="s">
        <v>805</v>
      </c>
      <c r="H3" s="207"/>
      <c r="I3" s="206" t="s">
        <v>806</v>
      </c>
      <c r="J3" s="207"/>
      <c r="K3" s="206" t="s">
        <v>693</v>
      </c>
    </row>
    <row r="4" spans="2:11" ht="12.75" hidden="1">
      <c r="B4" t="s">
        <v>688</v>
      </c>
      <c r="E4" s="201">
        <f>VLOOKUP(E3,Hoja2!$A$1:$B$321,2,FALSE)</f>
        <v>224</v>
      </c>
      <c r="G4" s="201">
        <f>VLOOKUP(G3,Hoja2!$A$1:$B$321,2,FALSE)</f>
        <v>151</v>
      </c>
      <c r="I4" s="201">
        <f>VLOOKUP(I3,Hoja2!$A$1:$B$321,2,FALSE)</f>
        <v>313</v>
      </c>
      <c r="K4" s="201" t="e">
        <f>VLOOKUP(K3,Hoja2!$A$1:$B$321,2,FALSE)</f>
        <v>#N/A</v>
      </c>
    </row>
    <row r="5" spans="1:11" ht="42" customHeight="1" hidden="1">
      <c r="A5" s="74" t="s">
        <v>686</v>
      </c>
      <c r="B5" s="74"/>
      <c r="D5" s="202" t="str">
        <f>_xlfn.IFNA(VLOOKUP(E$4,'Escala Docente'!$C$8:$AW$326,2,FALSE),"SIN ESPEC")</f>
        <v>Hora Cátedra Enseñanza Media 3 hs</v>
      </c>
      <c r="E5" s="202" t="str">
        <f>D5</f>
        <v>Hora Cátedra Enseñanza Media 3 hs</v>
      </c>
      <c r="F5" s="202" t="str">
        <f>_xlfn.IFNA(VLOOKUP(G$4,'Escala Docente'!$C$8:$AW$326,2,FALSE),"SIN ESPEC")</f>
        <v>Maestro Materia Especial</v>
      </c>
      <c r="G5" s="202" t="str">
        <f>F5</f>
        <v>Maestro Materia Especial</v>
      </c>
      <c r="H5" s="202" t="str">
        <f>_xlfn.IFNA(VLOOKUP(I$4,'Escala Docente'!$C$8:$AW$326,2,FALSE),"SIN ESPEC")</f>
        <v>Prol Jor (13-515) 16 horas</v>
      </c>
      <c r="I5" s="202" t="str">
        <f>H5</f>
        <v>Prol Jor (13-515) 16 horas</v>
      </c>
      <c r="J5" s="202" t="str">
        <f>_xlfn.IFNA(VLOOKUP(K$4,'Escala Docente'!$C$8:$AW$326,2,FALSE),"SIN ESPEC")</f>
        <v>SIN ESPEC</v>
      </c>
      <c r="K5" s="202" t="str">
        <f>J5</f>
        <v>SIN ESPEC</v>
      </c>
    </row>
    <row r="6" spans="1:11" ht="12.75" customHeight="1">
      <c r="A6" t="s">
        <v>663</v>
      </c>
      <c r="C6" s="8">
        <v>0</v>
      </c>
      <c r="D6" s="209">
        <f>_xlfn.IFNA(VLOOKUP(E$4,'Escala Docente'!$C$8:$AW$326,4,FALSE),0)</f>
        <v>12904.65</v>
      </c>
      <c r="E6" s="203">
        <f>ROUND(D6*E$1/30,2)</f>
        <v>12904.65</v>
      </c>
      <c r="F6" s="209">
        <f>_xlfn.IFNA(VLOOKUP(G$4,'Escala Docente'!$C$8:$AW$326,4,FALSE),0)</f>
        <v>52870.95</v>
      </c>
      <c r="G6" s="203">
        <f>ROUND(F6*G$1/30,2)</f>
        <v>52870.95</v>
      </c>
      <c r="H6" s="209">
        <f>_xlfn.IFNA(VLOOKUP(I$4,'Escala Docente'!$C$8:$AW$326,4,FALSE),0)</f>
        <v>135036</v>
      </c>
      <c r="I6" s="203">
        <f>ROUND(H6*I$1/30,2)</f>
        <v>135036</v>
      </c>
      <c r="J6" s="209">
        <f>_xlfn.IFNA(VLOOKUP(K$4,'Escala Docente'!$C$8:$AW$326,4,FALSE),0)</f>
        <v>0</v>
      </c>
      <c r="K6" s="203">
        <f>ROUND(J6*K$1/30,2)</f>
        <v>0</v>
      </c>
    </row>
    <row r="7" spans="1:11" ht="12.75" customHeight="1">
      <c r="A7" t="s">
        <v>664</v>
      </c>
      <c r="C7" s="8">
        <f>Valores!F89</f>
        <v>0</v>
      </c>
      <c r="D7" s="209">
        <f>_xlfn.IFNA(VLOOKUP(E$4,'Escala Docente'!$C$8:$AW$326,34,FALSE),0)</f>
        <v>0</v>
      </c>
      <c r="E7" s="203">
        <f>IF((ROUND(D7*E$1/30,2)+(ROUND(F7*$G$1/30,2))+ROUND(H7*$I$1/30,2)+ROUND(J7*$K$1/30,2))&gt;C7,C7,(ROUND(D7*E$1/30,2)+ROUND(F7*$G$1/30,2)+ROUND(H7*$I$1/30,2)+ROUND(J7*$K$1/30,2)))</f>
        <v>0</v>
      </c>
      <c r="F7" s="209">
        <f>_xlfn.IFNA(VLOOKUP(G$4,'Escala Docente'!$C$8:$AW$326,34,FALSE),0)</f>
        <v>0</v>
      </c>
      <c r="G7" s="203">
        <f>IF($E7&gt;0,0,ROUND($F7*G$1/30,2))</f>
        <v>0</v>
      </c>
      <c r="H7" s="209">
        <f>_xlfn.IFNA(VLOOKUP(I$4,'Escala Docente'!$C$8:$AW$326,34,FALSE),0)</f>
        <v>0</v>
      </c>
      <c r="I7" s="203">
        <f>IF($E7&gt;0,0,ROUND($H7*I$1/30,2))</f>
        <v>0</v>
      </c>
      <c r="J7" s="209">
        <f>_xlfn.IFNA(VLOOKUP(K$4,'Escala Docente'!$C$8:$AW$326,34,FALSE),0)</f>
        <v>0</v>
      </c>
      <c r="K7" s="203">
        <f>IF($E7&gt;0,0,ROUND($J7*K$1/30,2))</f>
        <v>0</v>
      </c>
    </row>
    <row r="8" spans="1:11" ht="12.75" customHeight="1">
      <c r="A8" t="s">
        <v>665</v>
      </c>
      <c r="C8" s="8">
        <f>Valores!F96</f>
        <v>76227.32</v>
      </c>
      <c r="D8" s="209">
        <f>_xlfn.IFNA(VLOOKUP(E$4,'Escala Docente'!$C$8:$AW$326,24,FALSE),0)</f>
        <v>5318.58</v>
      </c>
      <c r="E8" s="203">
        <f>IF((ROUND(D8*E$1/30,2)+(ROUND(F8*$G$1/30,2))+ROUND(H8*$I$1/30,2)+ROUND(J8*$K$1/30,2))&gt;C8,C8,(ROUND(D8*E$1/30,2)+ROUND(F8*$G$1/30,2)+ROUND(H8*$I$1/30,2)+ROUND(J8*$K$1/30,2)))</f>
        <v>43432.25</v>
      </c>
      <c r="F8" s="209">
        <f>_xlfn.IFNA(VLOOKUP(G$4,'Escala Docente'!$C$8:$AW$326,24,FALSE),0)</f>
        <v>38113.67</v>
      </c>
      <c r="G8" s="203">
        <f>IF($E8&gt;0,0,ROUND($F8*G$1/30,2))</f>
        <v>0</v>
      </c>
      <c r="H8" s="209">
        <f>_xlfn.IFNA(VLOOKUP(I$4,'Escala Docente'!$C$8:$AW$326,24,FALSE),0)</f>
        <v>0</v>
      </c>
      <c r="I8" s="203">
        <f>IF($E8&gt;0,0,ROUND($H8*I$1/30,2))</f>
        <v>0</v>
      </c>
      <c r="J8" s="209">
        <f>_xlfn.IFNA(VLOOKUP(K$4,'Escala Docente'!$C$8:$AW$326,24,FALSE),0)</f>
        <v>0</v>
      </c>
      <c r="K8" s="203">
        <f>IF($E8&gt;0,0,ROUND($J8*K$1/30,2))</f>
        <v>0</v>
      </c>
    </row>
    <row r="9" spans="1:11" ht="12.75" customHeight="1">
      <c r="A9" t="s">
        <v>666</v>
      </c>
      <c r="C9" s="8">
        <v>0</v>
      </c>
      <c r="D9" s="209">
        <f>_xlfn.IFNA(VLOOKUP(E$4,'Escala Docente'!$C$8:$AW$326,13,FALSE),0)</f>
        <v>5539.32</v>
      </c>
      <c r="E9" s="203">
        <f>ROUND(D9*E$1/30,2)</f>
        <v>5539.32</v>
      </c>
      <c r="F9" s="209">
        <f>_xlfn.IFNA(VLOOKUP(G$4,'Escala Docente'!$C$8:$AW$326,13,FALSE),0)</f>
        <v>47048.8</v>
      </c>
      <c r="G9" s="203">
        <f>ROUND(F9*G$1/30,2)</f>
        <v>47048.8</v>
      </c>
      <c r="H9" s="209">
        <f>_xlfn.IFNA(VLOOKUP(I$4,'Escala Docente'!$C$8:$AW$326,13,FALSE),0)</f>
        <v>0</v>
      </c>
      <c r="I9" s="203">
        <f>ROUND(H9*I$1/30,2)</f>
        <v>0</v>
      </c>
      <c r="J9" s="209">
        <f>_xlfn.IFNA(VLOOKUP(K$4,'Escala Docente'!$C$8:$AW$326,13,FALSE),0)</f>
        <v>0</v>
      </c>
      <c r="K9" s="203">
        <f>ROUND(J9*K$1/30,2)</f>
        <v>0</v>
      </c>
    </row>
    <row r="10" spans="1:11" ht="12.75" customHeight="1">
      <c r="A10" t="s">
        <v>667</v>
      </c>
      <c r="C10" s="8">
        <f>IF('Escala Docente'!$F$4="NO",Valores!F46,Valores!F46/2)</f>
        <v>33800.96</v>
      </c>
      <c r="D10" s="209">
        <f>_xlfn.IFNA(VLOOKUP(E$4,'Escala Docente'!$C$8:$AW$326,16,FALSE),0)</f>
        <v>2917.8</v>
      </c>
      <c r="E10" s="203">
        <f>IF((ROUND(D10*E$1/30,2)+(ROUND(F10*$G$1/30,2))+ROUND(H10*$I$1/30,2)+ROUND(J10*$K$1/30,2))&gt;C10,C10,(ROUND(D10*E$1/30,2)+ROUND(F10*$G$1/30,2)+ROUND(H10*$I$1/30,2)+ROUND(J10*$K$1/30,2)))</f>
        <v>33800.96</v>
      </c>
      <c r="F10" s="209">
        <f>_xlfn.IFNA(VLOOKUP(G$4,'Escala Docente'!$C$8:$AW$326,16,FALSE),0)</f>
        <v>18245.91</v>
      </c>
      <c r="G10" s="203">
        <f>IF($E10&gt;0,0,ROUND($F10*G$1/30,2))</f>
        <v>0</v>
      </c>
      <c r="H10" s="209">
        <f>_xlfn.IFNA(VLOOKUP(I$4,'Escala Docente'!$C$8:$AW$326,16,FALSE),0)</f>
        <v>15561.6</v>
      </c>
      <c r="I10" s="203">
        <f>IF($E10&gt;0,0,ROUND($H10*I$1/30,2))</f>
        <v>0</v>
      </c>
      <c r="J10" s="209">
        <f>_xlfn.IFNA(VLOOKUP(K$4,'Escala Docente'!$C$8:$AW$326,16,FALSE),0)</f>
        <v>0</v>
      </c>
      <c r="K10" s="203">
        <f>IF($E10&gt;0,0,ROUND($J10*K$1/30,2))</f>
        <v>0</v>
      </c>
    </row>
    <row r="11" spans="1:11" ht="12.75">
      <c r="A11" t="s">
        <v>668</v>
      </c>
      <c r="C11" s="8">
        <f>Valores!F26</f>
        <v>1138.39</v>
      </c>
      <c r="D11" s="209">
        <f>_xlfn.IFNA(VLOOKUP(E$4,'Escala Docente'!$C$8:$AW$326,27,FALSE),0)</f>
        <v>0</v>
      </c>
      <c r="E11" s="203">
        <f>ROUND(D11*E$1/30,2)</f>
        <v>0</v>
      </c>
      <c r="F11" s="209">
        <f>_xlfn.IFNA(VLOOKUP(G$4,'Escala Docente'!$C$8:$AW$326,27,FALSE),0)</f>
        <v>0</v>
      </c>
      <c r="G11" s="203">
        <f>IF(E11&gt;=C11,0,IF((F11*G$1/30)&gt;(E11-C11),F11*G$1/30,E11-C11))</f>
        <v>0</v>
      </c>
      <c r="H11" s="209">
        <f>_xlfn.IFNA(VLOOKUP(I$4,'Escala Docente'!$C$8:$AW$326,27,FALSE),0)</f>
        <v>0</v>
      </c>
      <c r="I11" s="203">
        <f>IF(E11+G11&gt;=C11,0,IF((H11*G$1/30)&gt;(E11+G11-C11),H11*G$1/30,E11+G1-C11))</f>
        <v>0</v>
      </c>
      <c r="J11" s="209">
        <f>_xlfn.IFNA(VLOOKUP(K$4,'Escala Docente'!$C$8:$AW$326,27,FALSE),0)</f>
        <v>0</v>
      </c>
      <c r="K11" s="203">
        <f>IF(E11+G11+H11&gt;=C11,0,IF((J11*G$1/30)&gt;(E11+G11+H11-C11),J11*G$1/30,E11+G1+H11-C11))</f>
        <v>0</v>
      </c>
    </row>
    <row r="12" spans="1:11" ht="12.75" customHeight="1">
      <c r="A12" t="s">
        <v>669</v>
      </c>
      <c r="C12" s="8">
        <v>0</v>
      </c>
      <c r="D12" s="209">
        <f>_xlfn.IFNA(VLOOKUP(E$4,'Escala Docente'!$C$8:$AW$326,6,FALSE),0)</f>
        <v>0</v>
      </c>
      <c r="E12" s="203">
        <f>ROUND(D12*E$1/30,2)</f>
        <v>0</v>
      </c>
      <c r="F12" s="209">
        <f>_xlfn.IFNA(VLOOKUP(G$4,'Escala Docente'!$C$8:$AW$326,6,FALSE),0)</f>
        <v>0</v>
      </c>
      <c r="G12" s="203">
        <f>ROUND(F12*G$1/30,2)</f>
        <v>0</v>
      </c>
      <c r="H12" s="209">
        <f>_xlfn.IFNA(VLOOKUP(I$4,'Escala Docente'!$C$8:$AW$326,6,FALSE),0)</f>
        <v>0</v>
      </c>
      <c r="I12" s="203">
        <f>ROUND(H12*I$1/30,2)</f>
        <v>0</v>
      </c>
      <c r="J12" s="209">
        <f>_xlfn.IFNA(VLOOKUP(K$4,'Escala Docente'!$C$8:$AW$326,6,FALSE),0)</f>
        <v>0</v>
      </c>
      <c r="K12" s="203">
        <f>ROUND(J12*K$1/30,2)</f>
        <v>0</v>
      </c>
    </row>
    <row r="13" spans="1:11" ht="12.75" customHeight="1">
      <c r="A13" t="s">
        <v>681</v>
      </c>
      <c r="C13" s="8">
        <v>0</v>
      </c>
      <c r="D13" s="209">
        <f>_xlfn.IFNA(VLOOKUP(E$4,'Escala Docente'!$C$8:$AW$326,15,FALSE),0)</f>
        <v>0</v>
      </c>
      <c r="E13" s="203">
        <f>ROUND(D13*E$1/30,2)</f>
        <v>0</v>
      </c>
      <c r="F13" s="209">
        <f>_xlfn.IFNA(VLOOKUP(G$4,'Escala Docente'!$C$8:$AW$326,15,FALSE),0)</f>
        <v>23111.51</v>
      </c>
      <c r="G13" s="203">
        <f>ROUND(F13*G$1/30,2)</f>
        <v>23111.51</v>
      </c>
      <c r="H13" s="209">
        <f>_xlfn.IFNA(VLOOKUP(I$4,'Escala Docente'!$C$8:$AW$326,15,FALSE),0)</f>
        <v>0</v>
      </c>
      <c r="I13" s="203">
        <f>ROUND(H13*I$1/30,2)</f>
        <v>0</v>
      </c>
      <c r="J13" s="209">
        <f>_xlfn.IFNA(VLOOKUP(K$4,'Escala Docente'!$C$8:$AW$326,15,FALSE),0)</f>
        <v>0</v>
      </c>
      <c r="K13" s="203">
        <f>ROUND(J13*K$1/30,2)</f>
        <v>0</v>
      </c>
    </row>
    <row r="14" spans="1:11" ht="12.75" customHeight="1">
      <c r="A14" t="s">
        <v>670</v>
      </c>
      <c r="C14" s="8">
        <v>0</v>
      </c>
      <c r="D14" s="209">
        <f>_xlfn.IFNA(VLOOKUP(E$4,'Escala Docente'!$C$8:$AW$326,8,FALSE),0)</f>
        <v>0</v>
      </c>
      <c r="E14" s="203">
        <f>ROUND(D14*E$1/30,2)</f>
        <v>0</v>
      </c>
      <c r="F14" s="209">
        <f>_xlfn.IFNA(VLOOKUP(G$4,'Escala Docente'!$C$8:$AW$326,8,FALSE),0)</f>
        <v>0</v>
      </c>
      <c r="G14" s="203">
        <f>ROUND(F14*G$1/30,2)</f>
        <v>0</v>
      </c>
      <c r="H14" s="209">
        <f>_xlfn.IFNA(VLOOKUP(I$4,'Escala Docente'!$C$8:$AW$326,8,FALSE),0)</f>
        <v>0</v>
      </c>
      <c r="I14" s="203">
        <f>ROUND(H14*I$1/30,2)</f>
        <v>0</v>
      </c>
      <c r="J14" s="209">
        <f>_xlfn.IFNA(VLOOKUP(K$4,'Escala Docente'!$C$8:$AW$326,8,FALSE),0)</f>
        <v>0</v>
      </c>
      <c r="K14" s="203">
        <f>ROUND(J14*K$1/30,2)</f>
        <v>0</v>
      </c>
    </row>
    <row r="15" spans="1:11" ht="12.75" customHeight="1">
      <c r="A15" t="s">
        <v>671</v>
      </c>
      <c r="C15" s="8">
        <f>Valores!D5</f>
        <v>27834.84</v>
      </c>
      <c r="D15" s="209">
        <f>_xlfn.IFNA(VLOOKUP(E$4,'Escala Docente'!$C$8:$AW$326,14,FALSE),0)</f>
        <v>5566.98</v>
      </c>
      <c r="E15" s="203">
        <f>IF((ROUND(D15*E$1/30,2)+(ROUND(F15*$G$1/30,2))+ROUND(H15*$I$1/30,2)+ROUND(J15*$K$1/30,2))&gt;C15,C15,(ROUND(D15*E$1/30,2)+ROUND(F15*$G$1/30,2)+ROUND(H15*$I$1/30,2)+ROUND(J15*$K$1/30,2)))</f>
        <v>27834.84</v>
      </c>
      <c r="F15" s="209">
        <f>_xlfn.IFNA(VLOOKUP(G$4,'Escala Docente'!$C$8:$AW$326,14,FALSE),0)</f>
        <v>27834.84</v>
      </c>
      <c r="G15" s="203">
        <f>IF($E15&gt;0,0,ROUND($F15*G$1/30,2))</f>
        <v>0</v>
      </c>
      <c r="H15" s="209">
        <f>_xlfn.IFNA(VLOOKUP(I$4,'Escala Docente'!$C$8:$AW$326,14,FALSE),0)</f>
        <v>0</v>
      </c>
      <c r="I15" s="203">
        <f>IF($E15&gt;0,0,ROUND($H15*I$1/30,2))</f>
        <v>0</v>
      </c>
      <c r="J15" s="209">
        <f>_xlfn.IFNA(VLOOKUP(K$4,'Escala Docente'!$C$8:$AW$326,14,FALSE),0)</f>
        <v>0</v>
      </c>
      <c r="K15" s="203">
        <f>IF($E15&gt;0,0,ROUND($J15*K$1/30,2))</f>
        <v>0</v>
      </c>
    </row>
    <row r="16" spans="1:11" ht="12.75">
      <c r="A16" t="s">
        <v>672</v>
      </c>
      <c r="C16" s="8">
        <f>Valores!F25</f>
        <v>1708.635</v>
      </c>
      <c r="D16" s="209">
        <f>_xlfn.IFNA(VLOOKUP(E$4,'Escala Docente'!$C$8:$AW$326,25,FALSE),0)</f>
        <v>136.85999999999999</v>
      </c>
      <c r="E16" s="203">
        <f>ROUND(D16*E$1/30,2)</f>
        <v>136.86</v>
      </c>
      <c r="F16" s="209">
        <f>_xlfn.IFNA(VLOOKUP(G$4,'Escala Docente'!$C$8:$AW$326,25,FALSE),0)</f>
        <v>1138.39</v>
      </c>
      <c r="G16" s="203">
        <f>IF(E16&gt;=C16,0,IF((F16*G$1/30)&gt;(E16-C16),F16*G$1/30,E16-C16))</f>
        <v>1138.39</v>
      </c>
      <c r="H16" s="209">
        <f>_xlfn.IFNA(VLOOKUP(I$4,'Escala Docente'!$C$8:$AW$326,25,FALSE),0)</f>
        <v>0</v>
      </c>
      <c r="I16" s="203">
        <f>IF(E16+G16&gt;=C16,0,IF((H16*G$1/30)&gt;(E16+G16-C16),H16*G$1/30,E16+G6-C16))</f>
        <v>0</v>
      </c>
      <c r="J16" s="209">
        <f>_xlfn.IFNA(VLOOKUP(K$4,'Escala Docente'!$C$8:$AW$326,25,FALSE),0)</f>
        <v>0</v>
      </c>
      <c r="K16" s="203">
        <f>IF(E16+G16+H16&gt;=C16,0,IF((J16*G$1/30)&gt;(E16+G16+H16-C16),J16*G$1/30,E16+G6+H16-C16))</f>
        <v>0</v>
      </c>
    </row>
    <row r="17" spans="1:11" ht="12.75" customHeight="1">
      <c r="A17" t="s">
        <v>685</v>
      </c>
      <c r="C17" s="8">
        <v>0</v>
      </c>
      <c r="D17" s="209">
        <f>_xlfn.IFNA(VLOOKUP(E$4,'Escala Docente'!$C$8:$AW$326,22,FALSE),0)</f>
        <v>0</v>
      </c>
      <c r="E17" s="203">
        <f>ROUND(D17*E$1/30,2)</f>
        <v>0</v>
      </c>
      <c r="F17" s="209">
        <f>_xlfn.IFNA(VLOOKUP(G$4,'Escala Docente'!$C$8:$AW$326,22,FALSE),0)</f>
        <v>0</v>
      </c>
      <c r="G17" s="203">
        <f>ROUND(F17*G$1/30,2)</f>
        <v>0</v>
      </c>
      <c r="H17" s="209">
        <f>_xlfn.IFNA(VLOOKUP(I$4,'Escala Docente'!$C$8:$AW$326,22,FALSE),0)</f>
        <v>0</v>
      </c>
      <c r="I17" s="203">
        <f>ROUND(H17*I$1/30,2)</f>
        <v>0</v>
      </c>
      <c r="J17" s="209">
        <f>_xlfn.IFNA(VLOOKUP(K$4,'Escala Docente'!$C$8:$AW$326,22,FALSE),0)</f>
        <v>0</v>
      </c>
      <c r="K17" s="203">
        <f>ROUND(J17*K$1/30,2)</f>
        <v>0</v>
      </c>
    </row>
    <row r="18" spans="1:11" ht="12.75" customHeight="1">
      <c r="A18" t="s">
        <v>684</v>
      </c>
      <c r="C18" s="8">
        <v>0</v>
      </c>
      <c r="D18" s="209">
        <f>_xlfn.IFNA(VLOOKUP(E$4,'Escala Docente'!$C$8:$AW$326,10,FALSE),0)</f>
        <v>0</v>
      </c>
      <c r="E18" s="203">
        <f>ROUND(D18*E$1/30,2)</f>
        <v>0</v>
      </c>
      <c r="F18" s="209">
        <f>_xlfn.IFNA(VLOOKUP(G$4,'Escala Docente'!$C$8:$AW$326,10,FALSE),0)</f>
        <v>0</v>
      </c>
      <c r="G18" s="203">
        <f>ROUND(F18*G$1/30,2)</f>
        <v>0</v>
      </c>
      <c r="H18" s="209">
        <f>_xlfn.IFNA(VLOOKUP(I$4,'Escala Docente'!$C$8:$AW$326,10,FALSE),0)</f>
        <v>0</v>
      </c>
      <c r="I18" s="203">
        <f>ROUND(H18*I$1/30,2)</f>
        <v>0</v>
      </c>
      <c r="J18" s="209">
        <f>_xlfn.IFNA(VLOOKUP(K$4,'Escala Docente'!$C$8:$AW$326,10,FALSE),0)</f>
        <v>0</v>
      </c>
      <c r="K18" s="203">
        <f>ROUND(J18*K$1/30,2)</f>
        <v>0</v>
      </c>
    </row>
    <row r="19" spans="1:11" ht="12.75" customHeight="1">
      <c r="A19" s="102" t="s">
        <v>673</v>
      </c>
      <c r="B19" s="102"/>
      <c r="C19" s="8">
        <v>0</v>
      </c>
      <c r="D19" s="209">
        <f>_xlfn.IFNA(VLOOKUP(E$4,'Escala Docente'!$C$8:$AW$326,12,FALSE),0)</f>
        <v>0</v>
      </c>
      <c r="E19" s="203">
        <f>ROUND(E6+E12+E18+E10+E17,2)*'Escala Docente'!$H$2</f>
        <v>0</v>
      </c>
      <c r="F19" s="209">
        <f>_xlfn.IFNA(VLOOKUP(G$4,'Escala Docente'!$C$8:$AW$326,12,FALSE),0)</f>
        <v>0</v>
      </c>
      <c r="G19" s="203">
        <f>ROUND(G6+G12+G18+G10+G17,2)*'Escala Docente'!$H$2</f>
        <v>0</v>
      </c>
      <c r="H19" s="209">
        <f>_xlfn.IFNA(VLOOKUP(I$4,'Escala Docente'!$C$8:$AW$326,12,FALSE),0)</f>
        <v>0</v>
      </c>
      <c r="I19" s="203">
        <f>ROUND(I6+I12+I18+I10+I17,2)*'Escala Docente'!$H$2</f>
        <v>0</v>
      </c>
      <c r="J19" s="209">
        <f>_xlfn.IFNA(VLOOKUP(K$4,'Escala Docente'!$C$8:$AW$326,12,FALSE),0)</f>
        <v>0</v>
      </c>
      <c r="K19" s="203">
        <f>ROUND(K6+K12+K18+K10+K17,2)*'Escala Docente'!$H$2</f>
        <v>0</v>
      </c>
    </row>
    <row r="20" spans="1:11" ht="12.75" customHeight="1">
      <c r="A20" t="s">
        <v>680</v>
      </c>
      <c r="C20" s="8">
        <v>0</v>
      </c>
      <c r="D20" s="209">
        <f>_xlfn.IFNA(VLOOKUP(E$4,'Escala Docente'!$C$8:$AW$326,29,FALSE),0)</f>
        <v>0</v>
      </c>
      <c r="E20" s="203">
        <f>ROUND(D20*E$1/30,2)</f>
        <v>0</v>
      </c>
      <c r="F20" s="209">
        <f>_xlfn.IFNA(VLOOKUP(G$4,'Escala Docente'!$C$8:$AW$326,29,FALSE),0)</f>
        <v>0</v>
      </c>
      <c r="G20" s="203">
        <f>ROUND(F20*G$1/30,2)</f>
        <v>0</v>
      </c>
      <c r="H20" s="209">
        <f>_xlfn.IFNA(VLOOKUP(I$4,'Escala Docente'!$C$8:$AW$326,29,FALSE),0)</f>
        <v>0</v>
      </c>
      <c r="I20" s="203">
        <f>ROUND(H20*I$1/30,2)</f>
        <v>0</v>
      </c>
      <c r="J20" s="209">
        <f>_xlfn.IFNA(VLOOKUP(K$4,'Escala Docente'!$C$8:$AW$326,29,FALSE),0)</f>
        <v>0</v>
      </c>
      <c r="K20" s="203">
        <f>ROUND(J20*K$1/30,2)</f>
        <v>0</v>
      </c>
    </row>
    <row r="21" spans="1:11" ht="12.75" customHeight="1">
      <c r="A21" t="s">
        <v>674</v>
      </c>
      <c r="C21" s="8">
        <v>0</v>
      </c>
      <c r="D21" s="209">
        <f>_xlfn.IFNA(VLOOKUP(E$4,'Escala Docente'!$C$8:$AW$326,18,FALSE),0)</f>
        <v>1742.19</v>
      </c>
      <c r="E21" s="203">
        <f>ROUND(D21*E$1/30,2)</f>
        <v>1742.19</v>
      </c>
      <c r="F21" s="209">
        <f>_xlfn.IFNA(VLOOKUP(G$4,'Escala Docente'!$C$8:$AW$326,18,FALSE),0)</f>
        <v>25899.06</v>
      </c>
      <c r="G21" s="203">
        <f>ROUND(F21*G$1/30,2)</f>
        <v>25899.06</v>
      </c>
      <c r="H21" s="209">
        <f>_xlfn.IFNA(VLOOKUP(I$4,'Escala Docente'!$C$8:$AW$326,18,FALSE),0)</f>
        <v>0</v>
      </c>
      <c r="I21" s="203">
        <f>ROUND(H21*I$1/30,2)</f>
        <v>0</v>
      </c>
      <c r="J21" s="209">
        <f>_xlfn.IFNA(VLOOKUP(K$4,'Escala Docente'!$C$8:$AW$326,18,FALSE),0)</f>
        <v>0</v>
      </c>
      <c r="K21" s="203">
        <f>ROUND(J21*K$1/30,2)</f>
        <v>0</v>
      </c>
    </row>
    <row r="22" spans="1:11" ht="12.75" customHeight="1">
      <c r="A22" s="102" t="s">
        <v>678</v>
      </c>
      <c r="B22" s="102"/>
      <c r="C22" s="8">
        <v>0</v>
      </c>
      <c r="D22" s="209">
        <f>_xlfn.IFNA(VLOOKUP(E$4,'Escala Docente'!$C$8:$AW$326,26,FALSE),0)</f>
        <v>0</v>
      </c>
      <c r="E22" s="203">
        <f>ROUND(D22*E$1/30,2)</f>
        <v>0</v>
      </c>
      <c r="F22" s="209">
        <f>_xlfn.IFNA(VLOOKUP(G$4,'Escala Docente'!$C$8:$AW$326,26,FALSE),0)</f>
        <v>0</v>
      </c>
      <c r="G22" s="203">
        <f>ROUND(F22*G$1/30,2)</f>
        <v>0</v>
      </c>
      <c r="H22" s="209">
        <f>_xlfn.IFNA(VLOOKUP(I$4,'Escala Docente'!$C$8:$AW$326,26,FALSE),0)</f>
        <v>0</v>
      </c>
      <c r="I22" s="203">
        <f>ROUND(H22*I$1/30,2)</f>
        <v>0</v>
      </c>
      <c r="J22" s="209">
        <f>_xlfn.IFNA(VLOOKUP(K$4,'Escala Docente'!$C$8:$AW$326,26,FALSE),0)</f>
        <v>0</v>
      </c>
      <c r="K22" s="203">
        <f>ROUND(J22*K$1/30,2)</f>
        <v>0</v>
      </c>
    </row>
    <row r="23" spans="1:11" ht="12.75" customHeight="1">
      <c r="A23" t="s">
        <v>683</v>
      </c>
      <c r="C23" s="8">
        <v>0</v>
      </c>
      <c r="D23" s="209">
        <f>_xlfn.IFNA(VLOOKUP(E$4,'Escala Docente'!$C$8:$AW$326,23,FALSE),0)</f>
        <v>0</v>
      </c>
      <c r="E23" s="203">
        <f>ROUND(D23*E$1/30,2)</f>
        <v>0</v>
      </c>
      <c r="F23" s="209">
        <f>_xlfn.IFNA(VLOOKUP(G$4,'Escala Docente'!$C$8:$AW$326,23,FALSE),0)</f>
        <v>0</v>
      </c>
      <c r="G23" s="203">
        <f>ROUND(F23*G$1/30,2)</f>
        <v>0</v>
      </c>
      <c r="H23" s="209">
        <f>_xlfn.IFNA(VLOOKUP(I$4,'Escala Docente'!$C$8:$AW$326,23,FALSE),0)</f>
        <v>0</v>
      </c>
      <c r="I23" s="203">
        <f>ROUND(H23*I$1/30,2)</f>
        <v>0</v>
      </c>
      <c r="J23" s="209">
        <f>_xlfn.IFNA(VLOOKUP(K$4,'Escala Docente'!$C$8:$AW$326,23,FALSE),0)</f>
        <v>0</v>
      </c>
      <c r="K23" s="203">
        <f>ROUND(J23*K$1/30,2)</f>
        <v>0</v>
      </c>
    </row>
    <row r="24" spans="1:11" ht="12.75" customHeight="1">
      <c r="A24" s="74" t="s">
        <v>694</v>
      </c>
      <c r="C24" s="8">
        <f>Valores!F38</f>
        <v>0</v>
      </c>
      <c r="D24" s="209">
        <f>_xlfn.IFNA(VLOOKUP(E$4,'Escala Docente'!$C$8:$AW$326,35,FALSE),0)</f>
        <v>0</v>
      </c>
      <c r="E24" s="203">
        <f>ROUND(D24*E$1/30,2)</f>
        <v>0</v>
      </c>
      <c r="F24" s="209">
        <f>_xlfn.IFNA(VLOOKUP(G$4,'Escala Docente'!$C$8:$AW$326,35,FALSE),0)</f>
        <v>0</v>
      </c>
      <c r="G24" s="203">
        <f>ROUND(F24*G$1/30,2)</f>
        <v>0</v>
      </c>
      <c r="H24" s="209">
        <f>_xlfn.IFNA(VLOOKUP(I$4,'Escala Docente'!$C$8:$AW$326,35,FALSE),0)</f>
        <v>0</v>
      </c>
      <c r="I24" s="203">
        <f>ROUND(H24*I$1/30,2)</f>
        <v>0</v>
      </c>
      <c r="J24" s="209">
        <f>_xlfn.IFNA(VLOOKUP(K$4,'Escala Docente'!$C$8:$AW$326,35,FALSE),0)</f>
        <v>0</v>
      </c>
      <c r="K24" s="203">
        <f>ROUND(J24*K$1/30,2)</f>
        <v>0</v>
      </c>
    </row>
    <row r="25" spans="1:11" ht="12.75" customHeight="1">
      <c r="A25" t="s">
        <v>675</v>
      </c>
      <c r="C25" s="8">
        <f>IF('Escala Docente'!$F$4="NO",Valores!F63,Valores!F63/2)</f>
        <v>26029.44</v>
      </c>
      <c r="D25" s="209">
        <f>_xlfn.IFNA(VLOOKUP(E$4,'Escala Docente'!$C$8:$AW$326,30,FALSE),0)</f>
        <v>0</v>
      </c>
      <c r="E25" s="203">
        <f>IF((ROUND(D25*E$1/30,2)+(ROUND(F25*$G$1/30,2))+ROUND(H25*$I$1/30,2)+ROUND(J25*$K$1/30,2))&gt;C25,C25,(ROUND(D25*E$1/30,2)+ROUND(F25*$G$1/30,2)+ROUND(H25*$I$1/30,2)+ROUND(J25*$K$1/30,2)))</f>
        <v>0</v>
      </c>
      <c r="F25" s="209">
        <f>_xlfn.IFNA(VLOOKUP(G$4,'Escala Docente'!$C$8:$AW$326,30,FALSE),0)</f>
        <v>0</v>
      </c>
      <c r="G25" s="203">
        <f>IF($E25&gt;0,0,ROUND($F25*G$1/30,2))</f>
        <v>0</v>
      </c>
      <c r="H25" s="209">
        <f>_xlfn.IFNA(VLOOKUP(I$4,'Escala Docente'!$C$8:$AW$326,30,FALSE),0)</f>
        <v>0</v>
      </c>
      <c r="I25" s="203">
        <f>IF($E25&gt;0,0,ROUND($H25*I$1/30,2))</f>
        <v>0</v>
      </c>
      <c r="J25" s="209">
        <f>_xlfn.IFNA(VLOOKUP(K$4,'Escala Docente'!$C$8:$AW$326,30,FALSE),0)</f>
        <v>0</v>
      </c>
      <c r="K25" s="203">
        <f>IF($E25&gt;0,0,ROUND($J25*K$1/30,2))</f>
        <v>0</v>
      </c>
    </row>
    <row r="26" spans="1:11" ht="12.75" customHeight="1">
      <c r="A26" t="s">
        <v>676</v>
      </c>
      <c r="C26" s="8">
        <f>Valores!F32</f>
        <v>0</v>
      </c>
      <c r="D26" s="209">
        <f>_xlfn.IFNA(VLOOKUP(E$4,'Escala Docente'!$C$8:$AW$326,33,FALSE),0)</f>
        <v>0</v>
      </c>
      <c r="E26" s="203">
        <f>IF((ROUND(D26*E$1/30,2)+(ROUND(F26*$G$1/30,2))+ROUND(H26*$I$1/30,2)+ROUND(J26*$K$1/30,2))&gt;C26,C26,(ROUND(D26*E$1/30,2)+ROUND(F26*$G$1/30,2)+ROUND(H26*$I$1/30,2)+ROUND(J26*$K$1/30,2)))</f>
        <v>0</v>
      </c>
      <c r="F26" s="209">
        <f>_xlfn.IFNA(VLOOKUP(G$4,'Escala Docente'!$C$8:$AW$326,33,FALSE),0)</f>
        <v>0</v>
      </c>
      <c r="G26" s="203">
        <f>IF($E26&gt;0,0,ROUND($F26*G$1/30,2))</f>
        <v>0</v>
      </c>
      <c r="H26" s="209">
        <f>_xlfn.IFNA(VLOOKUP(I$4,'Escala Docente'!$C$8:$AW$326,33,FALSE),0)</f>
        <v>0</v>
      </c>
      <c r="I26" s="203">
        <f>IF($E26&gt;0,0,ROUND($H26*I$1/30,2))</f>
        <v>0</v>
      </c>
      <c r="J26" s="209">
        <f>_xlfn.IFNA(VLOOKUP(K$4,'Escala Docente'!$C$8:$AW$326,33,FALSE),0)</f>
        <v>0</v>
      </c>
      <c r="K26" s="203">
        <f>IF($E26&gt;0,0,ROUND($J26*K$1/30,2))</f>
        <v>0</v>
      </c>
    </row>
    <row r="27" spans="1:11" ht="12.75" customHeight="1">
      <c r="A27" t="s">
        <v>677</v>
      </c>
      <c r="C27" s="8" t="e">
        <f>IF('Escala Docente'!$F$4="NO",Valores!#REF!,Valores!#REF!/2)</f>
        <v>#REF!</v>
      </c>
      <c r="D27" s="209">
        <f>_xlfn.IFNA(VLOOKUP(E$4,'Escala Docente'!$C$8:$AW$326,31,FALSE),0)</f>
        <v>2602.9399999999996</v>
      </c>
      <c r="E27" s="203" t="e">
        <f>IF((ROUND(D27*E$1/30,2)+(ROUND(F27*$G$1/30,2))+ROUND(H27*$I$1/30,2)+ROUND(J27*$K$1/30,2))&gt;C27,C27,(ROUND(D27*E$1/30,2)+ROUND(F27*$G$1/30,2)+ROUND(H27*$I$1/30,2)+ROUND(J27*$K$1/30,2)))</f>
        <v>#REF!</v>
      </c>
      <c r="F27" s="209">
        <f>_xlfn.IFNA(VLOOKUP(G$4,'Escala Docente'!$C$8:$AW$326,31,FALSE),0)</f>
        <v>13014.72</v>
      </c>
      <c r="G27" s="203" t="e">
        <f>IF($E27&gt;0,0,ROUND($F27*G$1/30,2))</f>
        <v>#REF!</v>
      </c>
      <c r="H27" s="209">
        <f>_xlfn.IFNA(VLOOKUP(I$4,'Escala Docente'!$C$8:$AW$326,31,FALSE),0)</f>
        <v>0</v>
      </c>
      <c r="I27" s="203" t="e">
        <f>IF($E27&gt;0,0,ROUND($H27*I$1/30,2))</f>
        <v>#REF!</v>
      </c>
      <c r="J27" s="209">
        <f>_xlfn.IFNA(VLOOKUP(K$4,'Escala Docente'!$C$8:$AW$326,31,FALSE),0)</f>
        <v>0</v>
      </c>
      <c r="K27" s="203" t="e">
        <f>IF($E27&gt;0,0,ROUND($J27*K$1/30,2))</f>
        <v>#REF!</v>
      </c>
    </row>
    <row r="28" spans="1:11" ht="12.75">
      <c r="A28" t="s">
        <v>679</v>
      </c>
      <c r="C28" s="8">
        <f>Valores!F62</f>
        <v>327.6</v>
      </c>
      <c r="D28" s="209">
        <f>_xlfn.IFNA(VLOOKUP(E$4,'Escala Docente'!$C$8:$AW$326,36,FALSE),0)</f>
        <v>34.0677</v>
      </c>
      <c r="E28" s="203">
        <f>ROUND(D28*E$1/30,2)</f>
        <v>34.07</v>
      </c>
      <c r="F28" s="209">
        <f>_xlfn.IFNA(VLOOKUP(G$4,'Escala Docente'!$C$8:$AW$326,36,FALSE),0)</f>
        <v>155.18</v>
      </c>
      <c r="G28" s="203">
        <f>IF(E28&gt;=C28,0,IF((F28*G$1/30)&gt;(E28-C28),F28*G$1/30,E28-C28))</f>
        <v>155.18</v>
      </c>
      <c r="H28" s="209">
        <f>_xlfn.IFNA(VLOOKUP(I$4,'Escala Docente'!$C$8:$AW$326,36,FALSE),0)</f>
        <v>0</v>
      </c>
      <c r="I28" s="203">
        <f>IF(E28+G28&gt;=C28,0,IF((H28*G$1/30)&gt;(E28+G28-C28),H28*G$1/30,E28+G18-C28))</f>
        <v>0</v>
      </c>
      <c r="J28" s="209">
        <f>_xlfn.IFNA(VLOOKUP(K$4,'Escala Docente'!$C$8:$AW$326,36,FALSE),0)</f>
        <v>0</v>
      </c>
      <c r="K28" s="203">
        <f>IF(E28+G28+H28&gt;=C28,0,IF((J28*G$1/30)&gt;(E28+G28+H28-C28),J28*G$1/30,E28+G18+H28-C28))</f>
        <v>0</v>
      </c>
    </row>
    <row r="29" spans="1:11" ht="12.75" customHeight="1">
      <c r="A29" t="s">
        <v>682</v>
      </c>
      <c r="C29" s="8">
        <v>0</v>
      </c>
      <c r="D29" s="209">
        <f>_xlfn.IFNA(VLOOKUP(E$4,'Escala Docente'!$C$8:$AW$326,11,FALSE),0)</f>
        <v>4391.16</v>
      </c>
      <c r="E29" s="210">
        <f>ROUND(IF('Escala Docente'!$H$2=0,IF(AND(MID(E$3,1,5)&lt;&gt;"13930",MID(E$3,1,5)&lt;&gt;"13940"),(SUM(E6+E12+E14+E18+E10+E17+E21)*Valores!$C$4),0),0),2)</f>
        <v>12111.95</v>
      </c>
      <c r="F29" s="209">
        <f>_xlfn.IFNA(VLOOKUP(G$4,'Escala Docente'!$C$8:$AW$326,11,FALSE),0)</f>
        <v>24253.98</v>
      </c>
      <c r="G29" s="210">
        <f>ROUND(IF('Escala Docente'!$H$2=0,IF(AND(MID(G$3,1,5)&lt;&gt;"13930",MID(G$3,1,5)&lt;&gt;"13940"),(SUM(G6+G12+G14+G18+G10+G17+G21)*Valores!$C$4),0),0),2)</f>
        <v>19692.5</v>
      </c>
      <c r="H29" s="209">
        <f>_xlfn.IFNA(VLOOKUP(I$4,'Escala Docente'!$C$8:$AW$326,11,FALSE),0)</f>
        <v>37649.4</v>
      </c>
      <c r="I29" s="210">
        <f>ROUND(IF('Escala Docente'!$H$2=0,IF(AND(MID(I$3,1,5)&lt;&gt;"13930",MID(I$3,1,5)&lt;&gt;"13940"),(SUM(I6+I12+I14+I18+I10+I17+I21)*Valores!$C$4),0),0),2)</f>
        <v>33759</v>
      </c>
      <c r="K29" s="210">
        <f>ROUND(IF('Escala Docente'!$H$2=0,IF(AND(MID(K$3,1,5)&lt;&gt;"13930",MID(K$3,1,5)&lt;&gt;"13940"),(SUM(K6+K12+K14+K18+K10+K17+K21)*Valores!$C$4),0),0),2)</f>
        <v>0</v>
      </c>
    </row>
  </sheetData>
  <autoFilter ref="A5:G29"/>
  <dataValidations count="3">
    <dataValidation type="list" allowBlank="1" showInputMessage="1" showErrorMessage="1" sqref="E3">
      <formula1>Hoja2!$A$1:$A$321</formula1>
    </dataValidation>
    <dataValidation type="list" allowBlank="1" showInputMessage="1" showErrorMessage="1" sqref="G3">
      <formula1>Hoja2!$A$1:$A$321</formula1>
    </dataValidation>
    <dataValidation type="list" allowBlank="1" showInputMessage="1" showErrorMessage="1" sqref="I3 K3">
      <formula1>Hoja2!$A$1:$A$321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7"/>
  <sheetViews>
    <sheetView zoomScale="130" zoomScaleNormal="130" workbookViewId="0" topLeftCell="A1">
      <pane xSplit="2" ySplit="5" topLeftCell="C6" activePane="bottomRight" state="frozen"/>
      <selection pane="topRight" activeCell="C1" sqref="C1"/>
      <selection pane="bottomLeft" activeCell="A6" sqref="A6"/>
      <selection pane="bottomRight" activeCell="L36" sqref="L36"/>
    </sheetView>
  </sheetViews>
  <sheetFormatPr defaultColWidth="9.140625" defaultRowHeight="12.75"/>
  <cols>
    <col min="1" max="1" width="4.7109375" style="0" customWidth="1"/>
    <col min="2" max="2" width="31.00390625" style="0" customWidth="1"/>
    <col min="3" max="3" width="7.57421875" style="0" customWidth="1"/>
    <col min="4" max="4" width="6.8515625" style="0" customWidth="1"/>
    <col min="5" max="5" width="10.57421875" style="0" customWidth="1"/>
    <col min="6" max="6" width="8.140625" style="0" customWidth="1"/>
    <col min="7" max="7" width="7.140625" style="0" customWidth="1"/>
    <col min="8" max="8" width="9.00390625" style="0" customWidth="1"/>
    <col min="9" max="9" width="7.140625" style="0" customWidth="1"/>
    <col min="10" max="10" width="8.00390625" style="0" customWidth="1"/>
    <col min="11" max="11" width="7.421875" style="0" customWidth="1"/>
    <col min="12" max="12" width="12.421875" style="0" customWidth="1"/>
    <col min="13" max="13" width="6.28125" style="0" customWidth="1"/>
    <col min="14" max="14" width="8.57421875" style="0" customWidth="1"/>
    <col min="15" max="15" width="6.8515625" style="0" customWidth="1"/>
    <col min="16" max="16" width="5.00390625" style="0" customWidth="1"/>
    <col min="17" max="17" width="7.00390625" style="0" customWidth="1"/>
    <col min="18" max="18" width="7.140625" style="0" customWidth="1"/>
    <col min="19" max="19" width="6.57421875" style="0" customWidth="1"/>
    <col min="20" max="20" width="7.140625" style="0" customWidth="1"/>
    <col min="21" max="21" width="5.8515625" style="0" customWidth="1"/>
    <col min="22" max="22" width="7.00390625" style="0" customWidth="1"/>
    <col min="23" max="23" width="6.00390625" style="0" customWidth="1"/>
    <col min="24" max="24" width="8.28125" style="0" customWidth="1"/>
    <col min="25" max="1025" width="10.7109375" style="0" customWidth="1"/>
  </cols>
  <sheetData>
    <row r="1" spans="1:33" ht="25.5" customHeight="1">
      <c r="A1" s="236" t="str">
        <f ca="1">MID(CELL("FILENAME",L41),FIND("[",CELL("FILENAME",L41))+1,FIND("]",CELL("FILENAME",L41))-FIND("[",CELL("FILENAME",L41))-1)</f>
        <v>Esc Doc 2023 10 Cba V 1 1.xlsx</v>
      </c>
      <c r="B1" s="236"/>
      <c r="C1" s="236"/>
      <c r="D1" s="236"/>
      <c r="E1" s="236"/>
      <c r="F1" s="236"/>
      <c r="G1" s="236"/>
      <c r="H1" s="236"/>
      <c r="I1" s="236"/>
      <c r="J1" s="236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</row>
    <row r="2" spans="1:25" ht="12.75">
      <c r="A2" s="237" t="s">
        <v>49</v>
      </c>
      <c r="B2" s="237"/>
      <c r="C2" s="21">
        <v>0</v>
      </c>
      <c r="D2" s="21"/>
      <c r="E2" s="21"/>
      <c r="F2" s="21"/>
      <c r="G2" s="22"/>
      <c r="H2" s="21"/>
      <c r="I2" s="23"/>
      <c r="J2" s="24"/>
      <c r="K2" s="25"/>
      <c r="Y2" s="17"/>
    </row>
    <row r="3" spans="7:25" ht="12.75" customHeight="1">
      <c r="G3" s="26"/>
      <c r="H3" s="27"/>
      <c r="I3" s="27"/>
      <c r="J3" s="27"/>
      <c r="K3" s="28"/>
      <c r="Q3" s="238" t="s">
        <v>501</v>
      </c>
      <c r="R3" s="238"/>
      <c r="S3" s="238"/>
      <c r="T3" s="239" t="s">
        <v>502</v>
      </c>
      <c r="U3" s="239"/>
      <c r="V3" s="239"/>
      <c r="W3" s="239"/>
      <c r="Y3" s="17"/>
    </row>
    <row r="4" spans="1:25" ht="19.5">
      <c r="A4" s="13"/>
      <c r="B4" s="13"/>
      <c r="C4" s="29" t="s">
        <v>503</v>
      </c>
      <c r="D4" s="30" t="s">
        <v>56</v>
      </c>
      <c r="E4" s="30" t="s">
        <v>504</v>
      </c>
      <c r="F4" s="30" t="s">
        <v>505</v>
      </c>
      <c r="G4" s="31" t="s">
        <v>57</v>
      </c>
      <c r="H4" s="32" t="s">
        <v>58</v>
      </c>
      <c r="I4" s="33" t="s">
        <v>506</v>
      </c>
      <c r="J4" s="34" t="s">
        <v>507</v>
      </c>
      <c r="K4" s="35" t="s">
        <v>506</v>
      </c>
      <c r="Q4" s="36" t="s">
        <v>508</v>
      </c>
      <c r="R4" s="37" t="s">
        <v>509</v>
      </c>
      <c r="S4" s="37" t="s">
        <v>510</v>
      </c>
      <c r="T4" s="38" t="s">
        <v>511</v>
      </c>
      <c r="U4" s="39" t="s">
        <v>512</v>
      </c>
      <c r="V4" s="39" t="s">
        <v>513</v>
      </c>
      <c r="W4" s="39" t="s">
        <v>510</v>
      </c>
      <c r="X4" s="40" t="s">
        <v>514</v>
      </c>
      <c r="Y4" s="40" t="s">
        <v>515</v>
      </c>
    </row>
    <row r="5" spans="1:25" ht="12.75">
      <c r="A5" s="14" t="s">
        <v>76</v>
      </c>
      <c r="B5" s="15" t="s">
        <v>77</v>
      </c>
      <c r="C5" s="41" t="s">
        <v>79</v>
      </c>
      <c r="D5" s="42" t="s">
        <v>86</v>
      </c>
      <c r="E5" s="42" t="s">
        <v>516</v>
      </c>
      <c r="F5" s="43"/>
      <c r="G5" s="43" t="s">
        <v>87</v>
      </c>
      <c r="H5" s="43" t="s">
        <v>88</v>
      </c>
      <c r="I5" s="44" t="s">
        <v>517</v>
      </c>
      <c r="J5" s="45" t="s">
        <v>518</v>
      </c>
      <c r="K5" s="44" t="s">
        <v>519</v>
      </c>
      <c r="L5" s="46" t="s">
        <v>520</v>
      </c>
      <c r="Q5" s="47">
        <v>0.135</v>
      </c>
      <c r="R5" s="48">
        <v>0.025</v>
      </c>
      <c r="S5" s="49">
        <v>0.045</v>
      </c>
      <c r="T5" s="50">
        <v>0.16</v>
      </c>
      <c r="U5" s="51">
        <v>0.01</v>
      </c>
      <c r="V5" s="52">
        <v>0.025</v>
      </c>
      <c r="W5" s="52">
        <v>0.035</v>
      </c>
      <c r="Y5" s="17"/>
    </row>
    <row r="6" spans="1:25" ht="12.75" customHeight="1">
      <c r="A6" s="12" t="s">
        <v>521</v>
      </c>
      <c r="B6" s="16" t="s">
        <v>522</v>
      </c>
      <c r="C6" s="17">
        <f>C9/1.6*1.8</f>
        <v>7750.89</v>
      </c>
      <c r="D6" s="17">
        <f aca="true" t="shared" si="0" ref="D6:D32">IF($C$2=0,C6*0.15,0)</f>
        <v>1162.6335</v>
      </c>
      <c r="E6" s="17">
        <v>0</v>
      </c>
      <c r="F6" s="17"/>
      <c r="G6" s="17">
        <f>C6*VLOOKUP($C$2,Valores!$I$1:$J$53,2,0)</f>
        <v>0</v>
      </c>
      <c r="H6" s="17">
        <f>H9/1.6*1.8</f>
        <v>5167.27125</v>
      </c>
      <c r="I6" s="18">
        <f aca="true" t="shared" si="1" ref="I6:I32">SUM(C6:H6)</f>
        <v>14080.79475</v>
      </c>
      <c r="J6" s="17">
        <v>0</v>
      </c>
      <c r="K6" s="19">
        <f aca="true" t="shared" si="2" ref="K6:K32">SUM(J6)</f>
        <v>0</v>
      </c>
      <c r="Q6" s="17">
        <f aca="true" t="shared" si="3" ref="Q6:Q28">I6*$Q$5</f>
        <v>1900.90729125</v>
      </c>
      <c r="R6" s="17">
        <f aca="true" t="shared" si="4" ref="R6:R28">I6*$R$5</f>
        <v>352.01986875</v>
      </c>
      <c r="S6" s="17">
        <f aca="true" t="shared" si="5" ref="S6:S28">I6*$S$5</f>
        <v>633.6357637499999</v>
      </c>
      <c r="T6" s="17">
        <f aca="true" t="shared" si="6" ref="T6:T28">I6*$T$5</f>
        <v>2252.9271599999997</v>
      </c>
      <c r="U6" s="17">
        <f aca="true" t="shared" si="7" ref="U6:U28">I6*$U$5</f>
        <v>140.80794749999998</v>
      </c>
      <c r="V6" s="17">
        <f aca="true" t="shared" si="8" ref="V6:V28">I6*$V$5</f>
        <v>352.01986875</v>
      </c>
      <c r="W6" s="17">
        <f aca="true" t="shared" si="9" ref="W6:W28">I6*$W$5</f>
        <v>492.82781625</v>
      </c>
      <c r="X6" s="17">
        <f aca="true" t="shared" si="10" ref="X6:X28">I6+K6+T6+U6+V6+W6</f>
        <v>17319.3775425</v>
      </c>
      <c r="Y6" s="17">
        <f aca="true" t="shared" si="11" ref="Y6:Y28">+I6-SUM(Q6:S6)</f>
        <v>11194.23182625</v>
      </c>
    </row>
    <row r="7" spans="1:25" ht="12.75" customHeight="1">
      <c r="A7" s="53" t="s">
        <v>523</v>
      </c>
      <c r="B7" s="16" t="s">
        <v>524</v>
      </c>
      <c r="C7" s="17">
        <f>C10/1.6*1.8</f>
        <v>15514.02</v>
      </c>
      <c r="D7" s="17">
        <f t="shared" si="0"/>
        <v>2327.103</v>
      </c>
      <c r="E7" s="17">
        <v>0</v>
      </c>
      <c r="F7" s="17"/>
      <c r="G7" s="17">
        <f>C7*VLOOKUP($C$2,Valores!$I$1:$J$53,2,0)</f>
        <v>0</v>
      </c>
      <c r="H7" s="17">
        <f>H10/1.6*1.8</f>
        <v>10334.508749999999</v>
      </c>
      <c r="I7" s="18">
        <f t="shared" si="1"/>
        <v>28175.63175</v>
      </c>
      <c r="J7" s="17">
        <v>0</v>
      </c>
      <c r="K7" s="19">
        <f t="shared" si="2"/>
        <v>0</v>
      </c>
      <c r="M7" s="16" t="s">
        <v>503</v>
      </c>
      <c r="N7" s="54">
        <v>5361.09</v>
      </c>
      <c r="O7" s="54">
        <v>446.76</v>
      </c>
      <c r="Q7" s="17">
        <f t="shared" si="3"/>
        <v>3803.7102862500005</v>
      </c>
      <c r="R7" s="17">
        <f t="shared" si="4"/>
        <v>704.3907937500001</v>
      </c>
      <c r="S7" s="17">
        <f t="shared" si="5"/>
        <v>1267.9034287499999</v>
      </c>
      <c r="T7" s="17">
        <f t="shared" si="6"/>
        <v>4508.10108</v>
      </c>
      <c r="U7" s="17">
        <f t="shared" si="7"/>
        <v>281.7563175</v>
      </c>
      <c r="V7" s="17">
        <f t="shared" si="8"/>
        <v>704.3907937500001</v>
      </c>
      <c r="W7" s="17">
        <f t="shared" si="9"/>
        <v>986.1471112500001</v>
      </c>
      <c r="X7" s="17">
        <f t="shared" si="10"/>
        <v>34656.0270525</v>
      </c>
      <c r="Y7" s="17">
        <f t="shared" si="11"/>
        <v>22399.62724125</v>
      </c>
    </row>
    <row r="8" spans="1:25" ht="12.75" customHeight="1">
      <c r="A8" s="53" t="s">
        <v>525</v>
      </c>
      <c r="B8" s="16" t="s">
        <v>526</v>
      </c>
      <c r="C8" s="17">
        <f>C11/1.6*1.8</f>
        <v>31028.04</v>
      </c>
      <c r="D8" s="17">
        <f t="shared" si="0"/>
        <v>4654.206</v>
      </c>
      <c r="E8" s="17">
        <v>0</v>
      </c>
      <c r="F8" s="17"/>
      <c r="G8" s="17">
        <f>C8*VLOOKUP($C$2,Valores!$I$1:$J$53,2,0)</f>
        <v>0</v>
      </c>
      <c r="H8" s="17">
        <f>H11/1.6*1.8</f>
        <v>20669.017499999998</v>
      </c>
      <c r="I8" s="18">
        <f t="shared" si="1"/>
        <v>56351.2635</v>
      </c>
      <c r="J8" s="17">
        <v>0</v>
      </c>
      <c r="K8" s="19">
        <f t="shared" si="2"/>
        <v>0</v>
      </c>
      <c r="M8" s="16" t="s">
        <v>527</v>
      </c>
      <c r="N8" s="54">
        <v>1068</v>
      </c>
      <c r="O8" s="54">
        <v>89</v>
      </c>
      <c r="Q8" s="17">
        <f t="shared" si="3"/>
        <v>7607.420572500001</v>
      </c>
      <c r="R8" s="17">
        <f t="shared" si="4"/>
        <v>1408.7815875000001</v>
      </c>
      <c r="S8" s="17">
        <f t="shared" si="5"/>
        <v>2535.8068574999998</v>
      </c>
      <c r="T8" s="17">
        <f t="shared" si="6"/>
        <v>9016.20216</v>
      </c>
      <c r="U8" s="17">
        <f t="shared" si="7"/>
        <v>563.512635</v>
      </c>
      <c r="V8" s="17">
        <f t="shared" si="8"/>
        <v>1408.7815875000001</v>
      </c>
      <c r="W8" s="17">
        <f t="shared" si="9"/>
        <v>1972.2942225000002</v>
      </c>
      <c r="X8" s="17">
        <f t="shared" si="10"/>
        <v>69312.054105</v>
      </c>
      <c r="Y8" s="17">
        <f t="shared" si="11"/>
        <v>44799.2544825</v>
      </c>
    </row>
    <row r="9" spans="1:25" ht="12.75" customHeight="1">
      <c r="A9" s="55" t="s">
        <v>528</v>
      </c>
      <c r="B9" s="56" t="s">
        <v>529</v>
      </c>
      <c r="C9" s="57">
        <v>6889.68</v>
      </c>
      <c r="D9" s="57">
        <f t="shared" si="0"/>
        <v>1033.452</v>
      </c>
      <c r="E9" s="57">
        <v>0</v>
      </c>
      <c r="F9" s="57"/>
      <c r="G9" s="57">
        <f>C9*VLOOKUP($C$2,Valores!$I$1:$J$53,2,0)</f>
        <v>0</v>
      </c>
      <c r="H9" s="57">
        <v>4593.13</v>
      </c>
      <c r="I9" s="58">
        <f t="shared" si="1"/>
        <v>12516.262</v>
      </c>
      <c r="J9" s="57">
        <v>888.69</v>
      </c>
      <c r="K9" s="59">
        <f t="shared" si="2"/>
        <v>888.69</v>
      </c>
      <c r="M9" s="16" t="s">
        <v>530</v>
      </c>
      <c r="N9" s="54">
        <v>1614.824</v>
      </c>
      <c r="O9" s="54">
        <v>134.578666666667</v>
      </c>
      <c r="Q9" s="17">
        <f t="shared" si="3"/>
        <v>1689.6953700000001</v>
      </c>
      <c r="R9" s="17">
        <f t="shared" si="4"/>
        <v>312.90655000000004</v>
      </c>
      <c r="S9" s="17">
        <f t="shared" si="5"/>
        <v>563.23179</v>
      </c>
      <c r="T9" s="17">
        <f t="shared" si="6"/>
        <v>2002.60192</v>
      </c>
      <c r="U9" s="17">
        <f t="shared" si="7"/>
        <v>125.16262</v>
      </c>
      <c r="V9" s="17">
        <f t="shared" si="8"/>
        <v>312.90655000000004</v>
      </c>
      <c r="W9" s="17">
        <f t="shared" si="9"/>
        <v>438.06917000000004</v>
      </c>
      <c r="X9" s="17">
        <f t="shared" si="10"/>
        <v>16283.692260000002</v>
      </c>
      <c r="Y9" s="17">
        <f t="shared" si="11"/>
        <v>9950.42829</v>
      </c>
    </row>
    <row r="10" spans="1:25" ht="12.75" customHeight="1">
      <c r="A10" s="55" t="s">
        <v>531</v>
      </c>
      <c r="B10" s="56" t="s">
        <v>532</v>
      </c>
      <c r="C10" s="57">
        <v>13790.24</v>
      </c>
      <c r="D10" s="57">
        <f t="shared" si="0"/>
        <v>2068.536</v>
      </c>
      <c r="E10" s="57">
        <v>0</v>
      </c>
      <c r="F10" s="57"/>
      <c r="G10" s="57">
        <f>C10*VLOOKUP($C$2,Valores!$I$1:$J$53,2,0)</f>
        <v>0</v>
      </c>
      <c r="H10" s="57">
        <v>9186.23</v>
      </c>
      <c r="I10" s="58">
        <f t="shared" si="1"/>
        <v>25045.006</v>
      </c>
      <c r="J10" s="57">
        <v>1064.02</v>
      </c>
      <c r="K10" s="59">
        <f t="shared" si="2"/>
        <v>1064.02</v>
      </c>
      <c r="M10" s="16" t="s">
        <v>533</v>
      </c>
      <c r="N10" s="54">
        <v>250.08</v>
      </c>
      <c r="O10" s="54">
        <v>20.84</v>
      </c>
      <c r="Q10" s="17">
        <f t="shared" si="3"/>
        <v>3381.0758100000003</v>
      </c>
      <c r="R10" s="17">
        <f t="shared" si="4"/>
        <v>626.1251500000001</v>
      </c>
      <c r="S10" s="17">
        <f t="shared" si="5"/>
        <v>1127.02527</v>
      </c>
      <c r="T10" s="17">
        <f t="shared" si="6"/>
        <v>4007.20096</v>
      </c>
      <c r="U10" s="17">
        <f t="shared" si="7"/>
        <v>250.45006</v>
      </c>
      <c r="V10" s="17">
        <f t="shared" si="8"/>
        <v>626.1251500000001</v>
      </c>
      <c r="W10" s="17">
        <f t="shared" si="9"/>
        <v>876.5752100000001</v>
      </c>
      <c r="X10" s="17">
        <f t="shared" si="10"/>
        <v>31869.377379999998</v>
      </c>
      <c r="Y10" s="17">
        <f t="shared" si="11"/>
        <v>19910.77977</v>
      </c>
    </row>
    <row r="11" spans="1:25" ht="12.75" customHeight="1">
      <c r="A11" s="53" t="s">
        <v>534</v>
      </c>
      <c r="B11" s="16" t="s">
        <v>535</v>
      </c>
      <c r="C11" s="17">
        <f>C10*2</f>
        <v>27580.48</v>
      </c>
      <c r="D11" s="17">
        <f t="shared" si="0"/>
        <v>4137.072</v>
      </c>
      <c r="E11" s="17">
        <v>0</v>
      </c>
      <c r="F11" s="17"/>
      <c r="G11" s="17">
        <f>C11*VLOOKUP($C$2,Valores!$I$1:$J$53,2,0)</f>
        <v>0</v>
      </c>
      <c r="H11" s="17">
        <f>H10*2</f>
        <v>18372.46</v>
      </c>
      <c r="I11" s="18">
        <f t="shared" si="1"/>
        <v>50090.012</v>
      </c>
      <c r="J11" s="17">
        <v>0</v>
      </c>
      <c r="K11" s="19">
        <f t="shared" si="2"/>
        <v>0</v>
      </c>
      <c r="M11" s="16" t="s">
        <v>536</v>
      </c>
      <c r="N11" s="54">
        <v>546</v>
      </c>
      <c r="O11" s="54">
        <v>45.5</v>
      </c>
      <c r="Q11" s="17">
        <f t="shared" si="3"/>
        <v>6762.151620000001</v>
      </c>
      <c r="R11" s="17">
        <f t="shared" si="4"/>
        <v>1252.2503000000002</v>
      </c>
      <c r="S11" s="17">
        <f t="shared" si="5"/>
        <v>2254.05054</v>
      </c>
      <c r="T11" s="17">
        <f t="shared" si="6"/>
        <v>8014.40192</v>
      </c>
      <c r="U11" s="17">
        <f t="shared" si="7"/>
        <v>500.90012</v>
      </c>
      <c r="V11" s="17">
        <f t="shared" si="8"/>
        <v>1252.2503000000002</v>
      </c>
      <c r="W11" s="17">
        <f t="shared" si="9"/>
        <v>1753.1504200000002</v>
      </c>
      <c r="X11" s="17">
        <f t="shared" si="10"/>
        <v>61610.71476</v>
      </c>
      <c r="Y11" s="17">
        <f t="shared" si="11"/>
        <v>39821.55954</v>
      </c>
    </row>
    <row r="12" spans="1:25" ht="12.75" customHeight="1">
      <c r="A12" s="53" t="s">
        <v>537</v>
      </c>
      <c r="B12" s="16" t="s">
        <v>538</v>
      </c>
      <c r="C12" s="17">
        <f>C9/1.6*1.4</f>
        <v>6028.47</v>
      </c>
      <c r="D12" s="17">
        <f t="shared" si="0"/>
        <v>904.2705</v>
      </c>
      <c r="E12" s="17">
        <v>0</v>
      </c>
      <c r="F12" s="17"/>
      <c r="G12" s="17">
        <f>C12*VLOOKUP($C$2,Valores!$I$1:$J$53,2,0)</f>
        <v>0</v>
      </c>
      <c r="H12" s="17">
        <f>H9/1.6*1.4</f>
        <v>4018.9887499999995</v>
      </c>
      <c r="I12" s="18">
        <f t="shared" si="1"/>
        <v>10951.72925</v>
      </c>
      <c r="J12" s="17">
        <v>0</v>
      </c>
      <c r="K12" s="19">
        <f t="shared" si="2"/>
        <v>0</v>
      </c>
      <c r="M12" s="16" t="s">
        <v>539</v>
      </c>
      <c r="N12" s="54">
        <v>62.04</v>
      </c>
      <c r="O12" s="54">
        <v>5.17</v>
      </c>
      <c r="Q12" s="17">
        <f t="shared" si="3"/>
        <v>1478.4834487500002</v>
      </c>
      <c r="R12" s="17">
        <f t="shared" si="4"/>
        <v>273.79323125</v>
      </c>
      <c r="S12" s="17">
        <f t="shared" si="5"/>
        <v>492.82781625</v>
      </c>
      <c r="T12" s="17">
        <f t="shared" si="6"/>
        <v>1752.2766800000002</v>
      </c>
      <c r="U12" s="17">
        <f t="shared" si="7"/>
        <v>109.51729250000001</v>
      </c>
      <c r="V12" s="17">
        <f t="shared" si="8"/>
        <v>273.79323125</v>
      </c>
      <c r="W12" s="17">
        <f t="shared" si="9"/>
        <v>383.3105237500001</v>
      </c>
      <c r="X12" s="17">
        <f t="shared" si="10"/>
        <v>13470.626977500002</v>
      </c>
      <c r="Y12" s="17">
        <f t="shared" si="11"/>
        <v>8706.62475375</v>
      </c>
    </row>
    <row r="13" spans="1:25" ht="12.75" customHeight="1">
      <c r="A13" s="53" t="s">
        <v>540</v>
      </c>
      <c r="B13" s="16" t="s">
        <v>541</v>
      </c>
      <c r="C13" s="17">
        <f>C10/1.6*1.4</f>
        <v>12066.46</v>
      </c>
      <c r="D13" s="17">
        <f t="shared" si="0"/>
        <v>1809.9689999999998</v>
      </c>
      <c r="E13" s="17">
        <v>0</v>
      </c>
      <c r="F13" s="17"/>
      <c r="G13" s="17">
        <f>C13*VLOOKUP($C$2,Valores!$I$1:$J$53,2,0)</f>
        <v>0</v>
      </c>
      <c r="H13" s="17">
        <f>H10/1.6*1.4</f>
        <v>8037.951249999998</v>
      </c>
      <c r="I13" s="18">
        <f t="shared" si="1"/>
        <v>21914.380249999995</v>
      </c>
      <c r="J13" s="17">
        <v>0</v>
      </c>
      <c r="K13" s="19">
        <f t="shared" si="2"/>
        <v>0</v>
      </c>
      <c r="M13" s="16" t="s">
        <v>542</v>
      </c>
      <c r="N13" s="54">
        <v>175</v>
      </c>
      <c r="O13" s="54"/>
      <c r="Q13" s="17">
        <f t="shared" si="3"/>
        <v>2958.4413337499996</v>
      </c>
      <c r="R13" s="17">
        <f t="shared" si="4"/>
        <v>547.8595062499999</v>
      </c>
      <c r="S13" s="17">
        <f t="shared" si="5"/>
        <v>986.1471112499997</v>
      </c>
      <c r="T13" s="17">
        <f t="shared" si="6"/>
        <v>3506.3008399999994</v>
      </c>
      <c r="U13" s="17">
        <f t="shared" si="7"/>
        <v>219.14380249999996</v>
      </c>
      <c r="V13" s="17">
        <f t="shared" si="8"/>
        <v>547.8595062499999</v>
      </c>
      <c r="W13" s="17">
        <f t="shared" si="9"/>
        <v>767.0033087499999</v>
      </c>
      <c r="X13" s="17">
        <f t="shared" si="10"/>
        <v>26954.687707499994</v>
      </c>
      <c r="Y13" s="17">
        <f t="shared" si="11"/>
        <v>17421.932298749995</v>
      </c>
    </row>
    <row r="14" spans="1:25" ht="12.75" customHeight="1">
      <c r="A14" s="53" t="s">
        <v>543</v>
      </c>
      <c r="B14" s="16" t="s">
        <v>544</v>
      </c>
      <c r="C14" s="17">
        <f>C11/1.6*1.4</f>
        <v>24132.92</v>
      </c>
      <c r="D14" s="17">
        <f t="shared" si="0"/>
        <v>3619.9379999999996</v>
      </c>
      <c r="E14" s="17">
        <v>0</v>
      </c>
      <c r="F14" s="17"/>
      <c r="G14" s="17">
        <f>C14*VLOOKUP($C$2,Valores!$I$1:$J$53,2,0)</f>
        <v>0</v>
      </c>
      <c r="H14" s="17">
        <f>H11/1.6*1.4</f>
        <v>16075.902499999997</v>
      </c>
      <c r="I14" s="18">
        <f t="shared" si="1"/>
        <v>43828.76049999999</v>
      </c>
      <c r="J14" s="17">
        <v>0</v>
      </c>
      <c r="K14" s="19">
        <f t="shared" si="2"/>
        <v>0</v>
      </c>
      <c r="M14" s="16" t="s">
        <v>545</v>
      </c>
      <c r="N14" s="54">
        <v>50</v>
      </c>
      <c r="O14" s="54"/>
      <c r="Q14" s="17">
        <f t="shared" si="3"/>
        <v>5916.882667499999</v>
      </c>
      <c r="R14" s="17">
        <f t="shared" si="4"/>
        <v>1095.7190124999997</v>
      </c>
      <c r="S14" s="17">
        <f t="shared" si="5"/>
        <v>1972.2942224999995</v>
      </c>
      <c r="T14" s="17">
        <f t="shared" si="6"/>
        <v>7012.601679999999</v>
      </c>
      <c r="U14" s="17">
        <f t="shared" si="7"/>
        <v>438.2876049999999</v>
      </c>
      <c r="V14" s="17">
        <f t="shared" si="8"/>
        <v>1095.7190124999997</v>
      </c>
      <c r="W14" s="17">
        <f t="shared" si="9"/>
        <v>1534.0066174999997</v>
      </c>
      <c r="X14" s="17">
        <f t="shared" si="10"/>
        <v>53909.37541499999</v>
      </c>
      <c r="Y14" s="17">
        <f t="shared" si="11"/>
        <v>34843.86459749999</v>
      </c>
    </row>
    <row r="15" spans="1:25" ht="12.75" customHeight="1">
      <c r="A15" s="53" t="s">
        <v>546</v>
      </c>
      <c r="B15" s="16" t="s">
        <v>547</v>
      </c>
      <c r="C15" s="17">
        <f>C9/1.6*1.2</f>
        <v>5167.26</v>
      </c>
      <c r="D15" s="17">
        <f t="shared" si="0"/>
        <v>775.089</v>
      </c>
      <c r="E15" s="17">
        <v>0</v>
      </c>
      <c r="F15" s="17"/>
      <c r="G15" s="17">
        <f>C15*VLOOKUP($C$2,Valores!$I$1:$J$53,2,0)</f>
        <v>0</v>
      </c>
      <c r="H15" s="17">
        <f>H9/1.6*1.2</f>
        <v>3444.8474999999994</v>
      </c>
      <c r="I15" s="18">
        <f t="shared" si="1"/>
        <v>9387.1965</v>
      </c>
      <c r="J15" s="17">
        <v>0</v>
      </c>
      <c r="K15" s="19">
        <f t="shared" si="2"/>
        <v>0</v>
      </c>
      <c r="M15" s="16" t="s">
        <v>548</v>
      </c>
      <c r="N15" s="54">
        <v>51.6</v>
      </c>
      <c r="O15" s="54">
        <v>4.3</v>
      </c>
      <c r="Q15" s="17">
        <f t="shared" si="3"/>
        <v>1267.2715275</v>
      </c>
      <c r="R15" s="17">
        <f t="shared" si="4"/>
        <v>234.6799125</v>
      </c>
      <c r="S15" s="17">
        <f t="shared" si="5"/>
        <v>422.4238425</v>
      </c>
      <c r="T15" s="17">
        <f t="shared" si="6"/>
        <v>1501.95144</v>
      </c>
      <c r="U15" s="17">
        <f t="shared" si="7"/>
        <v>93.871965</v>
      </c>
      <c r="V15" s="17">
        <f t="shared" si="8"/>
        <v>234.6799125</v>
      </c>
      <c r="W15" s="17">
        <f t="shared" si="9"/>
        <v>328.55187750000005</v>
      </c>
      <c r="X15" s="17">
        <f t="shared" si="10"/>
        <v>11546.251695</v>
      </c>
      <c r="Y15" s="17">
        <f t="shared" si="11"/>
        <v>7462.8212175</v>
      </c>
    </row>
    <row r="16" spans="1:25" ht="12.75" customHeight="1">
      <c r="A16" s="53" t="s">
        <v>549</v>
      </c>
      <c r="B16" s="16" t="s">
        <v>550</v>
      </c>
      <c r="C16" s="17">
        <f>C10/1.6*1.2</f>
        <v>10342.679999999998</v>
      </c>
      <c r="D16" s="17">
        <f t="shared" si="0"/>
        <v>1551.4019999999998</v>
      </c>
      <c r="E16" s="17">
        <v>0</v>
      </c>
      <c r="F16" s="17"/>
      <c r="G16" s="17">
        <f>C16*VLOOKUP($C$2,Valores!$I$1:$J$53,2,0)</f>
        <v>0</v>
      </c>
      <c r="H16" s="17">
        <f>H10/1.6*1.2</f>
        <v>6889.672499999999</v>
      </c>
      <c r="I16" s="18">
        <f t="shared" si="1"/>
        <v>18783.754499999995</v>
      </c>
      <c r="J16" s="17">
        <v>0</v>
      </c>
      <c r="K16" s="19">
        <f t="shared" si="2"/>
        <v>0</v>
      </c>
      <c r="M16" s="60" t="s">
        <v>67</v>
      </c>
      <c r="N16" s="61">
        <f>SUM(N7:N15)</f>
        <v>9178.634000000002</v>
      </c>
      <c r="O16" s="54">
        <f>INT((SUM(O7:O15)*100)+0.5)/100</f>
        <v>746.15</v>
      </c>
      <c r="Q16" s="17">
        <f t="shared" si="3"/>
        <v>2535.8068574999998</v>
      </c>
      <c r="R16" s="17">
        <f t="shared" si="4"/>
        <v>469.5938624999999</v>
      </c>
      <c r="S16" s="17">
        <f t="shared" si="5"/>
        <v>845.2689524999997</v>
      </c>
      <c r="T16" s="17">
        <f t="shared" si="6"/>
        <v>3005.400719999999</v>
      </c>
      <c r="U16" s="17">
        <f t="shared" si="7"/>
        <v>187.83754499999995</v>
      </c>
      <c r="V16" s="17">
        <f t="shared" si="8"/>
        <v>469.5938624999999</v>
      </c>
      <c r="W16" s="17">
        <f t="shared" si="9"/>
        <v>657.4314074999999</v>
      </c>
      <c r="X16" s="17">
        <f t="shared" si="10"/>
        <v>23104.018034999994</v>
      </c>
      <c r="Y16" s="17">
        <f t="shared" si="11"/>
        <v>14933.084827499995</v>
      </c>
    </row>
    <row r="17" spans="1:25" ht="12.75" customHeight="1">
      <c r="A17" s="53" t="s">
        <v>551</v>
      </c>
      <c r="B17" s="16" t="s">
        <v>552</v>
      </c>
      <c r="C17" s="17">
        <f>C11/1.6*1.2</f>
        <v>20685.359999999997</v>
      </c>
      <c r="D17" s="17">
        <f t="shared" si="0"/>
        <v>3102.8039999999996</v>
      </c>
      <c r="E17" s="17">
        <v>0</v>
      </c>
      <c r="F17" s="17"/>
      <c r="G17" s="17">
        <f>C17*VLOOKUP($C$2,Valores!$I$1:$J$53,2,0)</f>
        <v>0</v>
      </c>
      <c r="H17" s="17">
        <f>H11/1.6*1.2</f>
        <v>13779.344999999998</v>
      </c>
      <c r="I17" s="18">
        <f t="shared" si="1"/>
        <v>37567.50899999999</v>
      </c>
      <c r="J17" s="17">
        <v>0</v>
      </c>
      <c r="K17" s="19">
        <f t="shared" si="2"/>
        <v>0</v>
      </c>
      <c r="M17" s="16"/>
      <c r="N17" s="54"/>
      <c r="O17" s="54">
        <f>O16*12*1.2</f>
        <v>10744.56</v>
      </c>
      <c r="Q17" s="17">
        <f t="shared" si="3"/>
        <v>5071.6137149999995</v>
      </c>
      <c r="R17" s="17">
        <f t="shared" si="4"/>
        <v>939.1877249999998</v>
      </c>
      <c r="S17" s="17">
        <f t="shared" si="5"/>
        <v>1690.5379049999995</v>
      </c>
      <c r="T17" s="17">
        <f t="shared" si="6"/>
        <v>6010.801439999998</v>
      </c>
      <c r="U17" s="17">
        <f t="shared" si="7"/>
        <v>375.6750899999999</v>
      </c>
      <c r="V17" s="17">
        <f t="shared" si="8"/>
        <v>939.1877249999998</v>
      </c>
      <c r="W17" s="17">
        <f t="shared" si="9"/>
        <v>1314.8628149999997</v>
      </c>
      <c r="X17" s="17">
        <f t="shared" si="10"/>
        <v>46208.03606999999</v>
      </c>
      <c r="Y17" s="17">
        <f t="shared" si="11"/>
        <v>29866.16965499999</v>
      </c>
    </row>
    <row r="18" spans="1:25" ht="12.75" customHeight="1">
      <c r="A18" s="53" t="s">
        <v>553</v>
      </c>
      <c r="B18" s="16" t="s">
        <v>554</v>
      </c>
      <c r="C18" s="17">
        <f>C6/1.6</f>
        <v>4844.30625</v>
      </c>
      <c r="D18" s="17">
        <f t="shared" si="0"/>
        <v>726.6459375</v>
      </c>
      <c r="E18" s="17">
        <v>0</v>
      </c>
      <c r="F18" s="17"/>
      <c r="G18" s="17">
        <f>C18*VLOOKUP($C$2,Valores!$I$1:$J$53,2,0)</f>
        <v>0</v>
      </c>
      <c r="H18" s="17">
        <f>H6/1.6</f>
        <v>3229.5445312499996</v>
      </c>
      <c r="I18" s="18">
        <f t="shared" si="1"/>
        <v>8800.496718749999</v>
      </c>
      <c r="J18" s="17">
        <v>0</v>
      </c>
      <c r="K18" s="19">
        <f t="shared" si="2"/>
        <v>0</v>
      </c>
      <c r="M18" s="16" t="s">
        <v>555</v>
      </c>
      <c r="N18" s="54">
        <v>200.04</v>
      </c>
      <c r="O18" s="54">
        <v>16.67</v>
      </c>
      <c r="P18" s="17"/>
      <c r="Q18" s="17">
        <f t="shared" si="3"/>
        <v>1188.06705703125</v>
      </c>
      <c r="R18" s="17">
        <f t="shared" si="4"/>
        <v>220.01241796875</v>
      </c>
      <c r="S18" s="17">
        <f t="shared" si="5"/>
        <v>396.02235234374996</v>
      </c>
      <c r="T18" s="17">
        <f t="shared" si="6"/>
        <v>1408.0794749999998</v>
      </c>
      <c r="U18" s="17">
        <f t="shared" si="7"/>
        <v>88.00496718749999</v>
      </c>
      <c r="V18" s="17">
        <f t="shared" si="8"/>
        <v>220.01241796875</v>
      </c>
      <c r="W18" s="17">
        <f t="shared" si="9"/>
        <v>308.01738515625</v>
      </c>
      <c r="X18" s="17">
        <f t="shared" si="10"/>
        <v>10824.6109640625</v>
      </c>
      <c r="Y18" s="17">
        <f t="shared" si="11"/>
        <v>6996.394891406249</v>
      </c>
    </row>
    <row r="19" spans="1:25" ht="12.75" customHeight="1">
      <c r="A19" s="53" t="s">
        <v>556</v>
      </c>
      <c r="B19" s="16" t="s">
        <v>557</v>
      </c>
      <c r="C19" s="17">
        <f>C10/1.6</f>
        <v>8618.9</v>
      </c>
      <c r="D19" s="17">
        <f t="shared" si="0"/>
        <v>1292.8349999999998</v>
      </c>
      <c r="E19" s="17">
        <v>0</v>
      </c>
      <c r="F19" s="17"/>
      <c r="G19" s="17">
        <f>C19*VLOOKUP($C$2,Valores!$I$1:$J$53,2,0)</f>
        <v>0</v>
      </c>
      <c r="H19" s="17">
        <f>H10/1.6</f>
        <v>5741.393749999999</v>
      </c>
      <c r="I19" s="18">
        <f t="shared" si="1"/>
        <v>15653.128749999998</v>
      </c>
      <c r="J19" s="17">
        <v>0</v>
      </c>
      <c r="K19" s="19">
        <f t="shared" si="2"/>
        <v>0</v>
      </c>
      <c r="M19" s="16" t="s">
        <v>558</v>
      </c>
      <c r="N19" s="54" t="e">
        <f>#REF!</f>
        <v>#REF!</v>
      </c>
      <c r="O19" s="54">
        <f>390/12</f>
        <v>32.5</v>
      </c>
      <c r="Q19" s="17">
        <f t="shared" si="3"/>
        <v>2113.17238125</v>
      </c>
      <c r="R19" s="17">
        <f t="shared" si="4"/>
        <v>391.32821874999996</v>
      </c>
      <c r="S19" s="17">
        <f t="shared" si="5"/>
        <v>704.3907937499998</v>
      </c>
      <c r="T19" s="17">
        <f t="shared" si="6"/>
        <v>2504.5006</v>
      </c>
      <c r="U19" s="17">
        <f t="shared" si="7"/>
        <v>156.5312875</v>
      </c>
      <c r="V19" s="17">
        <f t="shared" si="8"/>
        <v>391.32821874999996</v>
      </c>
      <c r="W19" s="17">
        <f t="shared" si="9"/>
        <v>547.85950625</v>
      </c>
      <c r="X19" s="17">
        <f t="shared" si="10"/>
        <v>19253.3483625</v>
      </c>
      <c r="Y19" s="17">
        <f t="shared" si="11"/>
        <v>12444.237356249998</v>
      </c>
    </row>
    <row r="20" spans="1:25" ht="12.75" customHeight="1">
      <c r="A20" s="53" t="s">
        <v>559</v>
      </c>
      <c r="B20" s="16" t="s">
        <v>560</v>
      </c>
      <c r="C20" s="17">
        <f>C11/1.6</f>
        <v>17237.8</v>
      </c>
      <c r="D20" s="17">
        <f t="shared" si="0"/>
        <v>2585.6699999999996</v>
      </c>
      <c r="E20" s="17">
        <v>0</v>
      </c>
      <c r="F20" s="17"/>
      <c r="G20" s="17">
        <f>C20*VLOOKUP($C$2,Valores!$I$1:$J$53,2,0)</f>
        <v>0</v>
      </c>
      <c r="H20" s="17">
        <f>H11/1.6</f>
        <v>11482.787499999999</v>
      </c>
      <c r="I20" s="18">
        <f t="shared" si="1"/>
        <v>31306.257499999996</v>
      </c>
      <c r="J20" s="17">
        <v>0</v>
      </c>
      <c r="K20" s="19">
        <f t="shared" si="2"/>
        <v>0</v>
      </c>
      <c r="M20" s="60" t="s">
        <v>68</v>
      </c>
      <c r="N20" s="61" t="e">
        <f>SUM(N18:N19)</f>
        <v>#REF!</v>
      </c>
      <c r="O20" s="54">
        <f>SUM(O18:O19)*12</f>
        <v>590.04</v>
      </c>
      <c r="Q20" s="17">
        <f t="shared" si="3"/>
        <v>4226.3447625</v>
      </c>
      <c r="R20" s="17">
        <f t="shared" si="4"/>
        <v>782.6564374999999</v>
      </c>
      <c r="S20" s="17">
        <f t="shared" si="5"/>
        <v>1408.7815874999997</v>
      </c>
      <c r="T20" s="17">
        <f t="shared" si="6"/>
        <v>5009.0012</v>
      </c>
      <c r="U20" s="17">
        <f t="shared" si="7"/>
        <v>313.062575</v>
      </c>
      <c r="V20" s="17">
        <f t="shared" si="8"/>
        <v>782.6564374999999</v>
      </c>
      <c r="W20" s="17">
        <f t="shared" si="9"/>
        <v>1095.7190125</v>
      </c>
      <c r="X20" s="17">
        <f t="shared" si="10"/>
        <v>38506.696725</v>
      </c>
      <c r="Y20" s="17">
        <f t="shared" si="11"/>
        <v>24888.474712499996</v>
      </c>
    </row>
    <row r="21" spans="1:25" ht="12.75" customHeight="1">
      <c r="A21" s="53" t="s">
        <v>561</v>
      </c>
      <c r="B21" s="16" t="s">
        <v>562</v>
      </c>
      <c r="C21" s="17">
        <v>688.97</v>
      </c>
      <c r="D21" s="17">
        <f t="shared" si="0"/>
        <v>103.3455</v>
      </c>
      <c r="E21" s="17">
        <v>0</v>
      </c>
      <c r="F21" s="17"/>
      <c r="G21" s="17">
        <f>C21*VLOOKUP($C$2,Valores!$I$1:$J$53,2,0)</f>
        <v>0</v>
      </c>
      <c r="H21" s="17">
        <v>459.3149</v>
      </c>
      <c r="I21" s="18">
        <f t="shared" si="1"/>
        <v>1251.6304</v>
      </c>
      <c r="J21" s="17">
        <v>88.67</v>
      </c>
      <c r="K21" s="19">
        <f t="shared" si="2"/>
        <v>88.67</v>
      </c>
      <c r="M21" s="60"/>
      <c r="N21" s="61"/>
      <c r="O21" s="54"/>
      <c r="Q21" s="17">
        <f t="shared" si="3"/>
        <v>168.97010400000002</v>
      </c>
      <c r="R21" s="17">
        <f t="shared" si="4"/>
        <v>31.290760000000002</v>
      </c>
      <c r="S21" s="17">
        <f t="shared" si="5"/>
        <v>56.323367999999995</v>
      </c>
      <c r="T21" s="17">
        <f t="shared" si="6"/>
        <v>200.260864</v>
      </c>
      <c r="U21" s="17">
        <f t="shared" si="7"/>
        <v>12.516304</v>
      </c>
      <c r="V21" s="17">
        <f t="shared" si="8"/>
        <v>31.290760000000002</v>
      </c>
      <c r="W21" s="17">
        <f t="shared" si="9"/>
        <v>43.807064000000004</v>
      </c>
      <c r="X21" s="17">
        <f t="shared" si="10"/>
        <v>1628.1753920000003</v>
      </c>
      <c r="Y21" s="17">
        <f t="shared" si="11"/>
        <v>995.046168</v>
      </c>
    </row>
    <row r="22" spans="1:25" ht="12.75" customHeight="1">
      <c r="A22" s="53" t="s">
        <v>561</v>
      </c>
      <c r="B22" s="16" t="s">
        <v>563</v>
      </c>
      <c r="C22" s="17">
        <v>1377.94</v>
      </c>
      <c r="D22" s="17">
        <f t="shared" si="0"/>
        <v>206.691</v>
      </c>
      <c r="E22" s="17">
        <v>0</v>
      </c>
      <c r="F22" s="17"/>
      <c r="G22" s="17">
        <f>C22*VLOOKUP($C$2,Valores!$I$1:$J$53,2,0)</f>
        <v>0</v>
      </c>
      <c r="H22" s="17">
        <v>918.63</v>
      </c>
      <c r="I22" s="18">
        <f t="shared" si="1"/>
        <v>2503.261</v>
      </c>
      <c r="J22" s="17">
        <v>177.34</v>
      </c>
      <c r="K22" s="19">
        <f t="shared" si="2"/>
        <v>177.34</v>
      </c>
      <c r="M22" s="60"/>
      <c r="N22" s="61"/>
      <c r="O22" s="54"/>
      <c r="Q22" s="17">
        <f t="shared" si="3"/>
        <v>337.94023500000003</v>
      </c>
      <c r="R22" s="17">
        <f t="shared" si="4"/>
        <v>62.581525</v>
      </c>
      <c r="S22" s="17">
        <f t="shared" si="5"/>
        <v>112.646745</v>
      </c>
      <c r="T22" s="17">
        <f t="shared" si="6"/>
        <v>400.52176000000003</v>
      </c>
      <c r="U22" s="17">
        <f t="shared" si="7"/>
        <v>25.032610000000002</v>
      </c>
      <c r="V22" s="17">
        <f t="shared" si="8"/>
        <v>62.581525</v>
      </c>
      <c r="W22" s="17">
        <f t="shared" si="9"/>
        <v>87.614135</v>
      </c>
      <c r="X22" s="17">
        <f t="shared" si="10"/>
        <v>3256.3510300000003</v>
      </c>
      <c r="Y22" s="17">
        <f t="shared" si="11"/>
        <v>1990.0924949999999</v>
      </c>
    </row>
    <row r="23" spans="1:25" ht="12.75" customHeight="1">
      <c r="A23" s="53" t="s">
        <v>561</v>
      </c>
      <c r="B23" s="16" t="s">
        <v>564</v>
      </c>
      <c r="C23" s="17">
        <v>2066.9</v>
      </c>
      <c r="D23" s="17">
        <f t="shared" si="0"/>
        <v>310.035</v>
      </c>
      <c r="E23" s="17">
        <v>0</v>
      </c>
      <c r="F23" s="17"/>
      <c r="G23" s="17">
        <f>C23*VLOOKUP($C$2,Valores!$I$1:$J$53,2,0)</f>
        <v>0</v>
      </c>
      <c r="H23" s="17">
        <f>$H$21*3</f>
        <v>1377.9447</v>
      </c>
      <c r="I23" s="18">
        <f t="shared" si="1"/>
        <v>3754.8797</v>
      </c>
      <c r="J23" s="17">
        <v>266.01</v>
      </c>
      <c r="K23" s="19">
        <f t="shared" si="2"/>
        <v>266.01</v>
      </c>
      <c r="M23" s="60"/>
      <c r="N23" s="61"/>
      <c r="O23" s="54"/>
      <c r="Q23" s="17">
        <f t="shared" si="3"/>
        <v>506.90875950000003</v>
      </c>
      <c r="R23" s="17">
        <f t="shared" si="4"/>
        <v>93.8719925</v>
      </c>
      <c r="S23" s="17">
        <f t="shared" si="5"/>
        <v>168.9695865</v>
      </c>
      <c r="T23" s="17">
        <f t="shared" si="6"/>
        <v>600.780752</v>
      </c>
      <c r="U23" s="17">
        <f t="shared" si="7"/>
        <v>37.548797</v>
      </c>
      <c r="V23" s="17">
        <f t="shared" si="8"/>
        <v>93.8719925</v>
      </c>
      <c r="W23" s="17">
        <f t="shared" si="9"/>
        <v>131.4207895</v>
      </c>
      <c r="X23" s="17">
        <f t="shared" si="10"/>
        <v>4884.512030999999</v>
      </c>
      <c r="Y23" s="17">
        <f t="shared" si="11"/>
        <v>2985.1293615</v>
      </c>
    </row>
    <row r="24" spans="1:25" ht="12.75" customHeight="1">
      <c r="A24" s="53" t="s">
        <v>561</v>
      </c>
      <c r="B24" s="16" t="s">
        <v>565</v>
      </c>
      <c r="C24" s="17">
        <v>2755.87</v>
      </c>
      <c r="D24" s="17">
        <f t="shared" si="0"/>
        <v>413.3805</v>
      </c>
      <c r="E24" s="17">
        <v>0</v>
      </c>
      <c r="F24" s="17"/>
      <c r="G24" s="17">
        <f>C24*VLOOKUP($C$2,Valores!$I$1:$J$53,2,0)</f>
        <v>0</v>
      </c>
      <c r="H24" s="17">
        <v>1837.25</v>
      </c>
      <c r="I24" s="18">
        <f t="shared" si="1"/>
        <v>5006.5005</v>
      </c>
      <c r="J24" s="17">
        <v>354.68</v>
      </c>
      <c r="K24" s="19">
        <f t="shared" si="2"/>
        <v>354.68</v>
      </c>
      <c r="M24" s="60"/>
      <c r="N24" s="61"/>
      <c r="O24" s="54"/>
      <c r="Q24" s="17">
        <f t="shared" si="3"/>
        <v>675.8775675</v>
      </c>
      <c r="R24" s="17">
        <f t="shared" si="4"/>
        <v>125.1625125</v>
      </c>
      <c r="S24" s="17">
        <f t="shared" si="5"/>
        <v>225.2925225</v>
      </c>
      <c r="T24" s="17">
        <f t="shared" si="6"/>
        <v>801.04008</v>
      </c>
      <c r="U24" s="17">
        <f t="shared" si="7"/>
        <v>50.065005</v>
      </c>
      <c r="V24" s="17">
        <f t="shared" si="8"/>
        <v>125.1625125</v>
      </c>
      <c r="W24" s="17">
        <f t="shared" si="9"/>
        <v>175.22751750000003</v>
      </c>
      <c r="X24" s="17">
        <f t="shared" si="10"/>
        <v>6512.675615000001</v>
      </c>
      <c r="Y24" s="17">
        <f t="shared" si="11"/>
        <v>3980.1678975</v>
      </c>
    </row>
    <row r="25" spans="1:25" ht="12.75" customHeight="1">
      <c r="A25" s="53" t="s">
        <v>561</v>
      </c>
      <c r="B25" s="16" t="s">
        <v>566</v>
      </c>
      <c r="C25" s="17">
        <v>3444.84</v>
      </c>
      <c r="D25" s="17">
        <f t="shared" si="0"/>
        <v>516.726</v>
      </c>
      <c r="E25" s="17">
        <v>0</v>
      </c>
      <c r="F25" s="17"/>
      <c r="G25" s="17">
        <f>C25*VLOOKUP($C$2,Valores!$I$1:$J$53,2,0)</f>
        <v>0</v>
      </c>
      <c r="H25" s="17">
        <v>2296.57</v>
      </c>
      <c r="I25" s="18">
        <f t="shared" si="1"/>
        <v>6258.136</v>
      </c>
      <c r="J25" s="17">
        <v>443.35</v>
      </c>
      <c r="K25" s="19">
        <f t="shared" si="2"/>
        <v>443.35</v>
      </c>
      <c r="M25" s="60"/>
      <c r="N25" s="61"/>
      <c r="O25" s="54"/>
      <c r="Q25" s="17">
        <f t="shared" si="3"/>
        <v>844.8483600000001</v>
      </c>
      <c r="R25" s="17">
        <f t="shared" si="4"/>
        <v>156.45340000000002</v>
      </c>
      <c r="S25" s="17">
        <f t="shared" si="5"/>
        <v>281.61612</v>
      </c>
      <c r="T25" s="17">
        <f t="shared" si="6"/>
        <v>1001.3017600000001</v>
      </c>
      <c r="U25" s="17">
        <f t="shared" si="7"/>
        <v>62.581360000000004</v>
      </c>
      <c r="V25" s="17">
        <f t="shared" si="8"/>
        <v>156.45340000000002</v>
      </c>
      <c r="W25" s="17">
        <f t="shared" si="9"/>
        <v>219.03476000000003</v>
      </c>
      <c r="X25" s="17">
        <f t="shared" si="10"/>
        <v>8140.857280000002</v>
      </c>
      <c r="Y25" s="17">
        <f t="shared" si="11"/>
        <v>4975.21812</v>
      </c>
    </row>
    <row r="26" spans="1:25" ht="12.75" customHeight="1">
      <c r="A26" s="53" t="s">
        <v>561</v>
      </c>
      <c r="B26" s="16" t="s">
        <v>567</v>
      </c>
      <c r="C26" s="17">
        <v>4133.81</v>
      </c>
      <c r="D26" s="17">
        <f t="shared" si="0"/>
        <v>620.0715</v>
      </c>
      <c r="E26" s="17">
        <v>0</v>
      </c>
      <c r="F26" s="17"/>
      <c r="G26" s="17">
        <f>C26*VLOOKUP($C$2,Valores!$I$1:$J$53,2,0)</f>
        <v>0</v>
      </c>
      <c r="H26" s="17">
        <v>2755.88</v>
      </c>
      <c r="I26" s="18">
        <f t="shared" si="1"/>
        <v>7509.7615000000005</v>
      </c>
      <c r="J26" s="17">
        <v>532.01</v>
      </c>
      <c r="K26" s="19">
        <f t="shared" si="2"/>
        <v>532.01</v>
      </c>
      <c r="M26" s="60"/>
      <c r="N26" s="61"/>
      <c r="O26" s="54"/>
      <c r="Q26" s="17">
        <f t="shared" si="3"/>
        <v>1013.8178025000001</v>
      </c>
      <c r="R26" s="17">
        <f t="shared" si="4"/>
        <v>187.74403750000002</v>
      </c>
      <c r="S26" s="17">
        <f t="shared" si="5"/>
        <v>337.9392675</v>
      </c>
      <c r="T26" s="17">
        <f t="shared" si="6"/>
        <v>1201.56184</v>
      </c>
      <c r="U26" s="17">
        <f t="shared" si="7"/>
        <v>75.097615</v>
      </c>
      <c r="V26" s="17">
        <f t="shared" si="8"/>
        <v>187.74403750000002</v>
      </c>
      <c r="W26" s="17">
        <f t="shared" si="9"/>
        <v>262.84165250000007</v>
      </c>
      <c r="X26" s="17">
        <f t="shared" si="10"/>
        <v>9769.016645000002</v>
      </c>
      <c r="Y26" s="17">
        <f t="shared" si="11"/>
        <v>5970.2603925</v>
      </c>
    </row>
    <row r="27" spans="1:25" ht="12.75" customHeight="1">
      <c r="A27" s="53" t="s">
        <v>561</v>
      </c>
      <c r="B27" s="16" t="s">
        <v>568</v>
      </c>
      <c r="C27" s="17">
        <v>4822.78</v>
      </c>
      <c r="D27" s="17">
        <f t="shared" si="0"/>
        <v>723.4169999999999</v>
      </c>
      <c r="E27" s="17">
        <v>0</v>
      </c>
      <c r="F27" s="17"/>
      <c r="G27" s="17">
        <f>C27*VLOOKUP($C$2,Valores!$I$1:$J$53,2,0)</f>
        <v>0</v>
      </c>
      <c r="H27" s="17">
        <v>3215.19</v>
      </c>
      <c r="I27" s="18">
        <f t="shared" si="1"/>
        <v>8761.387</v>
      </c>
      <c r="J27" s="17">
        <v>620.68</v>
      </c>
      <c r="K27" s="19">
        <f t="shared" si="2"/>
        <v>620.68</v>
      </c>
      <c r="M27" s="60"/>
      <c r="N27" s="61"/>
      <c r="O27" s="54"/>
      <c r="Q27" s="17">
        <f t="shared" si="3"/>
        <v>1182.7872450000002</v>
      </c>
      <c r="R27" s="17">
        <f t="shared" si="4"/>
        <v>219.03467500000002</v>
      </c>
      <c r="S27" s="17">
        <f t="shared" si="5"/>
        <v>394.26241500000003</v>
      </c>
      <c r="T27" s="17">
        <f t="shared" si="6"/>
        <v>1401.82192</v>
      </c>
      <c r="U27" s="17">
        <f t="shared" si="7"/>
        <v>87.61387</v>
      </c>
      <c r="V27" s="17">
        <f t="shared" si="8"/>
        <v>219.03467500000002</v>
      </c>
      <c r="W27" s="17">
        <f t="shared" si="9"/>
        <v>306.64854500000007</v>
      </c>
      <c r="X27" s="17">
        <f t="shared" si="10"/>
        <v>11397.186010000001</v>
      </c>
      <c r="Y27" s="17">
        <f t="shared" si="11"/>
        <v>6965.302665</v>
      </c>
    </row>
    <row r="28" spans="1:25" ht="12.75" customHeight="1">
      <c r="A28" s="53" t="s">
        <v>561</v>
      </c>
      <c r="B28" s="16" t="s">
        <v>569</v>
      </c>
      <c r="C28" s="17">
        <v>5511.75</v>
      </c>
      <c r="D28" s="17">
        <f t="shared" si="0"/>
        <v>826.7624999999999</v>
      </c>
      <c r="E28" s="17">
        <v>0</v>
      </c>
      <c r="F28" s="17"/>
      <c r="G28" s="17">
        <f>C28*VLOOKUP($C$2,Valores!$I$1:$J$53,2,0)</f>
        <v>0</v>
      </c>
      <c r="H28" s="17">
        <v>3674.5</v>
      </c>
      <c r="I28" s="18">
        <f t="shared" si="1"/>
        <v>10013.0125</v>
      </c>
      <c r="J28" s="17">
        <v>709.35</v>
      </c>
      <c r="K28" s="19">
        <f t="shared" si="2"/>
        <v>709.35</v>
      </c>
      <c r="M28" s="60"/>
      <c r="N28" s="61"/>
      <c r="O28" s="54"/>
      <c r="Q28" s="17">
        <f t="shared" si="3"/>
        <v>1351.7566875000002</v>
      </c>
      <c r="R28" s="17">
        <f t="shared" si="4"/>
        <v>250.32531250000002</v>
      </c>
      <c r="S28" s="17">
        <f t="shared" si="5"/>
        <v>450.58556250000004</v>
      </c>
      <c r="T28" s="17">
        <f t="shared" si="6"/>
        <v>1602.082</v>
      </c>
      <c r="U28" s="17">
        <f t="shared" si="7"/>
        <v>100.130125</v>
      </c>
      <c r="V28" s="17">
        <f t="shared" si="8"/>
        <v>250.32531250000002</v>
      </c>
      <c r="W28" s="17">
        <f t="shared" si="9"/>
        <v>350.4554375000001</v>
      </c>
      <c r="X28" s="17">
        <f t="shared" si="10"/>
        <v>13025.355375000001</v>
      </c>
      <c r="Y28" s="17">
        <f t="shared" si="11"/>
        <v>7960.3449375</v>
      </c>
    </row>
    <row r="29" spans="1:25" ht="12.75" customHeight="1">
      <c r="A29" s="53" t="s">
        <v>561</v>
      </c>
      <c r="B29" s="16" t="s">
        <v>570</v>
      </c>
      <c r="C29" s="17">
        <v>6200.71</v>
      </c>
      <c r="D29" s="17">
        <f t="shared" si="0"/>
        <v>930.1065</v>
      </c>
      <c r="E29" s="17"/>
      <c r="F29" s="17"/>
      <c r="G29" s="17">
        <f>C29*VLOOKUP($C$2,Valores!$I$1:$J$53,2,0)</f>
        <v>0</v>
      </c>
      <c r="H29" s="17">
        <v>4133.82</v>
      </c>
      <c r="I29" s="18">
        <f t="shared" si="1"/>
        <v>11264.6365</v>
      </c>
      <c r="J29" s="17">
        <v>798.02</v>
      </c>
      <c r="K29" s="19">
        <f t="shared" si="2"/>
        <v>798.02</v>
      </c>
      <c r="M29" s="60"/>
      <c r="N29" s="61"/>
      <c r="O29" s="54"/>
      <c r="Q29" s="17"/>
      <c r="R29" s="17"/>
      <c r="S29" s="17"/>
      <c r="T29" s="17"/>
      <c r="U29" s="17"/>
      <c r="V29" s="17"/>
      <c r="W29" s="17"/>
      <c r="X29" s="17"/>
      <c r="Y29" s="17"/>
    </row>
    <row r="30" spans="1:25" ht="12.75" customHeight="1">
      <c r="A30" s="53" t="s">
        <v>561</v>
      </c>
      <c r="B30" s="16" t="s">
        <v>571</v>
      </c>
      <c r="C30" s="17">
        <v>6889.68</v>
      </c>
      <c r="D30" s="17">
        <f t="shared" si="0"/>
        <v>1033.452</v>
      </c>
      <c r="E30" s="17"/>
      <c r="F30" s="17"/>
      <c r="G30" s="17">
        <f>C30*VLOOKUP($C$2,Valores!$I$1:$J$53,2,0)</f>
        <v>0</v>
      </c>
      <c r="H30" s="17">
        <v>4593.13</v>
      </c>
      <c r="I30" s="18">
        <f t="shared" si="1"/>
        <v>12516.262</v>
      </c>
      <c r="J30" s="17">
        <v>886.69</v>
      </c>
      <c r="K30" s="19">
        <f t="shared" si="2"/>
        <v>886.69</v>
      </c>
      <c r="M30" s="60"/>
      <c r="N30" s="61"/>
      <c r="O30" s="54"/>
      <c r="Q30" s="17"/>
      <c r="R30" s="17"/>
      <c r="S30" s="17"/>
      <c r="T30" s="17"/>
      <c r="U30" s="17"/>
      <c r="V30" s="17"/>
      <c r="W30" s="17"/>
      <c r="X30" s="17"/>
      <c r="Y30" s="17"/>
    </row>
    <row r="31" spans="1:25" ht="12.75" customHeight="1">
      <c r="A31" s="53" t="s">
        <v>561</v>
      </c>
      <c r="B31" s="16" t="s">
        <v>572</v>
      </c>
      <c r="C31" s="17">
        <v>7878.65</v>
      </c>
      <c r="D31" s="17">
        <f t="shared" si="0"/>
        <v>1181.7975</v>
      </c>
      <c r="E31" s="17"/>
      <c r="F31" s="17"/>
      <c r="G31" s="17">
        <f>C31*VLOOKUP($C$2,Valores!$I$1:$J$53,2,0)</f>
        <v>0</v>
      </c>
      <c r="H31" s="17">
        <v>5052.44</v>
      </c>
      <c r="I31" s="18">
        <f t="shared" si="1"/>
        <v>14112.8875</v>
      </c>
      <c r="J31" s="17">
        <v>975.36</v>
      </c>
      <c r="K31" s="19">
        <f t="shared" si="2"/>
        <v>975.36</v>
      </c>
      <c r="M31" s="60"/>
      <c r="N31" s="61"/>
      <c r="O31" s="54"/>
      <c r="Q31" s="17"/>
      <c r="R31" s="17"/>
      <c r="S31" s="17"/>
      <c r="T31" s="17"/>
      <c r="U31" s="17"/>
      <c r="V31" s="17"/>
      <c r="W31" s="17"/>
      <c r="X31" s="17"/>
      <c r="Y31" s="17"/>
    </row>
    <row r="32" spans="1:25" ht="12.75" customHeight="1">
      <c r="A32" s="53" t="s">
        <v>561</v>
      </c>
      <c r="B32" s="16" t="s">
        <v>573</v>
      </c>
      <c r="C32" s="17">
        <v>8567.62</v>
      </c>
      <c r="D32" s="17">
        <f t="shared" si="0"/>
        <v>1285.143</v>
      </c>
      <c r="E32" s="17"/>
      <c r="F32" s="17"/>
      <c r="G32" s="17">
        <f>C32*VLOOKUP($C$2,Valores!$I$1:$J$53,2,0)</f>
        <v>0</v>
      </c>
      <c r="H32" s="17">
        <v>5511.75</v>
      </c>
      <c r="I32" s="18">
        <f t="shared" si="1"/>
        <v>15364.513</v>
      </c>
      <c r="J32" s="17">
        <v>1064.03</v>
      </c>
      <c r="K32" s="19">
        <f t="shared" si="2"/>
        <v>1064.03</v>
      </c>
      <c r="M32" s="60"/>
      <c r="N32" s="61"/>
      <c r="O32" s="54"/>
      <c r="Q32" s="17"/>
      <c r="R32" s="17"/>
      <c r="S32" s="17"/>
      <c r="T32" s="17"/>
      <c r="U32" s="17"/>
      <c r="V32" s="17"/>
      <c r="W32" s="17"/>
      <c r="X32" s="17"/>
      <c r="Y32" s="17"/>
    </row>
    <row r="33" spans="1:25" ht="12.75" customHeight="1">
      <c r="A33" s="53"/>
      <c r="B33" s="16"/>
      <c r="C33" s="17"/>
      <c r="D33" s="17"/>
      <c r="E33" s="17"/>
      <c r="F33" s="17"/>
      <c r="G33" s="17"/>
      <c r="H33" s="17"/>
      <c r="I33" s="18"/>
      <c r="J33" s="17"/>
      <c r="K33" s="19"/>
      <c r="M33" s="60"/>
      <c r="N33" s="61"/>
      <c r="O33" s="54"/>
      <c r="Q33" s="17"/>
      <c r="R33" s="17"/>
      <c r="S33" s="17"/>
      <c r="T33" s="17"/>
      <c r="U33" s="17"/>
      <c r="V33" s="17"/>
      <c r="W33" s="17"/>
      <c r="X33" s="17">
        <f>I33+K33+T33+U33+V33+W33</f>
        <v>0</v>
      </c>
      <c r="Y33" s="17">
        <f>+I33-SUM(Q33:S33)</f>
        <v>0</v>
      </c>
    </row>
    <row r="34" spans="1:25" ht="12.75" customHeight="1">
      <c r="A34" s="62"/>
      <c r="B34" s="63"/>
      <c r="C34" s="64"/>
      <c r="D34" s="64"/>
      <c r="E34" s="64"/>
      <c r="F34" s="64"/>
      <c r="G34" s="64"/>
      <c r="H34" s="64"/>
      <c r="I34" s="65"/>
      <c r="J34" s="64"/>
      <c r="K34" s="66"/>
      <c r="M34" s="60"/>
      <c r="N34" s="61"/>
      <c r="O34" s="54"/>
      <c r="Q34" s="67">
        <v>0.11</v>
      </c>
      <c r="R34" s="67">
        <v>0.05</v>
      </c>
      <c r="S34" s="68">
        <v>0.045</v>
      </c>
      <c r="T34" s="69">
        <v>0.16</v>
      </c>
      <c r="U34" s="70">
        <v>0</v>
      </c>
      <c r="V34" s="71">
        <v>0</v>
      </c>
      <c r="W34" s="71">
        <v>0.035</v>
      </c>
      <c r="X34" s="17" t="s">
        <v>574</v>
      </c>
      <c r="Y34" s="17"/>
    </row>
    <row r="35" spans="1:25" ht="12.75" customHeight="1">
      <c r="A35" s="53" t="s">
        <v>575</v>
      </c>
      <c r="B35" s="16" t="s">
        <v>576</v>
      </c>
      <c r="C35" s="17">
        <v>51328.46</v>
      </c>
      <c r="D35" s="17">
        <v>0</v>
      </c>
      <c r="E35" s="17">
        <v>574.89</v>
      </c>
      <c r="F35" s="17">
        <v>4043.48</v>
      </c>
      <c r="G35" s="17">
        <f>C35*0.0225*$C$2</f>
        <v>0</v>
      </c>
      <c r="H35" s="17">
        <v>0</v>
      </c>
      <c r="I35" s="18">
        <f aca="true" t="shared" si="12" ref="I35:I47">SUM(C35:H35)</f>
        <v>55946.83</v>
      </c>
      <c r="J35" s="17">
        <v>0</v>
      </c>
      <c r="K35" s="17">
        <f>SUM(J35)</f>
        <v>0</v>
      </c>
      <c r="L35" s="72" t="s">
        <v>577</v>
      </c>
      <c r="Q35" s="17">
        <f>I35*$Q$5</f>
        <v>7552.822050000001</v>
      </c>
      <c r="R35" s="17">
        <f>I35*$R$5</f>
        <v>1398.6707500000002</v>
      </c>
      <c r="S35" s="17">
        <f aca="true" t="shared" si="13" ref="S35:S47">I35*$S$5</f>
        <v>2517.6073499999998</v>
      </c>
      <c r="T35" s="17">
        <f aca="true" t="shared" si="14" ref="T35:T47">I35*$T$34</f>
        <v>8951.4928</v>
      </c>
      <c r="U35" s="17">
        <f aca="true" t="shared" si="15" ref="U35:U47">I35*$U$34</f>
        <v>0</v>
      </c>
      <c r="V35" s="17">
        <f aca="true" t="shared" si="16" ref="V35:V47">I35*$V$34</f>
        <v>0</v>
      </c>
      <c r="W35" s="17">
        <f aca="true" t="shared" si="17" ref="W35:W47">I35*$W$34</f>
        <v>1958.1390500000002</v>
      </c>
      <c r="X35" s="17">
        <f aca="true" t="shared" si="18" ref="X35:X47">I35+K35+T35+U35+V35+W35</f>
        <v>66856.46185</v>
      </c>
      <c r="Y35" s="17">
        <f aca="true" t="shared" si="19" ref="Y35:Y47">+I35-SUM(Q35:S35)</f>
        <v>44477.72985</v>
      </c>
    </row>
    <row r="36" spans="1:25" ht="12.75" customHeight="1">
      <c r="A36" s="53" t="s">
        <v>578</v>
      </c>
      <c r="B36" s="16" t="s">
        <v>579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8">
        <f t="shared" si="12"/>
        <v>0</v>
      </c>
      <c r="J36" s="17">
        <v>0</v>
      </c>
      <c r="K36" s="17">
        <f>SUM(J36)</f>
        <v>0</v>
      </c>
      <c r="L36" s="72" t="s">
        <v>580</v>
      </c>
      <c r="M36" s="16" t="s">
        <v>581</v>
      </c>
      <c r="N36" s="54">
        <v>5314.29</v>
      </c>
      <c r="O36" s="54">
        <v>3542.86</v>
      </c>
      <c r="Q36" s="17">
        <f>I36*$Q$5</f>
        <v>0</v>
      </c>
      <c r="R36" s="17">
        <f>I36*$R$5</f>
        <v>0</v>
      </c>
      <c r="S36" s="17">
        <f t="shared" si="13"/>
        <v>0</v>
      </c>
      <c r="T36" s="17">
        <f t="shared" si="14"/>
        <v>0</v>
      </c>
      <c r="U36" s="17">
        <f t="shared" si="15"/>
        <v>0</v>
      </c>
      <c r="V36" s="17">
        <f t="shared" si="16"/>
        <v>0</v>
      </c>
      <c r="W36" s="17">
        <f t="shared" si="17"/>
        <v>0</v>
      </c>
      <c r="X36" s="17">
        <f t="shared" si="18"/>
        <v>0</v>
      </c>
      <c r="Y36" s="17">
        <f t="shared" si="19"/>
        <v>0</v>
      </c>
    </row>
    <row r="37" spans="1:25" ht="12.75" customHeight="1">
      <c r="A37" s="53" t="s">
        <v>582</v>
      </c>
      <c r="B37" s="16" t="s">
        <v>583</v>
      </c>
      <c r="C37" s="17">
        <v>140966.51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8">
        <f t="shared" si="12"/>
        <v>140966.51</v>
      </c>
      <c r="J37" s="17">
        <v>0</v>
      </c>
      <c r="K37" s="17">
        <f>SUM(J37)</f>
        <v>0</v>
      </c>
      <c r="L37" s="72" t="s">
        <v>584</v>
      </c>
      <c r="M37" s="16" t="s">
        <v>585</v>
      </c>
      <c r="N37" s="54">
        <v>10628.58</v>
      </c>
      <c r="O37" s="54">
        <v>7085.72</v>
      </c>
      <c r="Q37" s="17">
        <f>I37*0.088</f>
        <v>12405.05288</v>
      </c>
      <c r="R37" s="17">
        <f>I37*0.07203875</f>
        <v>10155.0511722625</v>
      </c>
      <c r="S37" s="17">
        <f t="shared" si="13"/>
        <v>6343.49295</v>
      </c>
      <c r="T37" s="17">
        <f t="shared" si="14"/>
        <v>22554.641600000003</v>
      </c>
      <c r="U37" s="17">
        <f t="shared" si="15"/>
        <v>0</v>
      </c>
      <c r="V37" s="17">
        <f t="shared" si="16"/>
        <v>0</v>
      </c>
      <c r="W37" s="17">
        <f t="shared" si="17"/>
        <v>4933.827850000001</v>
      </c>
      <c r="X37" s="17">
        <f t="shared" si="18"/>
        <v>168454.97945</v>
      </c>
      <c r="Y37" s="17">
        <f t="shared" si="19"/>
        <v>112062.91299773751</v>
      </c>
    </row>
    <row r="38" spans="1:25" ht="12.75" customHeight="1">
      <c r="A38" s="53" t="s">
        <v>586</v>
      </c>
      <c r="B38" s="16" t="s">
        <v>587</v>
      </c>
      <c r="C38" s="17">
        <v>122846.6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8">
        <f t="shared" si="12"/>
        <v>122846.6</v>
      </c>
      <c r="J38" s="17"/>
      <c r="K38" s="17"/>
      <c r="L38" s="72"/>
      <c r="Q38" s="17">
        <f>I38*0.0826645</f>
        <v>10155.0527657</v>
      </c>
      <c r="R38" s="17">
        <f>I38*0.0773355</f>
        <v>9500.4032343</v>
      </c>
      <c r="S38" s="17">
        <f t="shared" si="13"/>
        <v>5528.097</v>
      </c>
      <c r="T38" s="17">
        <f t="shared" si="14"/>
        <v>19655.456000000002</v>
      </c>
      <c r="U38" s="17">
        <f t="shared" si="15"/>
        <v>0</v>
      </c>
      <c r="V38" s="17">
        <f t="shared" si="16"/>
        <v>0</v>
      </c>
      <c r="W38" s="17">
        <f t="shared" si="17"/>
        <v>4299.631</v>
      </c>
      <c r="X38" s="17">
        <f t="shared" si="18"/>
        <v>146801.687</v>
      </c>
      <c r="Y38" s="17">
        <f t="shared" si="19"/>
        <v>97663.047</v>
      </c>
    </row>
    <row r="39" spans="1:25" ht="12.75" customHeight="1">
      <c r="A39" s="53" t="s">
        <v>588</v>
      </c>
      <c r="B39" s="16" t="s">
        <v>589</v>
      </c>
      <c r="C39" s="17">
        <v>91295.03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8">
        <f t="shared" si="12"/>
        <v>91295.03</v>
      </c>
      <c r="J39" s="17">
        <v>0</v>
      </c>
      <c r="K39" s="17">
        <f aca="true" t="shared" si="20" ref="K39:K47">SUM(J39)</f>
        <v>0</v>
      </c>
      <c r="L39" s="72" t="s">
        <v>577</v>
      </c>
      <c r="Q39" s="17">
        <f>I39*$Q$34</f>
        <v>10042.4533</v>
      </c>
      <c r="R39" s="17">
        <f>I39*$R$34</f>
        <v>4564.7515</v>
      </c>
      <c r="S39" s="17">
        <f t="shared" si="13"/>
        <v>4108.27635</v>
      </c>
      <c r="T39" s="17">
        <f t="shared" si="14"/>
        <v>14607.2048</v>
      </c>
      <c r="U39" s="17">
        <f t="shared" si="15"/>
        <v>0</v>
      </c>
      <c r="V39" s="17">
        <f t="shared" si="16"/>
        <v>0</v>
      </c>
      <c r="W39" s="17">
        <f t="shared" si="17"/>
        <v>3195.32605</v>
      </c>
      <c r="X39" s="17">
        <f t="shared" si="18"/>
        <v>109097.56085000001</v>
      </c>
      <c r="Y39" s="17">
        <f t="shared" si="19"/>
        <v>72579.54884999999</v>
      </c>
    </row>
    <row r="40" spans="1:25" ht="12.75" customHeight="1">
      <c r="A40" s="53" t="s">
        <v>590</v>
      </c>
      <c r="B40" s="16" t="s">
        <v>591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8">
        <f t="shared" si="12"/>
        <v>0</v>
      </c>
      <c r="J40" s="17">
        <v>0</v>
      </c>
      <c r="K40" s="17">
        <f t="shared" si="20"/>
        <v>0</v>
      </c>
      <c r="L40" s="72" t="s">
        <v>577</v>
      </c>
      <c r="Q40" s="17">
        <f>I40*$Q$5</f>
        <v>0</v>
      </c>
      <c r="R40" s="17">
        <f>I40*$R$5</f>
        <v>0</v>
      </c>
      <c r="S40" s="17">
        <f t="shared" si="13"/>
        <v>0</v>
      </c>
      <c r="T40" s="17">
        <f t="shared" si="14"/>
        <v>0</v>
      </c>
      <c r="U40" s="17">
        <f t="shared" si="15"/>
        <v>0</v>
      </c>
      <c r="V40" s="17">
        <f t="shared" si="16"/>
        <v>0</v>
      </c>
      <c r="W40" s="17">
        <f t="shared" si="17"/>
        <v>0</v>
      </c>
      <c r="X40" s="17">
        <f t="shared" si="18"/>
        <v>0</v>
      </c>
      <c r="Y40" s="17">
        <f t="shared" si="19"/>
        <v>0</v>
      </c>
    </row>
    <row r="41" spans="1:25" ht="12.75">
      <c r="A41" s="53" t="s">
        <v>592</v>
      </c>
      <c r="B41" s="16" t="s">
        <v>593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8">
        <f t="shared" si="12"/>
        <v>0</v>
      </c>
      <c r="J41" s="17">
        <v>0</v>
      </c>
      <c r="K41" s="17">
        <f t="shared" si="20"/>
        <v>0</v>
      </c>
      <c r="L41" s="72" t="s">
        <v>577</v>
      </c>
      <c r="Q41" s="17">
        <f>I41*$Q$5</f>
        <v>0</v>
      </c>
      <c r="R41" s="17">
        <f>I41*$R$5</f>
        <v>0</v>
      </c>
      <c r="S41" s="17">
        <f t="shared" si="13"/>
        <v>0</v>
      </c>
      <c r="T41" s="17">
        <f t="shared" si="14"/>
        <v>0</v>
      </c>
      <c r="U41" s="17">
        <f t="shared" si="15"/>
        <v>0</v>
      </c>
      <c r="V41" s="17">
        <f t="shared" si="16"/>
        <v>0</v>
      </c>
      <c r="W41" s="17">
        <f t="shared" si="17"/>
        <v>0</v>
      </c>
      <c r="X41" s="17">
        <f t="shared" si="18"/>
        <v>0</v>
      </c>
      <c r="Y41" s="17">
        <f t="shared" si="19"/>
        <v>0</v>
      </c>
    </row>
    <row r="42" spans="1:25" ht="12.75">
      <c r="A42" s="53" t="s">
        <v>594</v>
      </c>
      <c r="B42" s="16" t="s">
        <v>595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8">
        <f t="shared" si="12"/>
        <v>0</v>
      </c>
      <c r="J42" s="17">
        <v>0</v>
      </c>
      <c r="K42" s="17">
        <f t="shared" si="20"/>
        <v>0</v>
      </c>
      <c r="L42" s="72" t="s">
        <v>577</v>
      </c>
      <c r="Q42" s="17">
        <f>I42*$Q$5</f>
        <v>0</v>
      </c>
      <c r="R42" s="17">
        <f>I42*$R$5</f>
        <v>0</v>
      </c>
      <c r="S42" s="17">
        <f t="shared" si="13"/>
        <v>0</v>
      </c>
      <c r="T42" s="17">
        <f t="shared" si="14"/>
        <v>0</v>
      </c>
      <c r="U42" s="17">
        <f t="shared" si="15"/>
        <v>0</v>
      </c>
      <c r="V42" s="17">
        <f t="shared" si="16"/>
        <v>0</v>
      </c>
      <c r="W42" s="17">
        <f t="shared" si="17"/>
        <v>0</v>
      </c>
      <c r="X42" s="17">
        <f t="shared" si="18"/>
        <v>0</v>
      </c>
      <c r="Y42" s="17">
        <f t="shared" si="19"/>
        <v>0</v>
      </c>
    </row>
    <row r="43" spans="1:25" ht="12.75">
      <c r="A43" s="53" t="s">
        <v>596</v>
      </c>
      <c r="B43" s="16" t="s">
        <v>597</v>
      </c>
      <c r="C43" s="17">
        <v>51328.46</v>
      </c>
      <c r="D43" s="17">
        <v>0</v>
      </c>
      <c r="E43" s="17">
        <v>574.89</v>
      </c>
      <c r="F43" s="17">
        <v>4043.48</v>
      </c>
      <c r="G43" s="17">
        <f>C43*0.0225*$C$2</f>
        <v>0</v>
      </c>
      <c r="H43" s="17">
        <v>0</v>
      </c>
      <c r="I43" s="18">
        <f t="shared" si="12"/>
        <v>55946.83</v>
      </c>
      <c r="J43" s="17">
        <v>0</v>
      </c>
      <c r="K43" s="17">
        <f t="shared" si="20"/>
        <v>0</v>
      </c>
      <c r="L43" s="72"/>
      <c r="Q43" s="17">
        <f>I43*$Q$34</f>
        <v>6154.1513</v>
      </c>
      <c r="R43" s="17">
        <f>I43*$R$34</f>
        <v>2797.3415000000005</v>
      </c>
      <c r="S43" s="17">
        <f t="shared" si="13"/>
        <v>2517.6073499999998</v>
      </c>
      <c r="T43" s="17">
        <f t="shared" si="14"/>
        <v>8951.4928</v>
      </c>
      <c r="U43" s="17">
        <f t="shared" si="15"/>
        <v>0</v>
      </c>
      <c r="V43" s="17">
        <f t="shared" si="16"/>
        <v>0</v>
      </c>
      <c r="W43" s="17">
        <f t="shared" si="17"/>
        <v>1958.1390500000002</v>
      </c>
      <c r="X43" s="17">
        <f t="shared" si="18"/>
        <v>66856.46185</v>
      </c>
      <c r="Y43" s="17">
        <f t="shared" si="19"/>
        <v>44477.72985</v>
      </c>
    </row>
    <row r="44" spans="1:25" ht="12.75" customHeight="1">
      <c r="A44" s="53" t="s">
        <v>598</v>
      </c>
      <c r="B44" s="16" t="s">
        <v>599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8">
        <f t="shared" si="12"/>
        <v>0</v>
      </c>
      <c r="J44" s="17">
        <v>0</v>
      </c>
      <c r="K44" s="17">
        <f t="shared" si="20"/>
        <v>0</v>
      </c>
      <c r="L44" s="72" t="s">
        <v>580</v>
      </c>
      <c r="Q44" s="17">
        <f>I44*$Q$5</f>
        <v>0</v>
      </c>
      <c r="R44" s="17">
        <f>I44*$R$5</f>
        <v>0</v>
      </c>
      <c r="S44" s="17">
        <f t="shared" si="13"/>
        <v>0</v>
      </c>
      <c r="T44" s="17">
        <f t="shared" si="14"/>
        <v>0</v>
      </c>
      <c r="U44" s="17">
        <f t="shared" si="15"/>
        <v>0</v>
      </c>
      <c r="V44" s="17">
        <f t="shared" si="16"/>
        <v>0</v>
      </c>
      <c r="W44" s="17">
        <f t="shared" si="17"/>
        <v>0</v>
      </c>
      <c r="X44" s="17">
        <f t="shared" si="18"/>
        <v>0</v>
      </c>
      <c r="Y44" s="17">
        <f t="shared" si="19"/>
        <v>0</v>
      </c>
    </row>
    <row r="45" spans="1:25" ht="12.75" customHeight="1">
      <c r="A45" s="53" t="s">
        <v>600</v>
      </c>
      <c r="B45" s="16" t="s">
        <v>601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8">
        <f t="shared" si="12"/>
        <v>0</v>
      </c>
      <c r="J45" s="17">
        <v>0</v>
      </c>
      <c r="K45" s="17">
        <f t="shared" si="20"/>
        <v>0</v>
      </c>
      <c r="L45" s="72" t="s">
        <v>580</v>
      </c>
      <c r="Q45" s="17">
        <f>I45*$Q$5</f>
        <v>0</v>
      </c>
      <c r="R45" s="17">
        <f>I45*$R$5</f>
        <v>0</v>
      </c>
      <c r="S45" s="17">
        <f t="shared" si="13"/>
        <v>0</v>
      </c>
      <c r="T45" s="17">
        <f t="shared" si="14"/>
        <v>0</v>
      </c>
      <c r="U45" s="17">
        <f t="shared" si="15"/>
        <v>0</v>
      </c>
      <c r="V45" s="17">
        <f t="shared" si="16"/>
        <v>0</v>
      </c>
      <c r="W45" s="17">
        <f t="shared" si="17"/>
        <v>0</v>
      </c>
      <c r="X45" s="17">
        <f t="shared" si="18"/>
        <v>0</v>
      </c>
      <c r="Y45" s="17">
        <f t="shared" si="19"/>
        <v>0</v>
      </c>
    </row>
    <row r="46" spans="1:25" ht="12.75" customHeight="1">
      <c r="A46" s="53" t="s">
        <v>602</v>
      </c>
      <c r="B46" s="16" t="s">
        <v>603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8">
        <f t="shared" si="12"/>
        <v>0</v>
      </c>
      <c r="J46" s="17">
        <v>0</v>
      </c>
      <c r="K46" s="17">
        <f t="shared" si="20"/>
        <v>0</v>
      </c>
      <c r="L46" s="72" t="s">
        <v>580</v>
      </c>
      <c r="Q46" s="17">
        <f>I46*$Q$5</f>
        <v>0</v>
      </c>
      <c r="R46" s="17">
        <f>I46*$R$5</f>
        <v>0</v>
      </c>
      <c r="S46" s="17">
        <f t="shared" si="13"/>
        <v>0</v>
      </c>
      <c r="T46" s="17">
        <f t="shared" si="14"/>
        <v>0</v>
      </c>
      <c r="U46" s="17">
        <f t="shared" si="15"/>
        <v>0</v>
      </c>
      <c r="V46" s="17">
        <f t="shared" si="16"/>
        <v>0</v>
      </c>
      <c r="W46" s="17">
        <f t="shared" si="17"/>
        <v>0</v>
      </c>
      <c r="X46" s="17">
        <f t="shared" si="18"/>
        <v>0</v>
      </c>
      <c r="Y46" s="17">
        <f t="shared" si="19"/>
        <v>0</v>
      </c>
    </row>
    <row r="47" spans="1:25" ht="12.75" customHeight="1">
      <c r="A47" s="53" t="s">
        <v>604</v>
      </c>
      <c r="B47" s="16" t="s">
        <v>605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8">
        <f t="shared" si="12"/>
        <v>0</v>
      </c>
      <c r="J47" s="17">
        <v>0</v>
      </c>
      <c r="K47" s="17">
        <f t="shared" si="20"/>
        <v>0</v>
      </c>
      <c r="L47" s="72" t="s">
        <v>580</v>
      </c>
      <c r="Q47" s="17">
        <f>I47*$Q$5</f>
        <v>0</v>
      </c>
      <c r="R47" s="17">
        <f>I47*$R$5</f>
        <v>0</v>
      </c>
      <c r="S47" s="17">
        <f t="shared" si="13"/>
        <v>0</v>
      </c>
      <c r="T47" s="17">
        <f t="shared" si="14"/>
        <v>0</v>
      </c>
      <c r="U47" s="17">
        <f t="shared" si="15"/>
        <v>0</v>
      </c>
      <c r="V47" s="17">
        <f t="shared" si="16"/>
        <v>0</v>
      </c>
      <c r="W47" s="17">
        <f t="shared" si="17"/>
        <v>0</v>
      </c>
      <c r="X47" s="17">
        <f t="shared" si="18"/>
        <v>0</v>
      </c>
      <c r="Y47" s="17">
        <f t="shared" si="19"/>
        <v>0</v>
      </c>
    </row>
  </sheetData>
  <autoFilter ref="A5:K37"/>
  <mergeCells count="4">
    <mergeCell ref="A1:J1"/>
    <mergeCell ref="A2:B2"/>
    <mergeCell ref="Q3:S3"/>
    <mergeCell ref="T3:W3"/>
  </mergeCells>
  <printOptions/>
  <pageMargins left="1" right="1" top="1" bottom="1" header="0.511805555555555" footer="0.51180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pccasa</dc:creator>
  <cp:keywords/>
  <dc:description/>
  <cp:lastModifiedBy>Usuario</cp:lastModifiedBy>
  <cp:lastPrinted>2023-10-29T22:53:58Z</cp:lastPrinted>
  <dcterms:created xsi:type="dcterms:W3CDTF">2005-08-10T23:49:01Z</dcterms:created>
  <dcterms:modified xsi:type="dcterms:W3CDTF">2023-10-31T23:21:18Z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casa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WorkbookGuid">
    <vt:lpwstr>a6233bce-2774-4ad5-a7b4-2ab968ab89b0</vt:lpwstr>
  </property>
</Properties>
</file>