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34200" windowWidth="20490" windowHeight="7620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Docente'!$A$7:$BI$326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'Valores'!$A$1:$J$103</definedName>
    <definedName name="_xlnm.Print_Area" localSheetId="1">'Escala Docente'!$A$1:$AM$326</definedName>
    <definedName name="_xlnm.Print_Area" localSheetId="4">'UPC'!$A$2:$J$37</definedName>
    <definedName name="_xlnm.Print_Area" localSheetId="0">'Valores'!$A$1:$G$90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<sst xmlns="http://schemas.openxmlformats.org/spreadsheetml/2006/main" count="1634" uniqueCount="840">
  <si>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</si>
  <si>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</si>
  <si>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</si>
  <si>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</si>
  <si>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</si>
  <si>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</si>
  <si>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</si>
  <si>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</si>
  <si>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</si>
  <si>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</si>
  <si>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</si>
  <si>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</si>
  <si>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</si>
  <si>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</si>
  <si>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</si>
  <si>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</si>
  <si>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</si>
  <si>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</si>
  <si>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</si>
  <si>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</si>
  <si>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</si>
  <si>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</si>
  <si>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</si>
  <si>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</si>
  <si>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</si>
  <si>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</si>
  <si>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</si>
  <si>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</si>
  <si>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</si>
  <si>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</si>
  <si>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</si>
  <si>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</si>
  <si>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</si>
  <si>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</si>
  <si>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</si>
  <si>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</si>
  <si>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</si>
  <si>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</si>
  <si>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</si>
  <si>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</si>
  <si>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</si>
  <si>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</si>
  <si>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</si>
  <si>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</si>
  <si>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</si>
  <si>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</si>
  <si>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</si>
  <si>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</si>
  <si>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</si>
  <si>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</si>
  <si>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</si>
  <si>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</si>
  <si>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</si>
  <si>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</si>
  <si>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</si>
  <si>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</si>
  <si>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</si>
  <si>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</si>
  <si>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</si>
  <si>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</si>
  <si>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</si>
  <si>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</si>
  <si>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</si>
  <si>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</si>
  <si>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</si>
  <si>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</si>
  <si>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</si>
  <si>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</si>
  <si>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</si>
  <si>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</si>
  <si>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</si>
  <si>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</si>
  <si>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</si>
  <si>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</si>
  <si>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</si>
  <si>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</si>
  <si>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</si>
  <si>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</si>
  <si>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</si>
  <si>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</si>
  <si>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</si>
  <si>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</si>
  <si>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</si>
  <si>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</si>
  <si>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</si>
  <si>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</si>
  <si>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</si>
  <si>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</si>
  <si>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</si>
  <si>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</si>
  <si>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</si>
  <si>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</si>
  <si>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</si>
  <si>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</si>
  <si>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</si>
  <si>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</si>
  <si>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</si>
  <si>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</si>
  <si>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</si>
  <si>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</si>
  <si>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</si>
  <si>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</si>
  <si>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</si>
  <si>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</si>
  <si>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</si>
  <si>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</si>
  <si>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</si>
  <si>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</si>
  <si>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</si>
  <si>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</si>
  <si>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</si>
  <si>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</si>
  <si>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</si>
  <si>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</si>
  <si>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</si>
  <si>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</si>
  <si>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</si>
  <si>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</si>
  <si>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</si>
  <si>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</si>
  <si>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</si>
  <si>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</si>
  <si>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</si>
  <si>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</si>
  <si>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</si>
  <si>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</si>
  <si>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</si>
  <si>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</si>
  <si>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</si>
  <si>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</si>
  <si>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</si>
  <si>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</si>
  <si>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</si>
  <si>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</si>
  <si>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</si>
  <si>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</si>
  <si>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</si>
  <si>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</si>
  <si>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</si>
  <si>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</si>
  <si>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</si>
  <si>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</si>
  <si>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</si>
  <si>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</si>
  <si>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</si>
  <si>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</si>
  <si>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</si>
  <si>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</si>
  <si>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</si>
  <si>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</si>
  <si>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</si>
  <si>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</si>
  <si>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</si>
  <si>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</si>
  <si>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</si>
  <si>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</si>
  <si>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</si>
  <si>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</si>
  <si>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</si>
  <si>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</si>
  <si>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</si>
  <si>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</si>
  <si>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</si>
  <si>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</si>
  <si>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</si>
  <si>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</si>
  <si>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</si>
  <si>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</si>
  <si>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</si>
  <si>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</si>
  <si>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</si>
  <si>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</si>
  <si>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</si>
  <si>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</si>
  <si>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</si>
  <si>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</si>
  <si>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</si>
  <si>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</si>
  <si>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</si>
  <si>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</si>
  <si>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</si>
  <si>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</si>
  <si>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</si>
  <si>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</si>
  <si>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</si>
  <si>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</si>
  <si>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</si>
  <si>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</si>
  <si>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</si>
  <si>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</si>
  <si>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</si>
  <si>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</si>
  <si>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</si>
  <si>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</si>
  <si>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</si>
  <si>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</si>
  <si>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</si>
  <si>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</si>
  <si>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</si>
  <si>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</si>
  <si>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</si>
  <si>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</si>
  <si>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</si>
  <si>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</si>
  <si>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</si>
  <si>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</si>
  <si>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</si>
  <si>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</si>
  <si>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</si>
  <si>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</si>
  <si>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</si>
  <si>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</si>
  <si>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</si>
  <si>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</si>
  <si>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</si>
  <si>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</si>
  <si>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</si>
  <si>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</si>
  <si>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</si>
  <si>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</si>
  <si>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</si>
  <si>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</si>
  <si>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</si>
  <si>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</si>
  <si>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</si>
  <si>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</si>
  <si>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</si>
  <si>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</si>
  <si>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</si>
  <si>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</si>
  <si>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</si>
  <si>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</si>
  <si>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</si>
  <si>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</si>
  <si>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</si>
  <si>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</si>
  <si>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</si>
  <si>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</si>
  <si>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</si>
  <si>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</si>
  <si>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</si>
  <si>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</si>
  <si>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</si>
  <si>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</si>
  <si>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</si>
  <si>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</si>
  <si>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</si>
  <si>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</si>
  <si>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</si>
  <si>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</si>
  <si>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</si>
  <si>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</si>
  <si>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</si>
  <si>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</si>
  <si>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</si>
  <si>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</si>
  <si>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</si>
  <si>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</si>
  <si>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</si>
  <si>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</si>
  <si>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</si>
  <si>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</si>
  <si>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</si>
  <si>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</si>
  <si>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</si>
  <si>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</si>
  <si>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</si>
  <si>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</si>
  <si>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</si>
  <si>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</si>
  <si>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</si>
  <si>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</si>
  <si>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</si>
  <si>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</si>
  <si>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</si>
  <si>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</si>
  <si>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</si>
  <si>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</si>
  <si>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</si>
  <si>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</si>
  <si>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</si>
  <si>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</si>
  <si>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</si>
  <si>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</si>
  <si>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</si>
  <si>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</si>
  <si>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</si>
  <si>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</si>
  <si>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</si>
  <si>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</si>
  <si>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</si>
  <si>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</si>
  <si>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</si>
  <si>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</si>
  <si>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</si>
  <si>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</si>
  <si>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</si>
  <si>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</si>
  <si>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</si>
  <si>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</si>
  <si>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</si>
  <si>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</si>
  <si>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</si>
  <si>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</si>
  <si>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</si>
  <si>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</si>
  <si>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</si>
  <si>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</si>
  <si>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</si>
  <si>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</si>
  <si>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</si>
  <si>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</si>
  <si>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</si>
  <si>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</si>
  <si>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</si>
  <si>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</si>
  <si>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</si>
  <si>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</si>
  <si>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</si>
  <si>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</si>
  <si>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</si>
  <si>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</si>
  <si>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</si>
  <si>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</si>
  <si>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</si>
  <si>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</si>
  <si>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</si>
  <si>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</si>
  <si>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</si>
  <si>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</si>
  <si>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</si>
  <si>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</si>
  <si>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</si>
  <si>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</si>
  <si>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</si>
  <si>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</si>
  <si>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</si>
  <si>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</si>
  <si>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</si>
  <si>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</si>
  <si>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</si>
  <si>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</si>
  <si>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</si>
  <si>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</si>
  <si>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</si>
  <si>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</si>
  <si>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</si>
  <si>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</si>
  <si>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</si>
  <si>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</si>
  <si>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</si>
  <si>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</si>
  <si>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</si>
  <si>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</si>
  <si>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</si>
  <si>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</si>
  <si>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</si>
  <si>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</si>
  <si>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</si>
  <si>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</si>
  <si>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</si>
  <si>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</si>
  <si>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</si>
  <si>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</si>
  <si>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</si>
  <si>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</si>
  <si>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</si>
  <si>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</si>
  <si>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</si>
  <si>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</si>
  <si>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</si>
  <si>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</si>
  <si>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</si>
  <si>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</si>
  <si>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</si>
  <si>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</si>
  <si>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</si>
  <si>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</si>
  <si>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</si>
  <si>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</si>
  <si>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</si>
  <si>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</si>
  <si>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</si>
  <si>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</si>
  <si>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</si>
  <si>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</si>
  <si>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</si>
  <si>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</si>
  <si>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</si>
  <si>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</si>
  <si>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</si>
  <si>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</si>
  <si>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</si>
  <si>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</si>
  <si>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</si>
  <si>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</si>
  <si>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</si>
  <si>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</si>
  <si>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</si>
  <si>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</si>
  <si>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</si>
  <si>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</si>
  <si>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</si>
  <si>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</si>
  <si>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</si>
  <si>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</si>
  <si>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</si>
  <si>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</si>
  <si>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</si>
  <si>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</si>
  <si>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</si>
  <si>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</si>
  <si>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</si>
  <si>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</si>
  <si>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</si>
  <si>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</si>
  <si>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</si>
  <si>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</si>
  <si>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</si>
  <si>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</si>
  <si>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</si>
  <si>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</si>
  <si>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</si>
  <si>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</si>
  <si>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</si>
  <si>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</si>
  <si>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</si>
  <si>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</si>
  <si>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</si>
  <si>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</si>
  <si>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</si>
  <si>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</si>
  <si>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</si>
  <si>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</si>
  <si>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</si>
  <si>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</si>
  <si>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</si>
  <si>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</si>
  <si>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</si>
  <si>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</si>
  <si>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</si>
  <si>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</si>
  <si>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</si>
  <si>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</si>
  <si>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</si>
  <si>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</si>
  <si>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</si>
  <si>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</si>
  <si>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</si>
  <si>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</si>
  <si>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</si>
  <si>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</si>
  <si>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</si>
  <si>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</si>
  <si>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</si>
  <si>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</si>
  <si>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</si>
  <si>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</si>
  <si>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</si>
  <si>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</si>
  <si>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</si>
  <si>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</si>
  <si>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</si>
  <si>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</si>
  <si>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</si>
  <si>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</si>
  <si>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</si>
  <si>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</si>
  <si>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</si>
  <si>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</si>
  <si>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</si>
  <si>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</si>
  <si>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</si>
  <si>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</si>
  <si>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</si>
  <si>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</si>
  <si>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</si>
  <si>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</si>
  <si>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</si>
  <si>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</si>
  <si>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</si>
  <si>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</si>
  <si>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</si>
  <si>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</si>
  <si>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</si>
  <si>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</si>
  <si>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</si>
  <si>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</si>
  <si>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</si>
  <si>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</si>
  <si>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</si>
  <si>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</si>
  <si>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</si>
  <si>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</si>
  <si>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</si>
  <si>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</si>
  <si>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</si>
  <si>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</si>
  <si>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</si>
  <si>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</si>
  <si>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</si>
  <si>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</si>
  <si>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</si>
  <si>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</si>
  <si>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</si>
  <si>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</si>
  <si>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</si>
  <si>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</si>
  <si>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</si>
  <si>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</si>
  <si>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</si>
  <si>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</si>
  <si>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</si>
  <si>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</si>
  <si>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</si>
  <si>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</si>
  <si>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</si>
  <si>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</si>
  <si>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</si>
  <si>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</si>
  <si>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</si>
  <si>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</si>
  <si>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</si>
  <si>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</si>
  <si>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</si>
  <si>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</si>
  <si>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</si>
  <si>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</si>
  <si>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</si>
  <si>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</si>
  <si>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</si>
  <si>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</si>
  <si>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</si>
  <si>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</si>
  <si>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</si>
  <si>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</si>
  <si>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</si>
  <si>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</si>
  <si>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</si>
  <si>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</si>
  <si>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</si>
  <si>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</si>
  <si>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</si>
  <si>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</si>
  <si>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</si>
  <si>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</si>
  <si>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</si>
  <si>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</si>
  <si>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</si>
  <si>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</si>
  <si>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</si>
  <si>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</si>
  <si>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</si>
  <si>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</si>
  <si>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</si>
  <si>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</si>
  <si>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</si>
  <si>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</si>
  <si>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</si>
  <si>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</si>
  <si>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</si>
  <si>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</si>
  <si>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</si>
  <si>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</si>
  <si>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</si>
  <si>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</si>
  <si>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</si>
  <si>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</si>
  <si>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</si>
  <si>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</si>
  <si>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</si>
  <si>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</si>
  <si>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</si>
  <si>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</si>
  <si>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</si>
  <si>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</si>
  <si>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</si>
  <si>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</si>
  <si>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</si>
  <si>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</si>
  <si>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</si>
  <si>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</si>
  <si>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</si>
  <si>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</si>
  <si>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</si>
  <si>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</si>
  <si>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</si>
  <si>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</si>
  <si>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</si>
  <si>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</si>
  <si>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</si>
  <si>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</si>
  <si>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</si>
  <si>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</si>
  <si>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</si>
  <si>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</si>
  <si>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</si>
  <si>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</si>
  <si>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</si>
  <si>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</si>
  <si>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</si>
  <si>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</si>
  <si>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</si>
  <si>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</si>
  <si>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</si>
  <si>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</si>
  <si>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</si>
  <si>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</si>
  <si>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</si>
  <si>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</si>
  <si>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</si>
  <si>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</si>
  <si>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</si>
  <si>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</si>
  <si>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</si>
  <si>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</si>
  <si>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</si>
  <si>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</si>
  <si>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</si>
  <si>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</si>
  <si>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</si>
  <si>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</si>
  <si>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</si>
  <si>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</si>
  <si>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</si>
  <si>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</si>
  <si>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</si>
  <si>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</si>
  <si>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</si>
  <si>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</si>
  <si>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</si>
  <si>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</si>
  <si>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</si>
  <si>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</si>
  <si>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</si>
  <si>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</si>
  <si>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</si>
  <si>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</si>
  <si>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</si>
  <si>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</si>
  <si>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</si>
  <si>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</si>
  <si>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</si>
  <si>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</si>
  <si>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</si>
  <si>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</si>
  <si>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</si>
  <si>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</si>
  <si>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</si>
  <si>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</si>
  <si>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</si>
  <si>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</si>
  <si>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</si>
  <si>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</si>
  <si>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</si>
  <si>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</si>
  <si>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</si>
  <si>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</si>
  <si>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</si>
  <si>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</si>
  <si>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</si>
  <si>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</si>
  <si>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</si>
  <si>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</si>
  <si>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</si>
  <si>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</si>
  <si>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</si>
  <si>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</si>
  <si>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</si>
  <si>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</si>
  <si>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</si>
  <si>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</si>
  <si>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</si>
  <si>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</si>
  <si>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</si>
  <si>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</si>
  <si>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</si>
  <si>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</si>
  <si>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</si>
  <si>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</si>
  <si>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</si>
  <si>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</si>
  <si>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</si>
  <si>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</si>
  <si>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</si>
  <si>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</si>
  <si>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</si>
  <si>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</si>
  <si>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</si>
  <si>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</si>
  <si>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</si>
  <si>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</si>
  <si>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</si>
  <si>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</si>
  <si>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</si>
  <si>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</si>
  <si>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</si>
  <si>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</si>
  <si>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</si>
  <si>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</si>
  <si>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</si>
  <si>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</si>
  <si>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</si>
  <si>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</si>
  <si>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</si>
  <si>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</si>
  <si>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</si>
  <si>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</si>
  <si>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</si>
  <si>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</si>
  <si>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</si>
  <si>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</si>
  <si>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</si>
  <si>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</si>
  <si>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</si>
  <si>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</si>
  <si>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</si>
  <si>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</si>
  <si>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</si>
  <si>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</si>
  <si>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</si>
  <si>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</si>
  <si>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</si>
  <si>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</si>
  <si>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</si>
  <si>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</si>
  <si>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</si>
  <si>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</si>
  <si>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</si>
  <si>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</si>
  <si>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</si>
  <si>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</si>
  <si>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</si>
  <si>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</si>
  <si>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</si>
  <si>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</si>
  <si>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</si>
  <si>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</si>
  <si>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</si>
  <si>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</si>
  <si>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</si>
  <si>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</si>
  <si>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</si>
  <si>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</si>
  <si>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</si>
  <si>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</si>
  <si>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</si>
  <si>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</si>
  <si>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</si>
  <si>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</si>
  <si>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</si>
  <si>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</si>
  <si>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</si>
  <si>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</si>
  <si>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</si>
  <si>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</si>
  <si>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</si>
  <si>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</si>
  <si>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</si>
  <si>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</si>
  <si>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</si>
  <si>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</si>
  <si>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</si>
  <si>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</si>
  <si>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</si>
  <si>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</si>
  <si>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</si>
  <si>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</si>
  <si>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</si>
  <si>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</si>
  <si>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</si>
  <si>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</si>
  <si>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</si>
  <si>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</si>
  <si>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</si>
  <si>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</si>
  <si>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</si>
  <si>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</si>
  <si>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</si>
  <si>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</si>
  <si>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</si>
  <si>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</si>
  <si>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</si>
  <si>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</si>
  <si>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</si>
  <si>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</si>
  <si>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</si>
  <si>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</si>
  <si>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</si>
  <si>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</si>
  <si>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</si>
  <si>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</si>
  <si>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</si>
  <si>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</si>
  <si>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</si>
  <si>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</si>
  <si>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</si>
  <si>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</si>
  <si>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</si>
  <si>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</si>
  <si>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</si>
  <si>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</si>
  <si>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</si>
  <si>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</si>
  <si>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</si>
  <si>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</si>
  <si>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</si>
  <si>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</si>
  <si>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</si>
  <si>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</si>
  <si>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</si>
  <si>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</si>
  <si>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Ad. Extr 13515</t>
  </si>
  <si>
    <t>"1983/2023 - 40 AÑOS DE DEMOCRACIA”</t>
  </si>
  <si>
    <t>Bon Compe Rem Cargos Dir Sup</t>
  </si>
  <si>
    <t>(*)</t>
  </si>
  <si>
    <t>Gto. Inh. Lab. Doc 07 13-181</t>
  </si>
  <si>
    <t>Adic Rem Cgo 4 DIR JURISDICCION Y 13444</t>
  </si>
  <si>
    <t>C672400</t>
  </si>
  <si>
    <t>C672440</t>
  </si>
  <si>
    <t>Contribución Patronal Jubilatorio</t>
  </si>
  <si>
    <t>Contribución Patronal Jubilatoria Complementaria</t>
  </si>
  <si>
    <t>Contribución Patronal Jubilatoria Adicional (Ley 8024 - Art. 6 Inc. c)</t>
  </si>
  <si>
    <t>Aporte Patronal al APROSS</t>
  </si>
  <si>
    <t xml:space="preserve"> Aporte Patronal O.S. DIPE</t>
  </si>
  <si>
    <t>Aporte Patronal ANSSAL DIPE</t>
  </si>
  <si>
    <t>C662200</t>
  </si>
  <si>
    <t>C662300</t>
  </si>
  <si>
    <t>C662400</t>
  </si>
  <si>
    <t>C670920</t>
  </si>
  <si>
    <t>C661470</t>
  </si>
  <si>
    <t>C661460</t>
  </si>
  <si>
    <t>118340  Correccion Pauta Salarial Remunerativa</t>
  </si>
  <si>
    <t>C118340</t>
  </si>
  <si>
    <t>Correccion Pauta Salarial Remunerativa</t>
  </si>
  <si>
    <t>Corrección Pauta Salarial Remunerativa</t>
  </si>
  <si>
    <t>Nuevo</t>
  </si>
  <si>
    <t>Fondo Solidario Leyes 10,724-10,955</t>
  </si>
  <si>
    <t>C660040</t>
  </si>
  <si>
    <t>Aporte O S DIPE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</si>
</sst>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  <numFmt numFmtId="185" formatCode="#,##0.00_ ;[Red]\-#,##0.00\ "/>
    <numFmt numFmtId="186" formatCode="_ * #,##0.0000_ ;_ * \-#,##0.0000_ ;_ * \-??_ ;_ @_ "/>
  </numFmts>
  <fonts count="39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167" fontId="37" fillId="6" borderId="0" xfId="23" applyNumberFormat="1" applyFont="1" applyFill="1" applyBorder="1" applyAlignment="1">
      <alignment horizontal="center"/>
      <protection/>
    </xf>
    <xf numFmtId="185" fontId="0" fillId="0" borderId="0" xfId="0" applyNumberFormat="1"/>
    <xf numFmtId="186" fontId="0" fillId="0" borderId="0" xfId="20" applyNumberFormat="1" applyFont="1" applyBorder="1" applyAlignment="1" applyProtection="1">
      <alignment/>
      <protection/>
    </xf>
    <xf numFmtId="167" fontId="10" fillId="10" borderId="10" xfId="23" applyNumberFormat="1" applyFont="1" applyFill="1" applyBorder="1" applyAlignment="1">
      <alignment horizontal="center" vertical="center" wrapText="1"/>
      <protection/>
    </xf>
    <xf numFmtId="0" fontId="12" fillId="11" borderId="1" xfId="23" applyFont="1" applyFill="1" applyBorder="1" applyAlignment="1">
      <alignment horizontal="center" vertical="center" wrapText="1"/>
      <protection/>
    </xf>
    <xf numFmtId="167" fontId="38" fillId="0" borderId="0" xfId="23" applyNumberFormat="1" applyFont="1" applyBorder="1" applyAlignment="1">
      <alignment horizontal="center"/>
      <protection/>
    </xf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400050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workbookViewId="0" topLeftCell="A1">
      <pane ySplit="1" topLeftCell="A64" activePane="bottomLeft" state="frozen"/>
      <selection pane="bottomLeft" activeCell="C71" sqref="C71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607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58.9203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660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30120.06</v>
      </c>
      <c r="E5" s="95">
        <f>ROUND(D5/15,2)</f>
        <v>2008</v>
      </c>
      <c r="F5" s="84"/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606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1998.03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73844.92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74035.73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620</v>
      </c>
      <c r="C10" s="101">
        <v>60291.6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817</v>
      </c>
      <c r="C11" s="101">
        <v>52534.17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133664.69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53965.993434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23" t="str">
        <f ca="1">MID(CELL("FILENAME",N30),FIND("[",CELL("FILENAME",N30))+1,FIND("]",CELL("FILENAME",N30))-FIND("[",CELL("FILENAME",N30))-6)</f>
        <v>Esc Doc 2023 12 Cba V 1 3</v>
      </c>
      <c r="N13" s="223"/>
    </row>
    <row r="14" spans="1:13" s="81" customFormat="1" ht="12.75" customHeight="1">
      <c r="A14" s="162" t="s">
        <v>4</v>
      </c>
      <c r="B14" s="164" t="s">
        <v>14</v>
      </c>
      <c r="C14" s="175">
        <v>58668.94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12</v>
      </c>
    </row>
    <row r="15" spans="1:13" s="81" customFormat="1" ht="12.75" customHeight="1">
      <c r="A15" s="162" t="s">
        <v>4</v>
      </c>
      <c r="B15" s="164" t="s">
        <v>608</v>
      </c>
      <c r="C15" s="8">
        <v>85129.99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2023</v>
      </c>
    </row>
    <row r="16" spans="1:13" s="81" customFormat="1" ht="12.75" customHeight="1">
      <c r="A16" s="162" t="s">
        <v>4</v>
      </c>
      <c r="B16" s="164" t="s">
        <v>811</v>
      </c>
      <c r="C16" s="101">
        <v>50911.51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DICIEMBRE</v>
      </c>
    </row>
    <row r="17" spans="1:13" s="81" customFormat="1" ht="12.75" customHeight="1">
      <c r="A17" s="85" t="s">
        <v>606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635</v>
      </c>
    </row>
    <row r="18" spans="1:13" s="81" customFormat="1" ht="12.75" customHeight="1">
      <c r="A18" s="162" t="s">
        <v>4</v>
      </c>
      <c r="B18" s="163" t="s">
        <v>15</v>
      </c>
      <c r="C18" s="101">
        <v>628.41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636</v>
      </c>
    </row>
    <row r="19" spans="1:13" s="81" customFormat="1" ht="12.75" customHeight="1">
      <c r="A19" s="162" t="s">
        <v>4</v>
      </c>
      <c r="B19" s="163" t="s">
        <v>629</v>
      </c>
      <c r="C19" s="101">
        <v>28025.371999999996</v>
      </c>
      <c r="D19" s="95"/>
      <c r="E19" s="216" t="s">
        <v>573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637</v>
      </c>
    </row>
    <row r="20" spans="1:13" s="81" customFormat="1" ht="12.75" customHeight="1">
      <c r="A20" s="162" t="s">
        <v>4</v>
      </c>
      <c r="B20" s="163" t="s">
        <v>630</v>
      </c>
      <c r="C20" s="101">
        <v>27738.840000000004</v>
      </c>
      <c r="D20" s="95"/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638</v>
      </c>
    </row>
    <row r="21" spans="1:13" s="81" customFormat="1" ht="12.75" customHeight="1">
      <c r="A21" s="85" t="s">
        <v>606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639</v>
      </c>
    </row>
    <row r="22" spans="1:13" s="81" customFormat="1" ht="12.75" customHeight="1">
      <c r="A22" s="80" t="s">
        <v>4</v>
      </c>
      <c r="B22" s="86" t="s">
        <v>631</v>
      </c>
      <c r="C22" s="175">
        <v>26870.16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640</v>
      </c>
    </row>
    <row r="23" spans="1:13" s="81" customFormat="1" ht="12.75" customHeight="1">
      <c r="A23" s="80" t="s">
        <v>4</v>
      </c>
      <c r="B23" s="86" t="s">
        <v>628</v>
      </c>
      <c r="C23" s="175">
        <v>25008.96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641</v>
      </c>
    </row>
    <row r="24" spans="1:13" s="81" customFormat="1" ht="12.75" customHeight="1">
      <c r="A24" s="85" t="s">
        <v>606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642</v>
      </c>
    </row>
    <row r="25" spans="1:13" s="81" customFormat="1" ht="12.75" customHeight="1">
      <c r="A25" s="80" t="s">
        <v>4</v>
      </c>
      <c r="B25" s="86" t="s">
        <v>16</v>
      </c>
      <c r="C25" s="8">
        <v>1231.85</v>
      </c>
      <c r="D25" s="95"/>
      <c r="F25" s="87">
        <f>+(C25*1.5)+1.2</f>
        <v>1848.975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643</v>
      </c>
    </row>
    <row r="26" spans="1:13" s="81" customFormat="1" ht="12.75" customHeight="1">
      <c r="A26" s="80" t="s">
        <v>4</v>
      </c>
      <c r="B26" s="86" t="s">
        <v>17</v>
      </c>
      <c r="C26" s="8">
        <v>1231.85</v>
      </c>
      <c r="D26" s="95"/>
      <c r="F26" s="87">
        <f>C26</f>
        <v>1231.85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644</v>
      </c>
    </row>
    <row r="27" spans="1:13" s="81" customFormat="1" ht="12.75" customHeight="1">
      <c r="A27" s="85" t="s">
        <v>606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645</v>
      </c>
    </row>
    <row r="28" spans="1:13" s="81" customFormat="1" ht="12.75" customHeight="1">
      <c r="A28" s="80" t="s">
        <v>4</v>
      </c>
      <c r="B28" s="81" t="s">
        <v>18</v>
      </c>
      <c r="C28" s="101">
        <v>49.37</v>
      </c>
      <c r="F28" s="87">
        <f>F25</f>
        <v>1848.975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646</v>
      </c>
    </row>
    <row r="29" spans="1:10" s="81" customFormat="1" ht="13.5" customHeight="1" thickBot="1">
      <c r="A29" s="91" t="s">
        <v>4</v>
      </c>
      <c r="B29" s="92" t="s">
        <v>19</v>
      </c>
      <c r="C29" s="101">
        <v>41.11</v>
      </c>
      <c r="D29" s="92"/>
      <c r="E29" s="92"/>
      <c r="F29" s="93">
        <f>F26</f>
        <v>1231.85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606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806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807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647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648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 customHeight="1">
      <c r="A37" s="75" t="s">
        <v>606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 customHeight="1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s="74" t="s">
        <v>657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812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5" t="s">
        <v>606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 customHeight="1">
      <c r="A42" s="74" t="s">
        <v>4</v>
      </c>
      <c r="B42" s="2" t="s">
        <v>634</v>
      </c>
      <c r="C42" s="100">
        <v>18565.3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4</v>
      </c>
      <c r="B43" s="2" t="s">
        <v>633</v>
      </c>
      <c r="C43" s="101">
        <v>19743.9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632</v>
      </c>
      <c r="C44" s="101">
        <v>20922.76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809</v>
      </c>
      <c r="C45" s="101">
        <v>22092.48</v>
      </c>
      <c r="D45" s="219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808</v>
      </c>
      <c r="C46" s="101">
        <v>25636.983348</v>
      </c>
      <c r="D46" s="6"/>
      <c r="E46" s="165"/>
      <c r="F46" s="218">
        <v>36576.018816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810</v>
      </c>
      <c r="C47" s="101">
        <v>31485.59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816</v>
      </c>
      <c r="C48" s="101">
        <v>26806.69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1052.45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1564.76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651</v>
      </c>
      <c r="C51" s="101">
        <v>782.38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606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 customHeight="1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 customHeight="1">
      <c r="A55" s="74" t="s">
        <v>8</v>
      </c>
      <c r="B55" s="2" t="s">
        <v>27</v>
      </c>
      <c r="C55" s="100">
        <v>327.6</v>
      </c>
    </row>
    <row r="56" spans="1:3" ht="12.75" customHeight="1">
      <c r="A56" s="74" t="s">
        <v>8</v>
      </c>
      <c r="B56" s="2" t="s">
        <v>28</v>
      </c>
      <c r="C56" s="100">
        <v>170.34</v>
      </c>
    </row>
    <row r="57" spans="1:3" ht="12.75" customHeight="1">
      <c r="A57" s="74" t="s">
        <v>8</v>
      </c>
      <c r="B57" s="2" t="s">
        <v>29</v>
      </c>
      <c r="C57" s="101">
        <v>327.6</v>
      </c>
    </row>
    <row r="58" spans="1:9" ht="12.75" customHeight="1">
      <c r="A58" s="74" t="s">
        <v>8</v>
      </c>
      <c r="B58" s="2" t="s">
        <v>30</v>
      </c>
      <c r="C58" s="101">
        <v>155.18</v>
      </c>
      <c r="I58" s="174">
        <f>+C63/15</f>
        <v>938.882</v>
      </c>
    </row>
    <row r="59" spans="1:9" ht="12.75" customHeight="1">
      <c r="A59" s="74" t="s">
        <v>8</v>
      </c>
      <c r="B59" s="2" t="s">
        <v>31</v>
      </c>
      <c r="C59" s="101">
        <v>149.55200000000002</v>
      </c>
      <c r="I59" s="3"/>
    </row>
    <row r="60" spans="1:9" ht="12.75" customHeight="1">
      <c r="A60" s="74" t="s">
        <v>8</v>
      </c>
      <c r="B60" s="2" t="s">
        <v>32</v>
      </c>
      <c r="C60" s="101">
        <v>252.668</v>
      </c>
      <c r="I60" s="3"/>
    </row>
    <row r="61" spans="1:9" ht="12.75" customHeight="1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 customHeight="1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621</v>
      </c>
      <c r="C63" s="100">
        <v>14083.23</v>
      </c>
      <c r="D63" s="3">
        <f>ROUND((C63/15)-0.0005,2)</f>
        <v>938.88</v>
      </c>
      <c r="E63" s="79">
        <v>38.47</v>
      </c>
      <c r="F63" s="3">
        <f>(+C63*2)</f>
        <v>28166.46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1417.98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652</v>
      </c>
      <c r="C65" s="100">
        <v>708.99</v>
      </c>
      <c r="D65" s="172"/>
      <c r="F65" s="3"/>
      <c r="G65" s="175">
        <v>15165.02</v>
      </c>
    </row>
    <row r="66" spans="1:7" ht="12.75" customHeight="1">
      <c r="A66" s="75" t="s">
        <v>606</v>
      </c>
      <c r="B66" s="75"/>
      <c r="C66" s="76"/>
      <c r="D66" s="75"/>
      <c r="E66" s="75"/>
      <c r="F66" s="75"/>
      <c r="G66" s="75">
        <v>335.93</v>
      </c>
    </row>
    <row r="67" spans="1:7" ht="12.75" customHeight="1">
      <c r="A67" s="104" t="s">
        <v>8</v>
      </c>
      <c r="B67" t="s">
        <v>609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 customHeight="1">
      <c r="A68" s="75" t="s">
        <v>606</v>
      </c>
      <c r="B68" s="75"/>
      <c r="C68" s="76"/>
      <c r="D68" s="75"/>
      <c r="E68" s="75"/>
      <c r="F68" s="75"/>
      <c r="G68" s="75">
        <v>379.13</v>
      </c>
    </row>
    <row r="69" spans="1:9" ht="12.75" customHeight="1">
      <c r="A69" s="74" t="s">
        <v>4</v>
      </c>
      <c r="B69" s="2" t="s">
        <v>834</v>
      </c>
      <c r="C69" s="9">
        <v>0.129</v>
      </c>
      <c r="D69" s="10"/>
      <c r="G69" s="212"/>
      <c r="I69" t="s">
        <v>832</v>
      </c>
    </row>
    <row r="70" spans="1:7" ht="12.75" customHeight="1">
      <c r="A70" s="75" t="s">
        <v>606</v>
      </c>
      <c r="B70" s="75"/>
      <c r="C70" s="76"/>
      <c r="D70" s="75"/>
      <c r="E70" s="75"/>
      <c r="F70" s="75"/>
      <c r="G70" s="75"/>
    </row>
    <row r="71" spans="1:3" ht="12.75" customHeight="1">
      <c r="A71" s="74" t="s">
        <v>4</v>
      </c>
      <c r="B71" t="s">
        <v>36</v>
      </c>
      <c r="C71" s="11">
        <v>-0.11</v>
      </c>
    </row>
    <row r="72" spans="1:3" ht="12.75" customHeight="1">
      <c r="A72" s="74" t="s">
        <v>4</v>
      </c>
      <c r="B72" t="s">
        <v>837</v>
      </c>
      <c r="C72" s="11">
        <v>-0.02</v>
      </c>
    </row>
    <row r="73" spans="1:3" ht="12.75" customHeight="1">
      <c r="A73" s="74" t="s">
        <v>8</v>
      </c>
      <c r="B73" t="s">
        <v>37</v>
      </c>
      <c r="C73" s="11">
        <v>0</v>
      </c>
    </row>
    <row r="74" spans="1:3" ht="12.75" customHeight="1">
      <c r="A74" s="74" t="s">
        <v>4</v>
      </c>
      <c r="B74" t="s">
        <v>38</v>
      </c>
      <c r="C74" s="11">
        <v>-0.055</v>
      </c>
    </row>
    <row r="75" spans="1:3" ht="12.75" customHeight="1">
      <c r="A75" s="74" t="s">
        <v>4</v>
      </c>
      <c r="B75" t="s">
        <v>39</v>
      </c>
      <c r="C75" s="11">
        <v>-0.027</v>
      </c>
    </row>
    <row r="76" spans="1:7" ht="12.75" customHeight="1">
      <c r="A76" s="74" t="s">
        <v>4</v>
      </c>
      <c r="B76" t="s">
        <v>40</v>
      </c>
      <c r="C76" s="11">
        <v>-0.003</v>
      </c>
      <c r="G76" s="212"/>
    </row>
    <row r="77" spans="1:7" ht="12.75" customHeight="1">
      <c r="A77" s="75" t="s">
        <v>606</v>
      </c>
      <c r="B77" s="75"/>
      <c r="C77" s="76"/>
      <c r="D77" s="75"/>
      <c r="E77" s="75"/>
      <c r="F77" s="75"/>
      <c r="G77" s="75"/>
    </row>
    <row r="78" spans="1:3" ht="12.75" customHeight="1">
      <c r="A78" s="74" t="s">
        <v>4</v>
      </c>
      <c r="B78" t="s">
        <v>41</v>
      </c>
      <c r="C78" s="11">
        <v>0.16</v>
      </c>
    </row>
    <row r="79" spans="1:3" ht="12.75" customHeight="1">
      <c r="A79" s="74" t="s">
        <v>4</v>
      </c>
      <c r="B79" t="s">
        <v>42</v>
      </c>
      <c r="C79" s="11">
        <v>0.07</v>
      </c>
    </row>
    <row r="80" spans="1:7" ht="12.75" customHeight="1">
      <c r="A80" s="74" t="s">
        <v>4</v>
      </c>
      <c r="B80" t="s">
        <v>43</v>
      </c>
      <c r="C80" s="11">
        <v>0.01</v>
      </c>
      <c r="G80" s="212"/>
    </row>
    <row r="81" spans="1:7" ht="12.75" customHeight="1">
      <c r="A81" s="75" t="s">
        <v>606</v>
      </c>
      <c r="B81" s="75"/>
      <c r="C81" s="76"/>
      <c r="D81" s="75"/>
      <c r="E81" s="75"/>
      <c r="F81" s="75"/>
      <c r="G81" s="75"/>
    </row>
    <row r="82" spans="1:3" ht="12.75" customHeight="1">
      <c r="A82" s="74" t="s">
        <v>4</v>
      </c>
      <c r="B82" t="s">
        <v>44</v>
      </c>
      <c r="C82" s="11">
        <v>0.035</v>
      </c>
    </row>
    <row r="83" spans="1:3" ht="12.75" customHeight="1">
      <c r="A83" s="74" t="s">
        <v>4</v>
      </c>
      <c r="B83" t="s">
        <v>45</v>
      </c>
      <c r="C83" s="11">
        <v>0.006</v>
      </c>
    </row>
    <row r="84" spans="1:7" ht="12.75" customHeight="1">
      <c r="A84" s="74" t="s">
        <v>4</v>
      </c>
      <c r="B84" t="s">
        <v>46</v>
      </c>
      <c r="C84" s="11">
        <v>0.054</v>
      </c>
      <c r="G84" s="212"/>
    </row>
    <row r="85" spans="1:7" ht="12.75" customHeight="1">
      <c r="A85" s="75" t="s">
        <v>606</v>
      </c>
      <c r="B85" s="75"/>
      <c r="C85" s="76"/>
      <c r="D85" s="75"/>
      <c r="E85" s="75"/>
      <c r="F85" s="75"/>
      <c r="G85" s="75"/>
    </row>
    <row r="86" spans="1:7" ht="12.75" customHeight="1">
      <c r="A86" s="74" t="s">
        <v>8</v>
      </c>
      <c r="B86" t="s">
        <v>47</v>
      </c>
      <c r="C86" s="4">
        <v>0.5</v>
      </c>
      <c r="G86" s="212"/>
    </row>
    <row r="87" spans="1:7" ht="12.75" customHeight="1">
      <c r="A87" s="75" t="s">
        <v>606</v>
      </c>
      <c r="B87" s="75"/>
      <c r="C87" s="76"/>
      <c r="D87" s="75"/>
      <c r="E87" s="75"/>
      <c r="F87" s="75"/>
      <c r="G87" s="75"/>
    </row>
    <row r="88" spans="1:5" ht="12.75" customHeight="1">
      <c r="A88" s="74" t="s">
        <v>8</v>
      </c>
      <c r="B88" s="74" t="s">
        <v>622</v>
      </c>
      <c r="C88" s="8">
        <v>0</v>
      </c>
      <c r="E88" s="8"/>
    </row>
    <row r="89" spans="1:5" ht="12.75" customHeight="1">
      <c r="A89" s="74" t="s">
        <v>8</v>
      </c>
      <c r="B89" s="74" t="s">
        <v>623</v>
      </c>
      <c r="C89" s="8">
        <v>0</v>
      </c>
      <c r="E89" s="8"/>
    </row>
    <row r="90" spans="1:6" ht="12.75" customHeight="1">
      <c r="A90" s="74" t="s">
        <v>8</v>
      </c>
      <c r="B90" s="74" t="s">
        <v>624</v>
      </c>
      <c r="C90" s="100">
        <v>0</v>
      </c>
      <c r="E90" s="8"/>
      <c r="F90" s="8">
        <f>+C90</f>
        <v>0</v>
      </c>
    </row>
    <row r="91" spans="1:5" ht="12.75" customHeight="1">
      <c r="A91" s="74" t="s">
        <v>8</v>
      </c>
      <c r="B91" s="74" t="s">
        <v>625</v>
      </c>
      <c r="C91" s="8">
        <v>0</v>
      </c>
      <c r="E91" s="8"/>
    </row>
    <row r="92" spans="1:5" ht="12.75" customHeight="1">
      <c r="A92" s="74" t="s">
        <v>8</v>
      </c>
      <c r="B92" s="74" t="s">
        <v>653</v>
      </c>
      <c r="C92" s="8">
        <v>0</v>
      </c>
      <c r="E92" s="8"/>
    </row>
    <row r="93" spans="1:5" ht="12.75" customHeight="1">
      <c r="A93" s="74" t="s">
        <v>8</v>
      </c>
      <c r="B93" s="74" t="s">
        <v>655</v>
      </c>
      <c r="C93" s="8">
        <f>C92/2</f>
        <v>0</v>
      </c>
      <c r="E93" s="8"/>
    </row>
    <row r="94" spans="1:5" ht="12.75">
      <c r="A94" s="74" t="s">
        <v>606</v>
      </c>
      <c r="B94" s="74"/>
      <c r="C94" s="8"/>
      <c r="E94" s="8"/>
    </row>
    <row r="95" spans="1:11" ht="12.75">
      <c r="A95" s="74" t="s">
        <v>4</v>
      </c>
      <c r="B95" s="74" t="s">
        <v>610</v>
      </c>
      <c r="C95" s="8">
        <v>41242.8</v>
      </c>
      <c r="F95" s="8">
        <f aca="true" t="shared" si="0" ref="F95:F96">C95</f>
        <v>41242.8</v>
      </c>
      <c r="G95" s="175">
        <v>7582.51</v>
      </c>
      <c r="I95" s="175"/>
      <c r="J95" s="8">
        <f>53359.19-C95</f>
        <v>12116.39</v>
      </c>
      <c r="K95">
        <f>+J95/2</f>
        <v>6058.195</v>
      </c>
    </row>
    <row r="96" spans="1:11" ht="12.75">
      <c r="A96" s="74" t="s">
        <v>4</v>
      </c>
      <c r="B96" s="74" t="s">
        <v>814</v>
      </c>
      <c r="C96" s="8">
        <v>49491.35</v>
      </c>
      <c r="F96" s="8">
        <f t="shared" si="0"/>
        <v>49491.35</v>
      </c>
      <c r="G96" s="175">
        <v>9099.01</v>
      </c>
      <c r="I96" s="175"/>
      <c r="J96">
        <f>C96*1.139</f>
        <v>56370.64765</v>
      </c>
      <c r="K96" s="8">
        <f>+C97-J96</f>
        <v>26114.932350000003</v>
      </c>
    </row>
    <row r="97" spans="1:10" ht="12.75">
      <c r="A97" s="74" t="s">
        <v>4</v>
      </c>
      <c r="B97" s="74" t="s">
        <v>611</v>
      </c>
      <c r="C97" s="8">
        <v>82485.58</v>
      </c>
      <c r="F97" s="8">
        <f>C97</f>
        <v>82485.58</v>
      </c>
      <c r="G97" s="175">
        <v>15165.02</v>
      </c>
      <c r="I97" s="175"/>
      <c r="J97">
        <f>+C97/2</f>
        <v>41242.79</v>
      </c>
    </row>
    <row r="98" spans="1:11" ht="12.75">
      <c r="A98" s="74" t="s">
        <v>4</v>
      </c>
      <c r="B98" s="74" t="s">
        <v>612</v>
      </c>
      <c r="C98" s="8">
        <v>1918.41</v>
      </c>
      <c r="F98" s="8">
        <f aca="true" t="shared" si="1" ref="F98:F100">C98</f>
        <v>1918.41</v>
      </c>
      <c r="G98" s="175">
        <v>335.93</v>
      </c>
      <c r="I98" s="175"/>
      <c r="K98">
        <f>+C98*5</f>
        <v>9592.050000000001</v>
      </c>
    </row>
    <row r="99" spans="1:10" ht="12.75">
      <c r="A99" s="74" t="s">
        <v>4</v>
      </c>
      <c r="B99" s="74" t="s">
        <v>654</v>
      </c>
      <c r="C99" s="8">
        <v>4124.3</v>
      </c>
      <c r="F99" s="8">
        <f t="shared" si="1"/>
        <v>4124.3</v>
      </c>
      <c r="G99" s="175">
        <v>758.26</v>
      </c>
      <c r="I99" s="175"/>
      <c r="J99">
        <f aca="true" t="shared" si="2" ref="J99:J100">C99*1.139</f>
        <v>4697.5777</v>
      </c>
    </row>
    <row r="100" spans="1:11" ht="12.75">
      <c r="A100" s="74" t="s">
        <v>4</v>
      </c>
      <c r="B100" s="74" t="s">
        <v>656</v>
      </c>
      <c r="C100" s="8">
        <v>2062.15</v>
      </c>
      <c r="F100" s="8">
        <f t="shared" si="1"/>
        <v>2062.15</v>
      </c>
      <c r="G100" s="175">
        <v>379.13</v>
      </c>
      <c r="I100" s="175"/>
      <c r="J100">
        <f t="shared" si="2"/>
        <v>2348.78885</v>
      </c>
      <c r="K100">
        <f>+J100*2</f>
        <v>4697.5777</v>
      </c>
    </row>
    <row r="101" spans="1:3" ht="12.75">
      <c r="A101" s="74" t="s">
        <v>4</v>
      </c>
      <c r="B101" s="74" t="s">
        <v>626</v>
      </c>
      <c r="C101" s="8">
        <v>-1270</v>
      </c>
    </row>
    <row r="102" spans="1:3" ht="12.75">
      <c r="A102" s="74" t="s">
        <v>4</v>
      </c>
      <c r="B102" t="s">
        <v>616</v>
      </c>
      <c r="C102" s="8">
        <v>-3700</v>
      </c>
    </row>
  </sheetData>
  <autoFilter ref="A1:J103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332"/>
  <sheetViews>
    <sheetView showGridLines="0" tabSelected="1" zoomScale="130" zoomScaleNormal="130" zoomScaleSheetLayoutView="100" workbookViewId="0" topLeftCell="A1">
      <pane xSplit="5" ySplit="7" topLeftCell="F8" activePane="bottomRight" state="frozen"/>
      <selection pane="topRight" activeCell="F1" sqref="F1"/>
      <selection pane="bottomLeft" activeCell="A8" sqref="A8"/>
      <selection pane="bottomRight" activeCell="E6" sqref="E6:F6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14062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421875" style="107" customWidth="1"/>
    <col min="31" max="31" width="4.421875" style="115" hidden="1" customWidth="1"/>
    <col min="32" max="32" width="6.140625" style="107" customWidth="1"/>
    <col min="33" max="33" width="7.7109375" style="107" customWidth="1"/>
    <col min="34" max="34" width="8.140625" style="107" customWidth="1"/>
    <col min="35" max="35" width="7.8515625" style="107" customWidth="1"/>
    <col min="36" max="36" width="9.421875" style="107" hidden="1" customWidth="1"/>
    <col min="37" max="37" width="9.421875" style="109" hidden="1" customWidth="1"/>
    <col min="38" max="38" width="7.7109375" style="109" hidden="1" customWidth="1"/>
    <col min="39" max="39" width="8.28125" style="109" customWidth="1"/>
    <col min="40" max="40" width="7.28125" style="107" customWidth="1"/>
    <col min="41" max="42" width="8.421875" style="107" customWidth="1"/>
    <col min="43" max="43" width="6.7109375" style="107" hidden="1" customWidth="1"/>
    <col min="44" max="44" width="7.421875" style="107" customWidth="1"/>
    <col min="45" max="45" width="9.00390625" style="107" customWidth="1"/>
    <col min="46" max="46" width="10.8515625" style="107" customWidth="1"/>
    <col min="47" max="49" width="9.7109375" style="108" customWidth="1"/>
    <col min="50" max="50" width="9.7109375" style="107" customWidth="1"/>
    <col min="51" max="54" width="9.7109375" style="108" customWidth="1"/>
    <col min="55" max="55" width="10.421875" style="108" customWidth="1"/>
    <col min="56" max="58" width="9.7109375" style="108" customWidth="1"/>
    <col min="59" max="59" width="5.00390625" style="105" hidden="1" customWidth="1"/>
    <col min="60" max="60" width="3.7109375" style="105" hidden="1" customWidth="1"/>
    <col min="61" max="61" width="3.421875" style="110" hidden="1" customWidth="1"/>
    <col min="62" max="62" width="9.8515625" style="111" customWidth="1"/>
    <col min="63" max="1029" width="11.421875" style="111" customWidth="1"/>
    <col min="1030" max="16384" width="9.140625" style="112" customWidth="1"/>
  </cols>
  <sheetData>
    <row r="1" spans="1:42" ht="35.25" customHeight="1">
      <c r="A1" s="224" t="str">
        <f ca="1">CONCATENATE(Valores!M16,"  ",Valores!M15)</f>
        <v>DICIEMBRE  2023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106"/>
      <c r="AO1" s="106"/>
      <c r="AP1" s="106"/>
    </row>
    <row r="2" spans="1:61" ht="11.25" customHeight="1">
      <c r="A2" s="134" t="s">
        <v>48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K2" s="107"/>
      <c r="AL2" s="107"/>
      <c r="AM2" s="226"/>
      <c r="BI2" s="116">
        <f>(((F139+S139)*1.15)+O139+P139+Q139+AA139+AD139)*0.05</f>
        <v>10099.504850000001</v>
      </c>
    </row>
    <row r="3" spans="1:58" ht="11.25" customHeight="1">
      <c r="A3" s="134" t="s">
        <v>50</v>
      </c>
      <c r="B3" s="134"/>
      <c r="C3" s="188"/>
      <c r="D3" s="134"/>
      <c r="E3" s="191"/>
      <c r="F3" s="133" t="s">
        <v>8</v>
      </c>
      <c r="G3" s="227" t="s">
        <v>49</v>
      </c>
      <c r="H3" s="227"/>
      <c r="I3" s="228">
        <f>Valores!C2</f>
        <v>58.9203</v>
      </c>
      <c r="J3" s="228"/>
      <c r="K3" s="199"/>
      <c r="L3" s="177" t="e">
        <f>VLOOKUP(K3,Valores!L17:M28,2,)</f>
        <v>#N/A</v>
      </c>
      <c r="M3" s="176"/>
      <c r="N3" s="177"/>
      <c r="O3" s="233" t="s">
        <v>813</v>
      </c>
      <c r="P3" s="233"/>
      <c r="Q3" s="233"/>
      <c r="R3" s="233"/>
      <c r="S3" s="233"/>
      <c r="T3" s="233"/>
      <c r="U3" s="233"/>
      <c r="V3" s="233"/>
      <c r="X3" s="239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K3" s="117" t="s">
        <v>4</v>
      </c>
      <c r="AL3" s="118"/>
      <c r="AM3" s="226"/>
      <c r="AN3" s="117" t="s">
        <v>4</v>
      </c>
      <c r="AO3" s="118"/>
      <c r="AP3" s="118"/>
      <c r="AQ3" s="119">
        <f>Valores!C2</f>
        <v>58.9203</v>
      </c>
      <c r="AR3" s="120"/>
      <c r="AS3" s="120"/>
      <c r="AT3" s="120"/>
      <c r="AU3" s="121"/>
      <c r="AV3" s="121"/>
      <c r="AW3" s="121"/>
      <c r="AX3" s="120"/>
      <c r="AY3" s="121"/>
      <c r="AZ3" s="121"/>
      <c r="BA3" s="121"/>
      <c r="BB3" s="121"/>
      <c r="BC3" s="121"/>
      <c r="BD3" s="121"/>
      <c r="BE3" s="121"/>
      <c r="BF3" s="121"/>
    </row>
    <row r="4" spans="1:58" ht="11.25" customHeight="1">
      <c r="A4" s="230" t="s">
        <v>619</v>
      </c>
      <c r="B4" s="231"/>
      <c r="C4" s="231"/>
      <c r="D4" s="232"/>
      <c r="E4" s="191"/>
      <c r="F4" s="133" t="s">
        <v>8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J4" s="74"/>
      <c r="AM4" s="122"/>
      <c r="AN4" s="117" t="s">
        <v>8</v>
      </c>
      <c r="AO4" s="118"/>
      <c r="AP4" s="118"/>
      <c r="AQ4" s="120"/>
      <c r="AR4" s="120"/>
      <c r="AS4" s="120"/>
      <c r="AT4" s="120"/>
      <c r="AU4" s="121"/>
      <c r="AV4" s="121"/>
      <c r="AW4" s="121"/>
      <c r="AX4" s="120"/>
      <c r="AY4" s="121"/>
      <c r="AZ4" s="121"/>
      <c r="BA4" s="121"/>
      <c r="BB4" s="121"/>
      <c r="BC4" s="121"/>
      <c r="BD4" s="121"/>
      <c r="BE4" s="121"/>
      <c r="BF4" s="121"/>
    </row>
    <row r="5" spans="1:58" ht="11.25" customHeight="1">
      <c r="A5" s="230" t="s">
        <v>614</v>
      </c>
      <c r="B5" s="231"/>
      <c r="C5" s="231"/>
      <c r="D5" s="232"/>
      <c r="E5" s="191"/>
      <c r="F5" s="161">
        <v>0</v>
      </c>
      <c r="H5" s="217" t="s">
        <v>815</v>
      </c>
      <c r="P5" s="217" t="s">
        <v>815</v>
      </c>
      <c r="R5" s="217" t="s">
        <v>815</v>
      </c>
      <c r="T5" s="217" t="s">
        <v>815</v>
      </c>
      <c r="AC5" s="217" t="s">
        <v>815</v>
      </c>
      <c r="AG5" s="222" t="s">
        <v>836</v>
      </c>
      <c r="AH5" s="217" t="s">
        <v>815</v>
      </c>
      <c r="AM5" s="122"/>
      <c r="AN5" s="117"/>
      <c r="AO5" s="118"/>
      <c r="AP5" s="222" t="s">
        <v>836</v>
      </c>
      <c r="AQ5" s="120"/>
      <c r="AR5" s="120"/>
      <c r="AS5" s="120"/>
      <c r="AT5" s="120"/>
      <c r="AU5" s="121"/>
      <c r="AV5" s="121"/>
      <c r="AW5" s="222" t="s">
        <v>836</v>
      </c>
      <c r="AX5" s="120"/>
      <c r="AY5" s="121"/>
      <c r="AZ5" s="121"/>
      <c r="BA5" s="121"/>
      <c r="BB5" s="121"/>
      <c r="BC5" s="121"/>
      <c r="BD5" s="121"/>
      <c r="BE5" s="121"/>
      <c r="BF5" s="121"/>
    </row>
    <row r="6" spans="1:1029" s="147" customFormat="1" ht="41.25" customHeight="1">
      <c r="A6" s="183"/>
      <c r="B6" s="184"/>
      <c r="C6" s="184"/>
      <c r="D6" s="183"/>
      <c r="E6" s="234" t="s">
        <v>51</v>
      </c>
      <c r="F6" s="235"/>
      <c r="G6" s="236" t="s">
        <v>52</v>
      </c>
      <c r="H6" s="236"/>
      <c r="I6" s="237" t="s">
        <v>53</v>
      </c>
      <c r="J6" s="237"/>
      <c r="K6" s="229" t="s">
        <v>54</v>
      </c>
      <c r="L6" s="229"/>
      <c r="M6" s="150" t="s">
        <v>55</v>
      </c>
      <c r="N6" s="151" t="s">
        <v>56</v>
      </c>
      <c r="O6" s="150" t="s">
        <v>57</v>
      </c>
      <c r="P6" s="169" t="str">
        <f>CONCATENATE("Est. Doc (tope ",TEXT(Valores!D5,"$0.000,00"),")")</f>
        <v>Est. Doc (tope $30.120,06)</v>
      </c>
      <c r="Q6" s="150" t="s">
        <v>58</v>
      </c>
      <c r="R6" s="169" t="str">
        <f>CONCATENATE("Gtos. Inh. Lab. Doc. (tope ",TEXT(Valores!F46,"$0.000,00"),")")</f>
        <v>Gtos. Inh. Lab. Doc. (tope $36.576,02)</v>
      </c>
      <c r="S6" s="151" t="s">
        <v>59</v>
      </c>
      <c r="T6" s="150" t="s">
        <v>59</v>
      </c>
      <c r="U6" s="150" t="s">
        <v>60</v>
      </c>
      <c r="V6" s="150" t="s">
        <v>61</v>
      </c>
      <c r="W6" s="238" t="s">
        <v>62</v>
      </c>
      <c r="X6" s="238"/>
      <c r="Y6" s="150" t="s">
        <v>63</v>
      </c>
      <c r="Z6" s="159" t="str">
        <f>CONCATENATE("Bonif. Compensatoria Rem. (tope ",TEXT(Valores!F97,"$0.000,00"),")")</f>
        <v>Bonif. Compensatoria Rem. (tope $82.485,58)</v>
      </c>
      <c r="AA6" s="159" t="str">
        <f>CONCATENATE("Ad R Doc (tope ",TEXT(Valores!F25,"$0,00"),")")</f>
        <v>Ad R Doc (tope $1848,98)</v>
      </c>
      <c r="AB6" s="159" t="s">
        <v>694</v>
      </c>
      <c r="AC6" s="150" t="s">
        <v>64</v>
      </c>
      <c r="AD6" s="158" t="str">
        <f>CONCATENATE("Nuevo  A.R.D. (tope ",TEXT(Valores!F26,"$0,00"),")")</f>
        <v>Nuevo  A.R.D. (tope $1231,85)</v>
      </c>
      <c r="AE6" s="229" t="s">
        <v>65</v>
      </c>
      <c r="AF6" s="229"/>
      <c r="AG6" s="221" t="s">
        <v>835</v>
      </c>
      <c r="AH6" s="158" t="str">
        <f>CONCATENATE("Ap Mat Did Rem. (tope ",TEXT(Valores!F63,"$0.000,00"),")")</f>
        <v>Ap Mat Did Rem. (tope $28.166,46)</v>
      </c>
      <c r="AI6" s="150" t="s">
        <v>66</v>
      </c>
      <c r="AJ6" s="158" t="str">
        <f>CONCATENATE("Corrección Pauta Salarial sobre FONID (tope ",TEXT(Valores!F32,"$0,00"),")")</f>
        <v>Corrección Pauta Salarial sobre FONID (tope $0,00)</v>
      </c>
      <c r="AK6" s="158" t="str">
        <f>CONCATENATE("Bonif. Compensatoria No Rem. (tope ",TEXT(Valores!C90,"$0,00"),")")</f>
        <v>Bonif. Compensatoria No Rem. (tope $0,00)</v>
      </c>
      <c r="AL6" s="158" t="str">
        <f>CONCATENATE("Adic Extr. (tope ",TEXT(Valores!F38,"$0.000,00"),")")</f>
        <v>Adic Extr. (tope $0.000,00)</v>
      </c>
      <c r="AM6" s="159" t="str">
        <f>CONCATENATE("Adel Inc Docente (tope ",TEXT(Valores!C55,"$0,00"),")")</f>
        <v>Adel Inc Docente (tope $327,60)</v>
      </c>
      <c r="AN6" s="150" t="s">
        <v>67</v>
      </c>
      <c r="AO6" s="152" t="s">
        <v>68</v>
      </c>
      <c r="AP6" s="221" t="s">
        <v>837</v>
      </c>
      <c r="AQ6" s="152" t="s">
        <v>69</v>
      </c>
      <c r="AR6" s="152" t="s">
        <v>70</v>
      </c>
      <c r="AS6" s="152" t="s">
        <v>615</v>
      </c>
      <c r="AT6" s="152" t="s">
        <v>616</v>
      </c>
      <c r="AU6" s="220" t="s">
        <v>71</v>
      </c>
      <c r="AV6" s="152" t="str">
        <f>AO6</f>
        <v>Ap Pers Jub</v>
      </c>
      <c r="AW6" s="221" t="s">
        <v>837</v>
      </c>
      <c r="AX6" s="152" t="s">
        <v>839</v>
      </c>
      <c r="AY6" s="152" t="s">
        <v>40</v>
      </c>
      <c r="AZ6" s="220" t="s">
        <v>627</v>
      </c>
      <c r="BA6" s="152" t="s">
        <v>820</v>
      </c>
      <c r="BB6" s="152" t="s">
        <v>821</v>
      </c>
      <c r="BC6" s="152" t="s">
        <v>822</v>
      </c>
      <c r="BD6" s="152" t="s">
        <v>823</v>
      </c>
      <c r="BE6" s="152" t="s">
        <v>824</v>
      </c>
      <c r="BF6" s="152" t="s">
        <v>825</v>
      </c>
      <c r="BG6" s="152" t="s">
        <v>72</v>
      </c>
      <c r="BH6" s="152" t="s">
        <v>73</v>
      </c>
      <c r="BI6" s="152" t="s">
        <v>74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  <c r="AMG6" s="145"/>
      <c r="AMH6" s="145"/>
      <c r="AMI6" s="145"/>
      <c r="AMJ6" s="145"/>
      <c r="AMK6" s="145"/>
      <c r="AML6" s="145"/>
      <c r="AMM6" s="145"/>
      <c r="AMN6" s="145"/>
      <c r="AMO6" s="145"/>
    </row>
    <row r="7" spans="1:61" s="145" customFormat="1" ht="12.75" customHeight="1">
      <c r="A7" s="185" t="s">
        <v>75</v>
      </c>
      <c r="B7" s="186"/>
      <c r="C7" s="189" t="s">
        <v>659</v>
      </c>
      <c r="D7" s="187" t="s">
        <v>76</v>
      </c>
      <c r="E7" s="148" t="s">
        <v>77</v>
      </c>
      <c r="F7" s="149" t="s">
        <v>78</v>
      </c>
      <c r="G7" s="190" t="s">
        <v>79</v>
      </c>
      <c r="H7" s="153" t="s">
        <v>80</v>
      </c>
      <c r="I7" s="154" t="s">
        <v>81</v>
      </c>
      <c r="J7" s="153" t="s">
        <v>82</v>
      </c>
      <c r="K7" s="155" t="s">
        <v>83</v>
      </c>
      <c r="L7" s="153" t="s">
        <v>84</v>
      </c>
      <c r="M7" s="153" t="s">
        <v>85</v>
      </c>
      <c r="N7" s="153" t="s">
        <v>86</v>
      </c>
      <c r="O7" s="153" t="s">
        <v>87</v>
      </c>
      <c r="P7" s="153" t="s">
        <v>88</v>
      </c>
      <c r="Q7" s="153" t="s">
        <v>89</v>
      </c>
      <c r="R7" s="153" t="s">
        <v>90</v>
      </c>
      <c r="S7" s="153" t="s">
        <v>91</v>
      </c>
      <c r="T7" s="153" t="s">
        <v>91</v>
      </c>
      <c r="U7" s="153" t="s">
        <v>92</v>
      </c>
      <c r="V7" s="153" t="s">
        <v>93</v>
      </c>
      <c r="W7" s="156" t="s">
        <v>94</v>
      </c>
      <c r="X7" s="153" t="s">
        <v>95</v>
      </c>
      <c r="Y7" s="153" t="s">
        <v>96</v>
      </c>
      <c r="Z7" s="153" t="s">
        <v>613</v>
      </c>
      <c r="AA7" s="157" t="s">
        <v>97</v>
      </c>
      <c r="AB7" s="157"/>
      <c r="AC7" s="157" t="s">
        <v>98</v>
      </c>
      <c r="AD7" s="153" t="s">
        <v>99</v>
      </c>
      <c r="AE7" s="156" t="s">
        <v>100</v>
      </c>
      <c r="AF7" s="153" t="s">
        <v>101</v>
      </c>
      <c r="AG7" s="153" t="s">
        <v>833</v>
      </c>
      <c r="AH7" s="153" t="s">
        <v>102</v>
      </c>
      <c r="AI7" s="153" t="s">
        <v>103</v>
      </c>
      <c r="AJ7" s="153" t="s">
        <v>605</v>
      </c>
      <c r="AK7" s="157" t="s">
        <v>605</v>
      </c>
      <c r="AL7" s="182" t="s">
        <v>686</v>
      </c>
      <c r="AM7" s="157" t="s">
        <v>104</v>
      </c>
      <c r="AN7" s="152" t="s">
        <v>105</v>
      </c>
      <c r="AO7" s="152" t="s">
        <v>106</v>
      </c>
      <c r="AP7" s="152" t="s">
        <v>838</v>
      </c>
      <c r="AQ7" s="152" t="s">
        <v>107</v>
      </c>
      <c r="AR7" s="153" t="s">
        <v>108</v>
      </c>
      <c r="AS7" s="160" t="s">
        <v>617</v>
      </c>
      <c r="AT7" s="160" t="s">
        <v>618</v>
      </c>
      <c r="AU7" s="151"/>
      <c r="AV7" s="152" t="s">
        <v>106</v>
      </c>
      <c r="AW7" s="152" t="s">
        <v>838</v>
      </c>
      <c r="AX7" s="171" t="s">
        <v>818</v>
      </c>
      <c r="AY7" s="171" t="s">
        <v>819</v>
      </c>
      <c r="AZ7" s="170"/>
      <c r="BA7" s="171" t="s">
        <v>826</v>
      </c>
      <c r="BB7" s="171" t="s">
        <v>827</v>
      </c>
      <c r="BC7" s="171" t="s">
        <v>828</v>
      </c>
      <c r="BD7" s="171" t="s">
        <v>829</v>
      </c>
      <c r="BE7" s="171" t="s">
        <v>830</v>
      </c>
      <c r="BF7" s="171" t="s">
        <v>831</v>
      </c>
      <c r="BG7" s="146"/>
      <c r="BH7" s="146"/>
      <c r="BI7" s="146"/>
    </row>
    <row r="8" spans="1:61" s="110" customFormat="1" ht="11.25" customHeight="1">
      <c r="A8" s="123" t="s">
        <v>109</v>
      </c>
      <c r="B8" s="123">
        <v>1</v>
      </c>
      <c r="C8" s="126">
        <v>1</v>
      </c>
      <c r="D8" s="124" t="s">
        <v>110</v>
      </c>
      <c r="E8" s="192">
        <v>107</v>
      </c>
      <c r="F8" s="125">
        <f>ROUND(E8*Valores!$C$2,2)</f>
        <v>6304.47</v>
      </c>
      <c r="G8" s="192">
        <v>3779</v>
      </c>
      <c r="H8" s="125">
        <f>ROUND(G8*Valores!$C$2,2)</f>
        <v>222659.81</v>
      </c>
      <c r="I8" s="192">
        <v>219</v>
      </c>
      <c r="J8" s="125">
        <f>ROUND(I8*Valores!$C$2,2)</f>
        <v>12903.55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66876.2</v>
      </c>
      <c r="N8" s="125">
        <f aca="true" t="shared" si="0" ref="N8:N71">ROUND(SUM(F8,H8,J8,L8,X8,R8)*$H$2,2)</f>
        <v>0</v>
      </c>
      <c r="O8" s="125">
        <f>Valores!$C$11</f>
        <v>52534.17</v>
      </c>
      <c r="P8" s="125">
        <f>Valores!$D$5</f>
        <v>30120.06</v>
      </c>
      <c r="Q8" s="125">
        <v>0</v>
      </c>
      <c r="R8" s="125">
        <f>IF($F$4="NO",Valores!$C$46,Valores!$C$46/2)</f>
        <v>25636.983348</v>
      </c>
      <c r="S8" s="125">
        <v>0</v>
      </c>
      <c r="T8" s="125">
        <f>ROUND(S8*(1+$H$2),2)</f>
        <v>0</v>
      </c>
      <c r="U8" s="125">
        <f>SUM(F8,H8,J8)</f>
        <v>241867.83</v>
      </c>
      <c r="V8" s="125">
        <f>INT((SUM(F8,H8,J8)*0.4*100)+0.49)/100</f>
        <v>96747.13</v>
      </c>
      <c r="W8" s="192">
        <v>0</v>
      </c>
      <c r="X8" s="125">
        <f>ROUND(W8*Valores!$C$2,2)</f>
        <v>0</v>
      </c>
      <c r="Y8" s="125">
        <v>0</v>
      </c>
      <c r="Z8" s="125">
        <f>Valores!$C$95</f>
        <v>41242.8</v>
      </c>
      <c r="AA8" s="125">
        <f>Valores!$C$25</f>
        <v>1231.85</v>
      </c>
      <c r="AB8" s="214">
        <v>0</v>
      </c>
      <c r="AC8" s="125">
        <f aca="true" t="shared" si="1" ref="AC8:AC71">ROUND(SUM(F8,H8,J8,X8,R8)*AB8,2)</f>
        <v>0</v>
      </c>
      <c r="AD8" s="125">
        <f>Valores!$C$26</f>
        <v>1231.85</v>
      </c>
      <c r="AE8" s="192">
        <v>0</v>
      </c>
      <c r="AF8" s="125">
        <f>ROUND(AE8*Valores!$C$2,2)</f>
        <v>0</v>
      </c>
      <c r="AG8" s="125">
        <f>SUM(F8,H8,J8,L8,M8,N8,O8,P8,Q8,R8,T8,U8,V8,X8,Y8,Z8,AA8,AC8,AD8,AF8,AH8)*Valores!$C$69</f>
        <v>104933.75140189199</v>
      </c>
      <c r="AH8" s="125">
        <f>ROUND(IF($F$4="NO",Valores!$C$63,Valores!$C$63/2),2)</f>
        <v>14083.23</v>
      </c>
      <c r="AI8" s="125">
        <f aca="true" t="shared" si="2" ref="AI8:AI71">SUM(F8,H8,J8,L8,M8,N8,O8,P8,Q8,R8,T8,U8,V8,X8,Y8,Z8,AA8,AC8,AD8,AF8,AG8,AH8)</f>
        <v>918373.684749892</v>
      </c>
      <c r="AJ8" s="125">
        <f>Valores!$C$31</f>
        <v>0</v>
      </c>
      <c r="AK8" s="125">
        <f>Valores!$C$88</f>
        <v>0</v>
      </c>
      <c r="AL8" s="125">
        <f>Valores!C$38*B8</f>
        <v>0</v>
      </c>
      <c r="AM8" s="125">
        <f>IF($F$3="NO",0,Valores!$C$55)</f>
        <v>0</v>
      </c>
      <c r="AN8" s="125">
        <f aca="true" t="shared" si="3" ref="AN8:AN71">SUM(AJ8:AM8)</f>
        <v>0</v>
      </c>
      <c r="AO8" s="125">
        <f>AI8*Valores!$C$71</f>
        <v>-101021.10532248812</v>
      </c>
      <c r="AP8" s="125">
        <f>AI8*Valores!$C$72</f>
        <v>-18367.47369499784</v>
      </c>
      <c r="AQ8" s="125">
        <f>AI8*-Valores!$C$73</f>
        <v>0</v>
      </c>
      <c r="AR8" s="125">
        <f>AI8*Valores!$C$74</f>
        <v>-50510.55266124406</v>
      </c>
      <c r="AS8" s="125">
        <f>Valores!$C$101</f>
        <v>-1270</v>
      </c>
      <c r="AT8" s="125">
        <f>IF($F$5=0,Valores!$C$102,(Valores!$C$102+$F$5*(Valores!$C$102)))</f>
        <v>-3700</v>
      </c>
      <c r="AU8" s="125">
        <f>AI8+AN8+SUM(AO8:AT8)</f>
        <v>743504.553071162</v>
      </c>
      <c r="AV8" s="125">
        <f aca="true" t="shared" si="4" ref="AV8:AV70">AO8</f>
        <v>-101021.10532248812</v>
      </c>
      <c r="AW8" s="125"/>
      <c r="AX8" s="125">
        <f>AI8*Valores!$C$75</f>
        <v>-24796.089488247082</v>
      </c>
      <c r="AY8" s="125">
        <f>AI8*Valores!$C$76</f>
        <v>-2755.121054249676</v>
      </c>
      <c r="AZ8" s="125">
        <f aca="true" t="shared" si="5" ref="AZ8:AZ71">AI8+AN8+SUM(AV8:AY8)</f>
        <v>789801.3688849071</v>
      </c>
      <c r="BA8" s="125">
        <f>AI8*Valores!$C$78</f>
        <v>146939.78955998272</v>
      </c>
      <c r="BB8" s="125">
        <f>AI8*Valores!$C$79</f>
        <v>64286.157932492446</v>
      </c>
      <c r="BC8" s="125">
        <f>AI8*Valores!$C$80</f>
        <v>9183.73684749892</v>
      </c>
      <c r="BD8" s="125">
        <f>AI8*Valores!$C$82</f>
        <v>32143.078966246223</v>
      </c>
      <c r="BE8" s="125">
        <f>AI8*Valores!$C$84</f>
        <v>49592.178976494164</v>
      </c>
      <c r="BF8" s="125">
        <f>AI8*Valores!$C$83</f>
        <v>5510.242108499352</v>
      </c>
      <c r="BG8" s="126">
        <v>33</v>
      </c>
      <c r="BH8" s="126">
        <v>45</v>
      </c>
      <c r="BI8" s="123" t="s">
        <v>8</v>
      </c>
    </row>
    <row r="9" spans="1:61" s="110" customFormat="1" ht="11.25" customHeight="1">
      <c r="A9" s="123" t="s">
        <v>111</v>
      </c>
      <c r="B9" s="123">
        <v>1</v>
      </c>
      <c r="C9" s="126">
        <v>2</v>
      </c>
      <c r="D9" s="124" t="s">
        <v>112</v>
      </c>
      <c r="E9" s="192">
        <v>107</v>
      </c>
      <c r="F9" s="125">
        <f>ROUND(E9*Valores!$C$2,2)</f>
        <v>6304.47</v>
      </c>
      <c r="G9" s="192">
        <v>3779</v>
      </c>
      <c r="H9" s="125">
        <f>ROUND(G9*Valores!$C$2,2)</f>
        <v>222659.81</v>
      </c>
      <c r="I9" s="192">
        <v>219</v>
      </c>
      <c r="J9" s="125">
        <f>ROUND(I9*Valores!$C$2,2)</f>
        <v>12903.55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66876.2</v>
      </c>
      <c r="N9" s="125">
        <f t="shared" si="0"/>
        <v>0</v>
      </c>
      <c r="O9" s="125">
        <f>Valores!$C$11</f>
        <v>52534.17</v>
      </c>
      <c r="P9" s="125">
        <f>Valores!$D$5</f>
        <v>30120.06</v>
      </c>
      <c r="Q9" s="125">
        <v>0</v>
      </c>
      <c r="R9" s="125">
        <f>IF($F$4="NO",Valores!$C$46,Valores!$C$46/2)</f>
        <v>25636.983348</v>
      </c>
      <c r="S9" s="125">
        <v>0</v>
      </c>
      <c r="T9" s="125">
        <f>ROUND(S9*(1+$H$2),2)</f>
        <v>0</v>
      </c>
      <c r="U9" s="125">
        <f>SUM(F9,H9,J9)</f>
        <v>241867.83</v>
      </c>
      <c r="V9" s="125">
        <f>INT((SUM(F9,H9,J9)*0.4*100)+0.49)/100</f>
        <v>96747.13</v>
      </c>
      <c r="W9" s="192">
        <v>0</v>
      </c>
      <c r="X9" s="125">
        <f>ROUND(W9*Valores!$C$2,2)</f>
        <v>0</v>
      </c>
      <c r="Y9" s="125">
        <v>0</v>
      </c>
      <c r="Z9" s="125">
        <f>Valores!$C$95</f>
        <v>41242.8</v>
      </c>
      <c r="AA9" s="125">
        <f>Valores!$C$25</f>
        <v>1231.85</v>
      </c>
      <c r="AB9" s="214">
        <v>0</v>
      </c>
      <c r="AC9" s="125">
        <f t="shared" si="1"/>
        <v>0</v>
      </c>
      <c r="AD9" s="125">
        <f>Valores!$C$26</f>
        <v>1231.85</v>
      </c>
      <c r="AE9" s="192">
        <v>0</v>
      </c>
      <c r="AF9" s="125">
        <f>ROUND(AE9*Valores!$C$2,2)</f>
        <v>0</v>
      </c>
      <c r="AG9" s="125">
        <f>SUM(F9,H9,J9,L9,M9,N9,O9,P9,Q9,R9,T9,U9,V9,X9,Y9,Z9,AA9,AC9,AD9,AF9,AH9)*Valores!$C$69</f>
        <v>104933.75140189199</v>
      </c>
      <c r="AH9" s="125">
        <f>ROUND(IF($F$4="NO",Valores!$C$63,Valores!$C$63/2),2)</f>
        <v>14083.23</v>
      </c>
      <c r="AI9" s="125">
        <f t="shared" si="2"/>
        <v>918373.684749892</v>
      </c>
      <c r="AJ9" s="125">
        <f>Valores!$C$31</f>
        <v>0</v>
      </c>
      <c r="AK9" s="125">
        <f>Valores!$C$88</f>
        <v>0</v>
      </c>
      <c r="AL9" s="125">
        <f>Valores!C$38*B9</f>
        <v>0</v>
      </c>
      <c r="AM9" s="125">
        <f>IF($F$3="NO",0,Valores!$C$55)</f>
        <v>0</v>
      </c>
      <c r="AN9" s="125">
        <f t="shared" si="3"/>
        <v>0</v>
      </c>
      <c r="AO9" s="125">
        <f>AI9*Valores!$C$71</f>
        <v>-101021.10532248812</v>
      </c>
      <c r="AP9" s="125">
        <f>AI9*Valores!$C$72</f>
        <v>-18367.47369499784</v>
      </c>
      <c r="AQ9" s="125">
        <f>AI9*-Valores!$C$73</f>
        <v>0</v>
      </c>
      <c r="AR9" s="125">
        <f>AI9*Valores!$C$74</f>
        <v>-50510.55266124406</v>
      </c>
      <c r="AS9" s="125">
        <f>Valores!$C$101</f>
        <v>-1270</v>
      </c>
      <c r="AT9" s="125">
        <f>IF($F$5=0,Valores!$C$102,(Valores!$C$102+$F$5*(Valores!$C$102)))</f>
        <v>-3700</v>
      </c>
      <c r="AU9" s="125">
        <f aca="true" t="shared" si="6" ref="AU9:AU72">AI9+SUM(AN9:AT9)</f>
        <v>743504.553071162</v>
      </c>
      <c r="AV9" s="125">
        <f t="shared" si="4"/>
        <v>-101021.10532248812</v>
      </c>
      <c r="AW9" s="125"/>
      <c r="AX9" s="125">
        <f>AI9*Valores!$C$75</f>
        <v>-24796.089488247082</v>
      </c>
      <c r="AY9" s="125">
        <f>AI9*Valores!$C$76</f>
        <v>-2755.121054249676</v>
      </c>
      <c r="AZ9" s="125">
        <f t="shared" si="5"/>
        <v>789801.3688849071</v>
      </c>
      <c r="BA9" s="125">
        <f>AI9*Valores!$C$78</f>
        <v>146939.78955998272</v>
      </c>
      <c r="BB9" s="125">
        <f>AI9*Valores!$C$79</f>
        <v>64286.157932492446</v>
      </c>
      <c r="BC9" s="125">
        <f>AI9*Valores!$C$80</f>
        <v>9183.73684749892</v>
      </c>
      <c r="BD9" s="125">
        <f>AI9*Valores!$C$82</f>
        <v>32143.078966246223</v>
      </c>
      <c r="BE9" s="125">
        <f>AI9*Valores!$C$84</f>
        <v>49592.178976494164</v>
      </c>
      <c r="BF9" s="125">
        <f>AI9*Valores!$C$83</f>
        <v>5510.242108499352</v>
      </c>
      <c r="BG9" s="126">
        <v>33</v>
      </c>
      <c r="BH9" s="126">
        <v>45</v>
      </c>
      <c r="BI9" s="123" t="s">
        <v>8</v>
      </c>
    </row>
    <row r="10" spans="1:61" s="110" customFormat="1" ht="11.25" customHeight="1">
      <c r="A10" s="123" t="s">
        <v>113</v>
      </c>
      <c r="B10" s="123">
        <v>1</v>
      </c>
      <c r="C10" s="126">
        <v>3</v>
      </c>
      <c r="D10" s="124" t="s">
        <v>114</v>
      </c>
      <c r="E10" s="192">
        <v>107</v>
      </c>
      <c r="F10" s="125">
        <f>ROUND(E10*Valores!$C$2,2)</f>
        <v>6304.47</v>
      </c>
      <c r="G10" s="192">
        <v>3720</v>
      </c>
      <c r="H10" s="125">
        <f>ROUND(G10*Valores!$C$2,2)</f>
        <v>219183.52</v>
      </c>
      <c r="I10" s="192">
        <v>1226</v>
      </c>
      <c r="J10" s="125">
        <f>ROUND(I10*Valores!$C$2,2)</f>
        <v>72236.29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87846.66</v>
      </c>
      <c r="N10" s="125">
        <f t="shared" si="0"/>
        <v>0</v>
      </c>
      <c r="O10" s="125">
        <f>Valores!$C$13</f>
        <v>53965.993434</v>
      </c>
      <c r="P10" s="125">
        <f>Valores!$D$5</f>
        <v>30120.06</v>
      </c>
      <c r="Q10" s="125">
        <v>0</v>
      </c>
      <c r="R10" s="125">
        <f>IF($F$4="NO",Valores!$C$46,Valores!$C$46/2)</f>
        <v>25636.983348</v>
      </c>
      <c r="S10" s="125">
        <f>Valores!$C$19</f>
        <v>28025.371999999996</v>
      </c>
      <c r="T10" s="125">
        <f>ROUND(S10*(1+$H$2),2)</f>
        <v>28025.37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Valores!$C$95</f>
        <v>41242.8</v>
      </c>
      <c r="AA10" s="125">
        <f>Valores!$C$25</f>
        <v>1231.85</v>
      </c>
      <c r="AB10" s="214">
        <v>0</v>
      </c>
      <c r="AC10" s="125">
        <f t="shared" si="1"/>
        <v>0</v>
      </c>
      <c r="AD10" s="125">
        <f>Valores!$C$26</f>
        <v>1231.85</v>
      </c>
      <c r="AE10" s="192">
        <v>0</v>
      </c>
      <c r="AF10" s="125">
        <f>ROUND(AE10*Valores!$C$2,2)</f>
        <v>0</v>
      </c>
      <c r="AG10" s="125">
        <f>SUM(F10,H10,J10,L10,M10,N10,O10,P10,Q10,R10,T10,U10,V10,X10,Y10,Z10,AA10,AC10,AD10,AF10,AH10)*Valores!$C$69</f>
        <v>74963.07090487798</v>
      </c>
      <c r="AH10" s="125">
        <f>ROUND(IF($F$4="NO",Valores!$C$63,Valores!$C$63/2),2)</f>
        <v>14083.23</v>
      </c>
      <c r="AI10" s="125">
        <f t="shared" si="2"/>
        <v>656072.1476868779</v>
      </c>
      <c r="AJ10" s="125">
        <f>Valores!$C$31</f>
        <v>0</v>
      </c>
      <c r="AK10" s="125">
        <f>Valores!$C$88</f>
        <v>0</v>
      </c>
      <c r="AL10" s="125">
        <f>Valores!C$38*B10</f>
        <v>0</v>
      </c>
      <c r="AM10" s="125">
        <f>IF($F$3="NO",0,Valores!$C$55)</f>
        <v>0</v>
      </c>
      <c r="AN10" s="125">
        <f t="shared" si="3"/>
        <v>0</v>
      </c>
      <c r="AO10" s="125">
        <f>AI10*Valores!$C$71</f>
        <v>-72167.93624555657</v>
      </c>
      <c r="AP10" s="125">
        <f>AI10*Valores!$C$72</f>
        <v>-13121.442953737558</v>
      </c>
      <c r="AQ10" s="125">
        <f>AI10*-Valores!$C$73</f>
        <v>0</v>
      </c>
      <c r="AR10" s="125">
        <f>AI10*Valores!$C$74</f>
        <v>-36083.968122778286</v>
      </c>
      <c r="AS10" s="125">
        <f>Valores!$C$101</f>
        <v>-1270</v>
      </c>
      <c r="AT10" s="125">
        <f>IF($F$5=0,Valores!$C$102,(Valores!$C$102+$F$5*(Valores!$C$102)))</f>
        <v>-3700</v>
      </c>
      <c r="AU10" s="125">
        <f t="shared" si="6"/>
        <v>529728.8003648055</v>
      </c>
      <c r="AV10" s="125">
        <f t="shared" si="4"/>
        <v>-72167.93624555657</v>
      </c>
      <c r="AW10" s="125"/>
      <c r="AX10" s="125">
        <f>AI10*Valores!$C$75</f>
        <v>-17713.947987545704</v>
      </c>
      <c r="AY10" s="125">
        <f>AI10*Valores!$C$76</f>
        <v>-1968.2164430606335</v>
      </c>
      <c r="AZ10" s="125">
        <f t="shared" si="5"/>
        <v>564222.047010715</v>
      </c>
      <c r="BA10" s="125">
        <f>AI10*Valores!$C$78</f>
        <v>104971.54362990047</v>
      </c>
      <c r="BB10" s="125">
        <f>AI10*Valores!$C$79</f>
        <v>45925.050338081455</v>
      </c>
      <c r="BC10" s="125">
        <f>AI10*Valores!$C$80</f>
        <v>6560.721476868779</v>
      </c>
      <c r="BD10" s="125">
        <f>AI10*Valores!$C$82</f>
        <v>22962.525169040728</v>
      </c>
      <c r="BE10" s="125">
        <f>AI10*Valores!$C$84</f>
        <v>35427.89597509141</v>
      </c>
      <c r="BF10" s="125">
        <f>AI10*Valores!$C$83</f>
        <v>3936.432886121267</v>
      </c>
      <c r="BG10" s="126">
        <v>35</v>
      </c>
      <c r="BH10" s="126">
        <v>45</v>
      </c>
      <c r="BI10" s="123" t="s">
        <v>4</v>
      </c>
    </row>
    <row r="11" spans="1:61" s="110" customFormat="1" ht="11.25" customHeight="1">
      <c r="A11" s="123" t="s">
        <v>115</v>
      </c>
      <c r="B11" s="123">
        <v>1</v>
      </c>
      <c r="C11" s="126">
        <v>4</v>
      </c>
      <c r="D11" s="124" t="s">
        <v>116</v>
      </c>
      <c r="E11" s="192">
        <v>107</v>
      </c>
      <c r="F11" s="125">
        <f>ROUND(E11*Valores!$C$2,2)</f>
        <v>6304.47</v>
      </c>
      <c r="G11" s="192">
        <v>3779</v>
      </c>
      <c r="H11" s="125">
        <f>ROUND(G11*Valores!$C$2,2)</f>
        <v>222659.81</v>
      </c>
      <c r="I11" s="192">
        <v>219</v>
      </c>
      <c r="J11" s="125">
        <f>ROUND(I11*Valores!$C$2,2)</f>
        <v>12903.55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66876.2</v>
      </c>
      <c r="N11" s="125">
        <f t="shared" si="0"/>
        <v>0</v>
      </c>
      <c r="O11" s="125">
        <f>Valores!$C$11</f>
        <v>52534.17</v>
      </c>
      <c r="P11" s="125">
        <f>Valores!$D$5</f>
        <v>30120.06</v>
      </c>
      <c r="Q11" s="125">
        <v>0</v>
      </c>
      <c r="R11" s="125">
        <f>IF($F$4="NO",Valores!$C$46,Valores!$C$46/2)</f>
        <v>25636.983348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241867.83</v>
      </c>
      <c r="V11" s="125">
        <f aca="true" t="shared" si="9" ref="V11:V20">INT((SUM(F11,H11,J11)*0.4*100)+0.49)/100</f>
        <v>96747.13</v>
      </c>
      <c r="W11" s="192">
        <v>0</v>
      </c>
      <c r="X11" s="125">
        <f>ROUND(W11*Valores!$C$2,2)</f>
        <v>0</v>
      </c>
      <c r="Y11" s="125">
        <v>0</v>
      </c>
      <c r="Z11" s="125">
        <f>Valores!$C$95</f>
        <v>41242.8</v>
      </c>
      <c r="AA11" s="125">
        <f>Valores!$C$25</f>
        <v>1231.85</v>
      </c>
      <c r="AB11" s="214">
        <v>0</v>
      </c>
      <c r="AC11" s="125">
        <f t="shared" si="1"/>
        <v>0</v>
      </c>
      <c r="AD11" s="125">
        <f>Valores!$C$26</f>
        <v>1231.85</v>
      </c>
      <c r="AE11" s="192">
        <v>0</v>
      </c>
      <c r="AF11" s="125">
        <f>ROUND(AE11*Valores!$C$2,2)</f>
        <v>0</v>
      </c>
      <c r="AG11" s="125">
        <f>SUM(F11,H11,J11,L11,M11,N11,O11,P11,Q11,R11,T11,U11,V11,X11,Y11,Z11,AA11,AC11,AD11,AF11,AH11)*Valores!$C$69</f>
        <v>104933.75140189199</v>
      </c>
      <c r="AH11" s="125">
        <f>ROUND(IF($F$4="NO",Valores!$C$63,Valores!$C$63/2),2)</f>
        <v>14083.23</v>
      </c>
      <c r="AI11" s="125">
        <f t="shared" si="2"/>
        <v>918373.684749892</v>
      </c>
      <c r="AJ11" s="125">
        <f>Valores!$C$31</f>
        <v>0</v>
      </c>
      <c r="AK11" s="125">
        <f>Valores!$C$88</f>
        <v>0</v>
      </c>
      <c r="AL11" s="125">
        <f>Valores!C$38*B11</f>
        <v>0</v>
      </c>
      <c r="AM11" s="125">
        <f>IF($F$3="NO",0,Valores!$C$55)</f>
        <v>0</v>
      </c>
      <c r="AN11" s="125">
        <f t="shared" si="3"/>
        <v>0</v>
      </c>
      <c r="AO11" s="125">
        <f>AI11*Valores!$C$71</f>
        <v>-101021.10532248812</v>
      </c>
      <c r="AP11" s="125">
        <f>AI11*Valores!$C$72</f>
        <v>-18367.47369499784</v>
      </c>
      <c r="AQ11" s="125">
        <f>AI11*-Valores!$C$73</f>
        <v>0</v>
      </c>
      <c r="AR11" s="125">
        <f>AI11*Valores!$C$74</f>
        <v>-50510.55266124406</v>
      </c>
      <c r="AS11" s="125">
        <f>Valores!$C$101</f>
        <v>-1270</v>
      </c>
      <c r="AT11" s="125">
        <f>IF($F$5=0,Valores!$C$102,(Valores!$C$102+$F$5*(Valores!$C$102)))</f>
        <v>-3700</v>
      </c>
      <c r="AU11" s="125">
        <f t="shared" si="6"/>
        <v>743504.553071162</v>
      </c>
      <c r="AV11" s="125">
        <f t="shared" si="4"/>
        <v>-101021.10532248812</v>
      </c>
      <c r="AW11" s="125">
        <f>AP11</f>
        <v>-18367.47369499784</v>
      </c>
      <c r="AX11" s="125">
        <f>AI11*Valores!$C$75</f>
        <v>-24796.089488247082</v>
      </c>
      <c r="AY11" s="125">
        <f>AI11*Valores!$C$76</f>
        <v>-2755.121054249676</v>
      </c>
      <c r="AZ11" s="125">
        <f t="shared" si="5"/>
        <v>771433.8951899093</v>
      </c>
      <c r="BA11" s="125">
        <f>AI11*Valores!$C$78</f>
        <v>146939.78955998272</v>
      </c>
      <c r="BB11" s="125">
        <f>AI11*Valores!$C$79</f>
        <v>64286.157932492446</v>
      </c>
      <c r="BC11" s="125">
        <f>AI11*Valores!$C$80</f>
        <v>9183.73684749892</v>
      </c>
      <c r="BD11" s="125">
        <f>AI11*Valores!$C$82</f>
        <v>32143.078966246223</v>
      </c>
      <c r="BE11" s="125">
        <f>AI11*Valores!$C$84</f>
        <v>49592.178976494164</v>
      </c>
      <c r="BF11" s="125">
        <f>AI11*Valores!$C$83</f>
        <v>5510.242108499352</v>
      </c>
      <c r="BG11" s="126">
        <v>33</v>
      </c>
      <c r="BH11" s="126">
        <v>45</v>
      </c>
      <c r="BI11" s="123" t="s">
        <v>8</v>
      </c>
    </row>
    <row r="12" spans="1:61" s="110" customFormat="1" ht="11.25" customHeight="1">
      <c r="A12" s="123" t="s">
        <v>117</v>
      </c>
      <c r="B12" s="123">
        <v>1</v>
      </c>
      <c r="C12" s="126">
        <v>5</v>
      </c>
      <c r="D12" s="124" t="s">
        <v>118</v>
      </c>
      <c r="E12" s="192">
        <v>107</v>
      </c>
      <c r="F12" s="125">
        <f>ROUND(E12*Valores!$C$2,2)</f>
        <v>6304.47</v>
      </c>
      <c r="G12" s="192">
        <v>3779</v>
      </c>
      <c r="H12" s="125">
        <f>ROUND(G12*Valores!$C$2,2)</f>
        <v>222659.81</v>
      </c>
      <c r="I12" s="192">
        <v>219</v>
      </c>
      <c r="J12" s="125">
        <f>ROUND(I12*Valores!$C$2,2)</f>
        <v>12903.55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66876.2</v>
      </c>
      <c r="N12" s="125">
        <f t="shared" si="0"/>
        <v>0</v>
      </c>
      <c r="O12" s="125">
        <f>Valores!$C$11</f>
        <v>52534.17</v>
      </c>
      <c r="P12" s="125">
        <f>Valores!$D$5</f>
        <v>30120.06</v>
      </c>
      <c r="Q12" s="125">
        <v>0</v>
      </c>
      <c r="R12" s="125">
        <f>IF($F$4="NO",Valores!$C$46,Valores!$C$46/2)</f>
        <v>25636.983348</v>
      </c>
      <c r="S12" s="125">
        <v>0</v>
      </c>
      <c r="T12" s="125">
        <f t="shared" si="7"/>
        <v>0</v>
      </c>
      <c r="U12" s="125">
        <f t="shared" si="8"/>
        <v>241867.83</v>
      </c>
      <c r="V12" s="125">
        <f t="shared" si="9"/>
        <v>96747.13</v>
      </c>
      <c r="W12" s="192">
        <v>0</v>
      </c>
      <c r="X12" s="125">
        <f>ROUND(W12*Valores!$C$2,2)</f>
        <v>0</v>
      </c>
      <c r="Y12" s="125">
        <v>0</v>
      </c>
      <c r="Z12" s="125">
        <f>Valores!$C$95</f>
        <v>41242.8</v>
      </c>
      <c r="AA12" s="125">
        <f>Valores!$C$25</f>
        <v>1231.85</v>
      </c>
      <c r="AB12" s="214">
        <v>0</v>
      </c>
      <c r="AC12" s="125">
        <f t="shared" si="1"/>
        <v>0</v>
      </c>
      <c r="AD12" s="125">
        <f>Valores!$C$26</f>
        <v>1231.85</v>
      </c>
      <c r="AE12" s="192">
        <v>0</v>
      </c>
      <c r="AF12" s="125">
        <f>ROUND(AE12*Valores!$C$2,2)</f>
        <v>0</v>
      </c>
      <c r="AG12" s="125">
        <f>SUM(F12,H12,J12,L12,M12,N12,O12,P12,Q12,R12,T12,U12,V12,X12,Y12,Z12,AA12,AC12,AD12,AF12,AH12)*Valores!$C$69</f>
        <v>104933.75140189199</v>
      </c>
      <c r="AH12" s="125">
        <f>ROUND(IF($F$4="NO",Valores!$C$63,Valores!$C$63/2),2)</f>
        <v>14083.23</v>
      </c>
      <c r="AI12" s="125">
        <f t="shared" si="2"/>
        <v>918373.684749892</v>
      </c>
      <c r="AJ12" s="125">
        <f>Valores!$C$31</f>
        <v>0</v>
      </c>
      <c r="AK12" s="125">
        <f>Valores!$C$88</f>
        <v>0</v>
      </c>
      <c r="AL12" s="125">
        <f>Valores!C$38*B12</f>
        <v>0</v>
      </c>
      <c r="AM12" s="125">
        <f>IF($F$3="NO",0,Valores!$C$55)</f>
        <v>0</v>
      </c>
      <c r="AN12" s="125">
        <f t="shared" si="3"/>
        <v>0</v>
      </c>
      <c r="AO12" s="125">
        <f>AI12*Valores!$C$71</f>
        <v>-101021.10532248812</v>
      </c>
      <c r="AP12" s="125">
        <f>AI12*Valores!$C$72</f>
        <v>-18367.47369499784</v>
      </c>
      <c r="AQ12" s="125">
        <f>AI12*-Valores!$C$73</f>
        <v>0</v>
      </c>
      <c r="AR12" s="125">
        <f>AI12*Valores!$C$74</f>
        <v>-50510.55266124406</v>
      </c>
      <c r="AS12" s="125">
        <f>Valores!$C$101</f>
        <v>-1270</v>
      </c>
      <c r="AT12" s="125">
        <f>IF($F$5=0,Valores!$C$102,(Valores!$C$102+$F$5*(Valores!$C$102)))</f>
        <v>-3700</v>
      </c>
      <c r="AU12" s="125">
        <f t="shared" si="6"/>
        <v>743504.553071162</v>
      </c>
      <c r="AV12" s="125">
        <f t="shared" si="4"/>
        <v>-101021.10532248812</v>
      </c>
      <c r="AW12" s="125">
        <f aca="true" t="shared" si="10" ref="AW12:AW75">AP12</f>
        <v>-18367.47369499784</v>
      </c>
      <c r="AX12" s="125">
        <f>AI12*Valores!$C$75</f>
        <v>-24796.089488247082</v>
      </c>
      <c r="AY12" s="125">
        <f>AI12*Valores!$C$76</f>
        <v>-2755.121054249676</v>
      </c>
      <c r="AZ12" s="125">
        <f t="shared" si="5"/>
        <v>771433.8951899093</v>
      </c>
      <c r="BA12" s="125">
        <f>AI12*Valores!$C$78</f>
        <v>146939.78955998272</v>
      </c>
      <c r="BB12" s="125">
        <f>AI12*Valores!$C$79</f>
        <v>64286.157932492446</v>
      </c>
      <c r="BC12" s="125">
        <f>AI12*Valores!$C$80</f>
        <v>9183.73684749892</v>
      </c>
      <c r="BD12" s="125">
        <f>AI12*Valores!$C$82</f>
        <v>32143.078966246223</v>
      </c>
      <c r="BE12" s="125">
        <f>AI12*Valores!$C$84</f>
        <v>49592.178976494164</v>
      </c>
      <c r="BF12" s="125">
        <f>AI12*Valores!$C$83</f>
        <v>5510.242108499352</v>
      </c>
      <c r="BG12" s="126">
        <v>33</v>
      </c>
      <c r="BH12" s="126">
        <v>45</v>
      </c>
      <c r="BI12" s="123" t="s">
        <v>8</v>
      </c>
    </row>
    <row r="13" spans="1:61" s="110" customFormat="1" ht="11.25" customHeight="1">
      <c r="A13" s="123" t="s">
        <v>119</v>
      </c>
      <c r="B13" s="123">
        <v>1</v>
      </c>
      <c r="C13" s="126">
        <v>6</v>
      </c>
      <c r="D13" s="124" t="s">
        <v>120</v>
      </c>
      <c r="E13" s="192">
        <v>107</v>
      </c>
      <c r="F13" s="125">
        <f>ROUND(E13*Valores!$C$2,2)</f>
        <v>6304.47</v>
      </c>
      <c r="G13" s="192">
        <v>3779</v>
      </c>
      <c r="H13" s="125">
        <f>ROUND(G13*Valores!$C$2,2)</f>
        <v>222659.81</v>
      </c>
      <c r="I13" s="192">
        <v>219</v>
      </c>
      <c r="J13" s="125">
        <f>ROUND(I13*Valores!$C$2,2)</f>
        <v>12903.55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66876.2</v>
      </c>
      <c r="N13" s="125">
        <f t="shared" si="0"/>
        <v>0</v>
      </c>
      <c r="O13" s="125">
        <f>Valores!$C$11</f>
        <v>52534.17</v>
      </c>
      <c r="P13" s="125">
        <f>Valores!$D$5</f>
        <v>30120.06</v>
      </c>
      <c r="Q13" s="125">
        <v>0</v>
      </c>
      <c r="R13" s="125">
        <f>IF($F$4="NO",Valores!$C$46,Valores!$C$46/2)</f>
        <v>25636.983348</v>
      </c>
      <c r="S13" s="125">
        <v>0</v>
      </c>
      <c r="T13" s="125">
        <f t="shared" si="7"/>
        <v>0</v>
      </c>
      <c r="U13" s="125">
        <f t="shared" si="8"/>
        <v>241867.83</v>
      </c>
      <c r="V13" s="125">
        <f t="shared" si="9"/>
        <v>96747.13</v>
      </c>
      <c r="W13" s="192">
        <v>0</v>
      </c>
      <c r="X13" s="125">
        <f>ROUND(W13*Valores!$C$2,2)</f>
        <v>0</v>
      </c>
      <c r="Y13" s="125">
        <v>0</v>
      </c>
      <c r="Z13" s="125">
        <f>Valores!$C$95</f>
        <v>41242.8</v>
      </c>
      <c r="AA13" s="125">
        <f>Valores!$C$25</f>
        <v>1231.85</v>
      </c>
      <c r="AB13" s="214">
        <v>0</v>
      </c>
      <c r="AC13" s="125">
        <f t="shared" si="1"/>
        <v>0</v>
      </c>
      <c r="AD13" s="125">
        <f>Valores!$C$26</f>
        <v>1231.85</v>
      </c>
      <c r="AE13" s="192">
        <v>0</v>
      </c>
      <c r="AF13" s="125">
        <f>ROUND(AE13*Valores!$C$2,2)</f>
        <v>0</v>
      </c>
      <c r="AG13" s="125">
        <f>SUM(F13,H13,J13,L13,M13,N13,O13,P13,Q13,R13,T13,U13,V13,X13,Y13,Z13,AA13,AC13,AD13,AF13,AH13)*Valores!$C$69</f>
        <v>104933.75140189199</v>
      </c>
      <c r="AH13" s="125">
        <f>ROUND(IF($F$4="NO",Valores!$C$63,Valores!$C$63/2),2)</f>
        <v>14083.23</v>
      </c>
      <c r="AI13" s="125">
        <f t="shared" si="2"/>
        <v>918373.684749892</v>
      </c>
      <c r="AJ13" s="125">
        <f>Valores!$C$31</f>
        <v>0</v>
      </c>
      <c r="AK13" s="125">
        <f>Valores!$C$88</f>
        <v>0</v>
      </c>
      <c r="AL13" s="125">
        <f>Valores!C$38*B13</f>
        <v>0</v>
      </c>
      <c r="AM13" s="125">
        <f>IF($F$3="NO",0,Valores!$C$55)</f>
        <v>0</v>
      </c>
      <c r="AN13" s="125">
        <f t="shared" si="3"/>
        <v>0</v>
      </c>
      <c r="AO13" s="125">
        <f>AI13*Valores!$C$71</f>
        <v>-101021.10532248812</v>
      </c>
      <c r="AP13" s="125">
        <f>AI13*Valores!$C$72</f>
        <v>-18367.47369499784</v>
      </c>
      <c r="AQ13" s="125">
        <f>AI13*-Valores!$C$73</f>
        <v>0</v>
      </c>
      <c r="AR13" s="125">
        <f>AI13*Valores!$C$74</f>
        <v>-50510.55266124406</v>
      </c>
      <c r="AS13" s="125">
        <f>Valores!$C$101</f>
        <v>-1270</v>
      </c>
      <c r="AT13" s="125">
        <f>IF($F$5=0,Valores!$C$102,(Valores!$C$102+$F$5*(Valores!$C$102)))</f>
        <v>-3700</v>
      </c>
      <c r="AU13" s="125">
        <f t="shared" si="6"/>
        <v>743504.553071162</v>
      </c>
      <c r="AV13" s="125">
        <f t="shared" si="4"/>
        <v>-101021.10532248812</v>
      </c>
      <c r="AW13" s="125">
        <f t="shared" si="10"/>
        <v>-18367.47369499784</v>
      </c>
      <c r="AX13" s="125">
        <f>AI13*Valores!$C$75</f>
        <v>-24796.089488247082</v>
      </c>
      <c r="AY13" s="125">
        <f>AI13*Valores!$C$76</f>
        <v>-2755.121054249676</v>
      </c>
      <c r="AZ13" s="125">
        <f t="shared" si="5"/>
        <v>771433.8951899093</v>
      </c>
      <c r="BA13" s="125">
        <f>AI13*Valores!$C$78</f>
        <v>146939.78955998272</v>
      </c>
      <c r="BB13" s="125">
        <f>AI13*Valores!$C$79</f>
        <v>64286.157932492446</v>
      </c>
      <c r="BC13" s="125">
        <f>AI13*Valores!$C$80</f>
        <v>9183.73684749892</v>
      </c>
      <c r="BD13" s="125">
        <f>AI13*Valores!$C$82</f>
        <v>32143.078966246223</v>
      </c>
      <c r="BE13" s="125">
        <f>AI13*Valores!$C$84</f>
        <v>49592.178976494164</v>
      </c>
      <c r="BF13" s="125">
        <f>AI13*Valores!$C$83</f>
        <v>5510.242108499352</v>
      </c>
      <c r="BG13" s="126">
        <v>33</v>
      </c>
      <c r="BH13" s="126">
        <v>45</v>
      </c>
      <c r="BI13" s="123" t="s">
        <v>8</v>
      </c>
    </row>
    <row r="14" spans="1:61" s="110" customFormat="1" ht="11.25" customHeight="1">
      <c r="A14" s="123" t="s">
        <v>121</v>
      </c>
      <c r="B14" s="123">
        <v>1</v>
      </c>
      <c r="C14" s="126">
        <v>7</v>
      </c>
      <c r="D14" s="124" t="s">
        <v>122</v>
      </c>
      <c r="E14" s="192">
        <v>107</v>
      </c>
      <c r="F14" s="125">
        <f>ROUND(E14*Valores!$C$2,2)</f>
        <v>6304.47</v>
      </c>
      <c r="G14" s="192">
        <v>3779</v>
      </c>
      <c r="H14" s="125">
        <f>ROUND(G14*Valores!$C$2,2)</f>
        <v>222659.81</v>
      </c>
      <c r="I14" s="192">
        <v>219</v>
      </c>
      <c r="J14" s="125">
        <f>ROUND(I14*Valores!$C$2,2)</f>
        <v>12903.55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66876.2</v>
      </c>
      <c r="N14" s="125">
        <f t="shared" si="0"/>
        <v>0</v>
      </c>
      <c r="O14" s="125">
        <f>Valores!$C$11</f>
        <v>52534.17</v>
      </c>
      <c r="P14" s="125">
        <f>Valores!$D$5</f>
        <v>30120.06</v>
      </c>
      <c r="Q14" s="125">
        <v>0</v>
      </c>
      <c r="R14" s="125">
        <f>IF($F$4="NO",Valores!$C$46,Valores!$C$46/2)</f>
        <v>25636.983348</v>
      </c>
      <c r="S14" s="125">
        <v>0</v>
      </c>
      <c r="T14" s="125">
        <f t="shared" si="7"/>
        <v>0</v>
      </c>
      <c r="U14" s="125">
        <f t="shared" si="8"/>
        <v>241867.83</v>
      </c>
      <c r="V14" s="125">
        <f t="shared" si="9"/>
        <v>96747.13</v>
      </c>
      <c r="W14" s="192">
        <v>0</v>
      </c>
      <c r="X14" s="125">
        <f>ROUND(W14*Valores!$C$2,2)</f>
        <v>0</v>
      </c>
      <c r="Y14" s="125">
        <v>0</v>
      </c>
      <c r="Z14" s="125">
        <f>Valores!$C$95</f>
        <v>41242.8</v>
      </c>
      <c r="AA14" s="125">
        <f>Valores!$C$25</f>
        <v>1231.85</v>
      </c>
      <c r="AB14" s="214">
        <v>0</v>
      </c>
      <c r="AC14" s="125">
        <f t="shared" si="1"/>
        <v>0</v>
      </c>
      <c r="AD14" s="125">
        <f>Valores!$C$26</f>
        <v>1231.85</v>
      </c>
      <c r="AE14" s="192">
        <v>0</v>
      </c>
      <c r="AF14" s="125">
        <f>ROUND(AE14*Valores!$C$2,2)</f>
        <v>0</v>
      </c>
      <c r="AG14" s="125">
        <f>SUM(F14,H14,J14,L14,M14,N14,O14,P14,Q14,R14,T14,U14,V14,X14,Y14,Z14,AA14,AC14,AD14,AF14,AH14)*Valores!$C$69</f>
        <v>104933.75140189199</v>
      </c>
      <c r="AH14" s="125">
        <f>ROUND(IF($F$4="NO",Valores!$C$63,Valores!$C$63/2),2)</f>
        <v>14083.23</v>
      </c>
      <c r="AI14" s="125">
        <f t="shared" si="2"/>
        <v>918373.684749892</v>
      </c>
      <c r="AJ14" s="125">
        <f>Valores!$C$31</f>
        <v>0</v>
      </c>
      <c r="AK14" s="125">
        <f>Valores!$C$88</f>
        <v>0</v>
      </c>
      <c r="AL14" s="125">
        <f>Valores!C$38*B14</f>
        <v>0</v>
      </c>
      <c r="AM14" s="125">
        <f>IF($F$3="NO",0,Valores!$C$55)</f>
        <v>0</v>
      </c>
      <c r="AN14" s="125">
        <f t="shared" si="3"/>
        <v>0</v>
      </c>
      <c r="AO14" s="125">
        <f>AI14*Valores!$C$71</f>
        <v>-101021.10532248812</v>
      </c>
      <c r="AP14" s="125">
        <f>AI14*Valores!$C$72</f>
        <v>-18367.47369499784</v>
      </c>
      <c r="AQ14" s="125">
        <f>AI14*-Valores!$C$73</f>
        <v>0</v>
      </c>
      <c r="AR14" s="125">
        <f>AI14*Valores!$C$74</f>
        <v>-50510.55266124406</v>
      </c>
      <c r="AS14" s="125">
        <f>Valores!$C$101</f>
        <v>-1270</v>
      </c>
      <c r="AT14" s="125">
        <f>IF($F$5=0,Valores!$C$102,(Valores!$C$102+$F$5*(Valores!$C$102)))</f>
        <v>-3700</v>
      </c>
      <c r="AU14" s="125">
        <f t="shared" si="6"/>
        <v>743504.553071162</v>
      </c>
      <c r="AV14" s="125">
        <f t="shared" si="4"/>
        <v>-101021.10532248812</v>
      </c>
      <c r="AW14" s="125">
        <f t="shared" si="10"/>
        <v>-18367.47369499784</v>
      </c>
      <c r="AX14" s="125">
        <f>AI14*Valores!$C$75</f>
        <v>-24796.089488247082</v>
      </c>
      <c r="AY14" s="125">
        <f>AI14*Valores!$C$76</f>
        <v>-2755.121054249676</v>
      </c>
      <c r="AZ14" s="125">
        <f t="shared" si="5"/>
        <v>771433.8951899093</v>
      </c>
      <c r="BA14" s="125">
        <f>AI14*Valores!$C$78</f>
        <v>146939.78955998272</v>
      </c>
      <c r="BB14" s="125">
        <f>AI14*Valores!$C$79</f>
        <v>64286.157932492446</v>
      </c>
      <c r="BC14" s="125">
        <f>AI14*Valores!$C$80</f>
        <v>9183.73684749892</v>
      </c>
      <c r="BD14" s="125">
        <f>AI14*Valores!$C$82</f>
        <v>32143.078966246223</v>
      </c>
      <c r="BE14" s="125">
        <f>AI14*Valores!$C$84</f>
        <v>49592.178976494164</v>
      </c>
      <c r="BF14" s="125">
        <f>AI14*Valores!$C$83</f>
        <v>5510.242108499352</v>
      </c>
      <c r="BG14" s="126">
        <v>33</v>
      </c>
      <c r="BH14" s="126">
        <v>45</v>
      </c>
      <c r="BI14" s="123" t="s">
        <v>8</v>
      </c>
    </row>
    <row r="15" spans="1:61" s="110" customFormat="1" ht="11.25" customHeight="1">
      <c r="A15" s="123" t="s">
        <v>123</v>
      </c>
      <c r="B15" s="123">
        <v>1</v>
      </c>
      <c r="C15" s="126">
        <v>8</v>
      </c>
      <c r="D15" s="124" t="s">
        <v>124</v>
      </c>
      <c r="E15" s="192">
        <v>107</v>
      </c>
      <c r="F15" s="125">
        <f>ROUND(E15*Valores!$C$2,2)</f>
        <v>6304.47</v>
      </c>
      <c r="G15" s="192">
        <v>3779</v>
      </c>
      <c r="H15" s="125">
        <f>ROUND(G15*Valores!$C$2,2)</f>
        <v>222659.81</v>
      </c>
      <c r="I15" s="192">
        <v>219</v>
      </c>
      <c r="J15" s="125">
        <f>ROUND(I15*Valores!$C$2,2)</f>
        <v>12903.55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66876.2</v>
      </c>
      <c r="N15" s="125">
        <f t="shared" si="0"/>
        <v>0</v>
      </c>
      <c r="O15" s="125">
        <f>Valores!$C$11</f>
        <v>52534.17</v>
      </c>
      <c r="P15" s="125">
        <f>Valores!$D$5</f>
        <v>30120.06</v>
      </c>
      <c r="Q15" s="125">
        <v>0</v>
      </c>
      <c r="R15" s="125">
        <f>IF($F$4="NO",Valores!$C$46,Valores!$C$46/2)</f>
        <v>25636.983348</v>
      </c>
      <c r="S15" s="125">
        <v>0</v>
      </c>
      <c r="T15" s="125">
        <f t="shared" si="7"/>
        <v>0</v>
      </c>
      <c r="U15" s="125">
        <f t="shared" si="8"/>
        <v>241867.83</v>
      </c>
      <c r="V15" s="125">
        <f t="shared" si="9"/>
        <v>96747.13</v>
      </c>
      <c r="W15" s="192">
        <v>0</v>
      </c>
      <c r="X15" s="125">
        <f>ROUND(W15*Valores!$C$2,2)</f>
        <v>0</v>
      </c>
      <c r="Y15" s="125">
        <v>0</v>
      </c>
      <c r="Z15" s="125">
        <f>Valores!$C$95</f>
        <v>41242.8</v>
      </c>
      <c r="AA15" s="125">
        <f>Valores!$C$25</f>
        <v>1231.85</v>
      </c>
      <c r="AB15" s="214">
        <v>0</v>
      </c>
      <c r="AC15" s="125">
        <f t="shared" si="1"/>
        <v>0</v>
      </c>
      <c r="AD15" s="125">
        <f>Valores!$C$26</f>
        <v>1231.85</v>
      </c>
      <c r="AE15" s="192">
        <v>0</v>
      </c>
      <c r="AF15" s="125">
        <f>ROUND(AE15*Valores!$C$2,2)</f>
        <v>0</v>
      </c>
      <c r="AG15" s="125">
        <f>SUM(F15,H15,J15,L15,M15,N15,O15,P15,Q15,R15,T15,U15,V15,X15,Y15,Z15,AA15,AC15,AD15,AF15,AH15)*Valores!$C$69</f>
        <v>104933.75140189199</v>
      </c>
      <c r="AH15" s="125">
        <f>ROUND(IF($F$4="NO",Valores!$C$63,Valores!$C$63/2),2)</f>
        <v>14083.23</v>
      </c>
      <c r="AI15" s="125">
        <f t="shared" si="2"/>
        <v>918373.684749892</v>
      </c>
      <c r="AJ15" s="125">
        <f>Valores!$C$31</f>
        <v>0</v>
      </c>
      <c r="AK15" s="125">
        <f>Valores!$C$88</f>
        <v>0</v>
      </c>
      <c r="AL15" s="125">
        <f>Valores!C$38*B15</f>
        <v>0</v>
      </c>
      <c r="AM15" s="125">
        <f>IF($F$3="NO",0,Valores!$C$55)</f>
        <v>0</v>
      </c>
      <c r="AN15" s="125">
        <f t="shared" si="3"/>
        <v>0</v>
      </c>
      <c r="AO15" s="125">
        <f>AI15*Valores!$C$71</f>
        <v>-101021.10532248812</v>
      </c>
      <c r="AP15" s="125">
        <f>AI15*Valores!$C$72</f>
        <v>-18367.47369499784</v>
      </c>
      <c r="AQ15" s="125">
        <f>AI15*-Valores!$C$73</f>
        <v>0</v>
      </c>
      <c r="AR15" s="125">
        <f>AI15*Valores!$C$74</f>
        <v>-50510.55266124406</v>
      </c>
      <c r="AS15" s="125">
        <f>Valores!$C$101</f>
        <v>-1270</v>
      </c>
      <c r="AT15" s="125">
        <f>IF($F$5=0,Valores!$C$102,(Valores!$C$102+$F$5*(Valores!$C$102)))</f>
        <v>-3700</v>
      </c>
      <c r="AU15" s="125">
        <f t="shared" si="6"/>
        <v>743504.553071162</v>
      </c>
      <c r="AV15" s="125">
        <f t="shared" si="4"/>
        <v>-101021.10532248812</v>
      </c>
      <c r="AW15" s="125">
        <f t="shared" si="10"/>
        <v>-18367.47369499784</v>
      </c>
      <c r="AX15" s="125">
        <f>AI15*Valores!$C$75</f>
        <v>-24796.089488247082</v>
      </c>
      <c r="AY15" s="125">
        <f>AI15*Valores!$C$76</f>
        <v>-2755.121054249676</v>
      </c>
      <c r="AZ15" s="125">
        <f t="shared" si="5"/>
        <v>771433.8951899093</v>
      </c>
      <c r="BA15" s="125">
        <f>AI15*Valores!$C$78</f>
        <v>146939.78955998272</v>
      </c>
      <c r="BB15" s="125">
        <f>AI15*Valores!$C$79</f>
        <v>64286.157932492446</v>
      </c>
      <c r="BC15" s="125">
        <f>AI15*Valores!$C$80</f>
        <v>9183.73684749892</v>
      </c>
      <c r="BD15" s="125">
        <f>AI15*Valores!$C$82</f>
        <v>32143.078966246223</v>
      </c>
      <c r="BE15" s="125">
        <f>AI15*Valores!$C$84</f>
        <v>49592.178976494164</v>
      </c>
      <c r="BF15" s="125">
        <f>AI15*Valores!$C$83</f>
        <v>5510.242108499352</v>
      </c>
      <c r="BG15" s="126">
        <v>33</v>
      </c>
      <c r="BH15" s="126">
        <v>45</v>
      </c>
      <c r="BI15" s="123" t="s">
        <v>8</v>
      </c>
    </row>
    <row r="16" spans="1:61" s="110" customFormat="1" ht="11.25" customHeight="1">
      <c r="A16" s="123" t="s">
        <v>125</v>
      </c>
      <c r="B16" s="123">
        <v>1</v>
      </c>
      <c r="C16" s="126">
        <v>9</v>
      </c>
      <c r="D16" s="124" t="s">
        <v>126</v>
      </c>
      <c r="E16" s="192">
        <v>100</v>
      </c>
      <c r="F16" s="125">
        <f>ROUND(E16*Valores!$C$2,2)</f>
        <v>5892.03</v>
      </c>
      <c r="G16" s="192">
        <v>3727</v>
      </c>
      <c r="H16" s="125">
        <f>ROUND(G16*Valores!$C$2,2)</f>
        <v>219595.96</v>
      </c>
      <c r="I16" s="192">
        <v>219</v>
      </c>
      <c r="J16" s="125">
        <f>ROUND(I16*Valores!$C$2,2)</f>
        <v>12903.55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66007.13</v>
      </c>
      <c r="N16" s="125">
        <f t="shared" si="0"/>
        <v>0</v>
      </c>
      <c r="O16" s="125">
        <f>Valores!$C$11</f>
        <v>52534.17</v>
      </c>
      <c r="P16" s="125">
        <f>Valores!$D$5</f>
        <v>30120.06</v>
      </c>
      <c r="Q16" s="125">
        <v>0</v>
      </c>
      <c r="R16" s="125">
        <f>IF($F$4="NO",Valores!$C$46,Valores!$C$46/2)</f>
        <v>25636.983348</v>
      </c>
      <c r="S16" s="125">
        <v>0</v>
      </c>
      <c r="T16" s="125">
        <f t="shared" si="7"/>
        <v>0</v>
      </c>
      <c r="U16" s="125">
        <f t="shared" si="8"/>
        <v>238391.53999999998</v>
      </c>
      <c r="V16" s="125">
        <f t="shared" si="9"/>
        <v>95356.62</v>
      </c>
      <c r="W16" s="192">
        <v>0</v>
      </c>
      <c r="X16" s="125">
        <f>ROUND(W16*Valores!$C$2,2)</f>
        <v>0</v>
      </c>
      <c r="Y16" s="125">
        <v>0</v>
      </c>
      <c r="Z16" s="125">
        <f>Valores!$C$95</f>
        <v>41242.8</v>
      </c>
      <c r="AA16" s="125">
        <f>Valores!$C$25</f>
        <v>1231.85</v>
      </c>
      <c r="AB16" s="214">
        <v>0</v>
      </c>
      <c r="AC16" s="125">
        <f t="shared" si="1"/>
        <v>0</v>
      </c>
      <c r="AD16" s="125">
        <f>Valores!$C$26</f>
        <v>1231.85</v>
      </c>
      <c r="AE16" s="192">
        <v>0</v>
      </c>
      <c r="AF16" s="125">
        <f>ROUND(AE16*Valores!$C$2,2)</f>
        <v>0</v>
      </c>
      <c r="AG16" s="125">
        <f>SUM(F16,H16,J16,L16,M16,N16,O16,P16,Q16,R16,T16,U16,V16,X16,Y16,Z16,AA16,AC16,AD16,AF16,AH16)*Valores!$C$69</f>
        <v>103745.38276189199</v>
      </c>
      <c r="AH16" s="125">
        <f>ROUND(IF($F$4="NO",Valores!$C$63,Valores!$C$63/2),2)</f>
        <v>14083.23</v>
      </c>
      <c r="AI16" s="125">
        <f t="shared" si="2"/>
        <v>907973.1561098918</v>
      </c>
      <c r="AJ16" s="125">
        <f>Valores!$C$31</f>
        <v>0</v>
      </c>
      <c r="AK16" s="125">
        <f>Valores!$C$88</f>
        <v>0</v>
      </c>
      <c r="AL16" s="125">
        <f>Valores!C$38*B16</f>
        <v>0</v>
      </c>
      <c r="AM16" s="125">
        <f>IF($F$3="NO",0,Valores!$C$55)</f>
        <v>0</v>
      </c>
      <c r="AN16" s="125">
        <f t="shared" si="3"/>
        <v>0</v>
      </c>
      <c r="AO16" s="125">
        <f>AI16*Valores!$C$71</f>
        <v>-99877.0471720881</v>
      </c>
      <c r="AP16" s="125">
        <f>AI16*Valores!$C$72</f>
        <v>-18159.463122197838</v>
      </c>
      <c r="AQ16" s="125">
        <f>AI16*-Valores!$C$73</f>
        <v>0</v>
      </c>
      <c r="AR16" s="125">
        <f>AI16*Valores!$C$74</f>
        <v>-49938.52358604405</v>
      </c>
      <c r="AS16" s="125">
        <f>Valores!$C$101</f>
        <v>-1270</v>
      </c>
      <c r="AT16" s="125">
        <f>IF($F$5=0,Valores!$C$102,(Valores!$C$102+$F$5*(Valores!$C$102)))</f>
        <v>-3700</v>
      </c>
      <c r="AU16" s="125">
        <f t="shared" si="6"/>
        <v>735028.1222295619</v>
      </c>
      <c r="AV16" s="125">
        <f t="shared" si="4"/>
        <v>-99877.0471720881</v>
      </c>
      <c r="AW16" s="125">
        <f t="shared" si="10"/>
        <v>-18159.463122197838</v>
      </c>
      <c r="AX16" s="125">
        <f>AI16*Valores!$C$75</f>
        <v>-24515.275214967078</v>
      </c>
      <c r="AY16" s="125">
        <f>AI16*Valores!$C$76</f>
        <v>-2723.9194683296755</v>
      </c>
      <c r="AZ16" s="125">
        <f t="shared" si="5"/>
        <v>762697.4511323092</v>
      </c>
      <c r="BA16" s="125">
        <f>AI16*Valores!$C$78</f>
        <v>145275.7049775827</v>
      </c>
      <c r="BB16" s="125">
        <f>AI16*Valores!$C$79</f>
        <v>63558.120927692435</v>
      </c>
      <c r="BC16" s="125">
        <f>AI16*Valores!$C$80</f>
        <v>9079.731561098919</v>
      </c>
      <c r="BD16" s="125">
        <f>AI16*Valores!$C$82</f>
        <v>31779.060463846217</v>
      </c>
      <c r="BE16" s="125">
        <f>AI16*Valores!$C$84</f>
        <v>49030.550429934156</v>
      </c>
      <c r="BF16" s="125">
        <f>AI16*Valores!$C$83</f>
        <v>5447.838936659351</v>
      </c>
      <c r="BG16" s="126">
        <v>33</v>
      </c>
      <c r="BH16" s="126">
        <v>45</v>
      </c>
      <c r="BI16" s="123" t="s">
        <v>8</v>
      </c>
    </row>
    <row r="17" spans="1:61" s="110" customFormat="1" ht="11.25" customHeight="1">
      <c r="A17" s="123" t="s">
        <v>127</v>
      </c>
      <c r="B17" s="123">
        <v>1</v>
      </c>
      <c r="C17" s="126">
        <v>10</v>
      </c>
      <c r="D17" s="124" t="s">
        <v>128</v>
      </c>
      <c r="E17" s="192">
        <v>100</v>
      </c>
      <c r="F17" s="125">
        <f>ROUND(E17*Valores!$C$2,2)</f>
        <v>5892.03</v>
      </c>
      <c r="G17" s="192">
        <v>3727</v>
      </c>
      <c r="H17" s="125">
        <f>ROUND(G17*Valores!$C$2,2)</f>
        <v>219595.96</v>
      </c>
      <c r="I17" s="192">
        <v>219</v>
      </c>
      <c r="J17" s="125">
        <f>ROUND(I17*Valores!$C$2,2)</f>
        <v>12903.55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66007.13</v>
      </c>
      <c r="N17" s="125">
        <f t="shared" si="0"/>
        <v>0</v>
      </c>
      <c r="O17" s="125">
        <f>Valores!$C$11</f>
        <v>52534.17</v>
      </c>
      <c r="P17" s="125">
        <f>Valores!$D$5</f>
        <v>30120.06</v>
      </c>
      <c r="Q17" s="125">
        <v>0</v>
      </c>
      <c r="R17" s="125">
        <f>IF($F$4="NO",Valores!$C$46,Valores!$C$46/2)</f>
        <v>25636.983348</v>
      </c>
      <c r="S17" s="125">
        <v>0</v>
      </c>
      <c r="T17" s="125">
        <f t="shared" si="7"/>
        <v>0</v>
      </c>
      <c r="U17" s="125">
        <f t="shared" si="8"/>
        <v>238391.53999999998</v>
      </c>
      <c r="V17" s="125">
        <f t="shared" si="9"/>
        <v>95356.62</v>
      </c>
      <c r="W17" s="192">
        <v>0</v>
      </c>
      <c r="X17" s="125">
        <f>ROUND(W17*Valores!$C$2,2)</f>
        <v>0</v>
      </c>
      <c r="Y17" s="125">
        <v>0</v>
      </c>
      <c r="Z17" s="125">
        <f>Valores!$C$95</f>
        <v>41242.8</v>
      </c>
      <c r="AA17" s="125">
        <f>Valores!$C$25</f>
        <v>1231.85</v>
      </c>
      <c r="AB17" s="214">
        <v>0</v>
      </c>
      <c r="AC17" s="125">
        <f t="shared" si="1"/>
        <v>0</v>
      </c>
      <c r="AD17" s="125">
        <f>Valores!$C$26</f>
        <v>1231.85</v>
      </c>
      <c r="AE17" s="192">
        <v>0</v>
      </c>
      <c r="AF17" s="125">
        <f>ROUND(AE17*Valores!$C$2,2)</f>
        <v>0</v>
      </c>
      <c r="AG17" s="125">
        <f>SUM(F17,H17,J17,L17,M17,N17,O17,P17,Q17,R17,T17,U17,V17,X17,Y17,Z17,AA17,AC17,AD17,AF17,AH17)*Valores!$C$69</f>
        <v>103745.38276189199</v>
      </c>
      <c r="AH17" s="125">
        <f>ROUND(IF($F$4="NO",Valores!$C$63,Valores!$C$63/2),2)</f>
        <v>14083.23</v>
      </c>
      <c r="AI17" s="125">
        <f t="shared" si="2"/>
        <v>907973.1561098918</v>
      </c>
      <c r="AJ17" s="125">
        <f>Valores!$C$31</f>
        <v>0</v>
      </c>
      <c r="AK17" s="125">
        <f>Valores!$C$88</f>
        <v>0</v>
      </c>
      <c r="AL17" s="125">
        <f>Valores!C$38*B17</f>
        <v>0</v>
      </c>
      <c r="AM17" s="125">
        <f>IF($F$3="NO",0,Valores!$C$55)</f>
        <v>0</v>
      </c>
      <c r="AN17" s="125">
        <f t="shared" si="3"/>
        <v>0</v>
      </c>
      <c r="AO17" s="125">
        <f>AI17*Valores!$C$71</f>
        <v>-99877.0471720881</v>
      </c>
      <c r="AP17" s="125">
        <f>AI17*Valores!$C$72</f>
        <v>-18159.463122197838</v>
      </c>
      <c r="AQ17" s="125">
        <f>AI17*-Valores!$C$73</f>
        <v>0</v>
      </c>
      <c r="AR17" s="125">
        <f>AI17*Valores!$C$74</f>
        <v>-49938.52358604405</v>
      </c>
      <c r="AS17" s="125">
        <f>Valores!$C$101</f>
        <v>-1270</v>
      </c>
      <c r="AT17" s="125">
        <f>IF($F$5=0,Valores!$C$102,(Valores!$C$102+$F$5*(Valores!$C$102)))</f>
        <v>-3700</v>
      </c>
      <c r="AU17" s="125">
        <f t="shared" si="6"/>
        <v>735028.1222295619</v>
      </c>
      <c r="AV17" s="125">
        <f t="shared" si="4"/>
        <v>-99877.0471720881</v>
      </c>
      <c r="AW17" s="125">
        <f t="shared" si="10"/>
        <v>-18159.463122197838</v>
      </c>
      <c r="AX17" s="125">
        <f>AI17*Valores!$C$75</f>
        <v>-24515.275214967078</v>
      </c>
      <c r="AY17" s="125">
        <f>AI17*Valores!$C$76</f>
        <v>-2723.9194683296755</v>
      </c>
      <c r="AZ17" s="125">
        <f t="shared" si="5"/>
        <v>762697.4511323092</v>
      </c>
      <c r="BA17" s="125">
        <f>AI17*Valores!$C$78</f>
        <v>145275.7049775827</v>
      </c>
      <c r="BB17" s="125">
        <f>AI17*Valores!$C$79</f>
        <v>63558.120927692435</v>
      </c>
      <c r="BC17" s="125">
        <f>AI17*Valores!$C$80</f>
        <v>9079.731561098919</v>
      </c>
      <c r="BD17" s="125">
        <f>AI17*Valores!$C$82</f>
        <v>31779.060463846217</v>
      </c>
      <c r="BE17" s="125">
        <f>AI17*Valores!$C$84</f>
        <v>49030.550429934156</v>
      </c>
      <c r="BF17" s="125">
        <f>AI17*Valores!$C$83</f>
        <v>5447.838936659351</v>
      </c>
      <c r="BG17" s="126">
        <v>33</v>
      </c>
      <c r="BH17" s="126">
        <v>45</v>
      </c>
      <c r="BI17" s="123" t="s">
        <v>8</v>
      </c>
    </row>
    <row r="18" spans="1:61" s="110" customFormat="1" ht="11.25" customHeight="1">
      <c r="A18" s="123" t="s">
        <v>129</v>
      </c>
      <c r="B18" s="123">
        <v>1</v>
      </c>
      <c r="C18" s="126">
        <v>11</v>
      </c>
      <c r="D18" s="124" t="s">
        <v>130</v>
      </c>
      <c r="E18" s="192">
        <v>100</v>
      </c>
      <c r="F18" s="125">
        <f>ROUND(E18*Valores!$C$2,2)</f>
        <v>5892.03</v>
      </c>
      <c r="G18" s="192">
        <v>3727</v>
      </c>
      <c r="H18" s="125">
        <f>ROUND(G18*Valores!$C$2,2)</f>
        <v>219595.96</v>
      </c>
      <c r="I18" s="192">
        <v>219</v>
      </c>
      <c r="J18" s="125">
        <f>ROUND(I18*Valores!$C$2,2)</f>
        <v>12903.55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66007.13</v>
      </c>
      <c r="N18" s="125">
        <f t="shared" si="0"/>
        <v>0</v>
      </c>
      <c r="O18" s="125">
        <f>Valores!$C$11</f>
        <v>52534.17</v>
      </c>
      <c r="P18" s="125">
        <f>Valores!$D$5</f>
        <v>30120.06</v>
      </c>
      <c r="Q18" s="125">
        <v>0</v>
      </c>
      <c r="R18" s="125">
        <f>IF($F$4="NO",Valores!$C$46,Valores!$C$46/2)</f>
        <v>25636.983348</v>
      </c>
      <c r="S18" s="125">
        <v>0</v>
      </c>
      <c r="T18" s="125">
        <f t="shared" si="7"/>
        <v>0</v>
      </c>
      <c r="U18" s="125">
        <f t="shared" si="8"/>
        <v>238391.53999999998</v>
      </c>
      <c r="V18" s="125">
        <f t="shared" si="9"/>
        <v>95356.62</v>
      </c>
      <c r="W18" s="192">
        <v>0</v>
      </c>
      <c r="X18" s="125">
        <f>ROUND(W18*Valores!$C$2,2)</f>
        <v>0</v>
      </c>
      <c r="Y18" s="125">
        <v>0</v>
      </c>
      <c r="Z18" s="125">
        <f>Valores!$C$95</f>
        <v>41242.8</v>
      </c>
      <c r="AA18" s="125">
        <f>Valores!$C$25</f>
        <v>1231.85</v>
      </c>
      <c r="AB18" s="214">
        <v>0</v>
      </c>
      <c r="AC18" s="125">
        <f t="shared" si="1"/>
        <v>0</v>
      </c>
      <c r="AD18" s="125">
        <f>Valores!$C$26</f>
        <v>1231.85</v>
      </c>
      <c r="AE18" s="192">
        <v>0</v>
      </c>
      <c r="AF18" s="125">
        <f>ROUND(AE18*Valores!$C$2,2)</f>
        <v>0</v>
      </c>
      <c r="AG18" s="125">
        <f>SUM(F18,H18,J18,L18,M18,N18,O18,P18,Q18,R18,T18,U18,V18,X18,Y18,Z18,AA18,AC18,AD18,AF18,AH18)*Valores!$C$69</f>
        <v>103745.38276189199</v>
      </c>
      <c r="AH18" s="125">
        <f>ROUND(IF($F$4="NO",Valores!$C$63,Valores!$C$63/2),2)</f>
        <v>14083.23</v>
      </c>
      <c r="AI18" s="125">
        <f t="shared" si="2"/>
        <v>907973.1561098918</v>
      </c>
      <c r="AJ18" s="125">
        <f>Valores!$C$31</f>
        <v>0</v>
      </c>
      <c r="AK18" s="125">
        <f>Valores!$C$88</f>
        <v>0</v>
      </c>
      <c r="AL18" s="125">
        <f>Valores!C$38*B18</f>
        <v>0</v>
      </c>
      <c r="AM18" s="125">
        <f>IF($F$3="NO",0,Valores!$C$55)</f>
        <v>0</v>
      </c>
      <c r="AN18" s="125">
        <f t="shared" si="3"/>
        <v>0</v>
      </c>
      <c r="AO18" s="125">
        <f>AI18*Valores!$C$71</f>
        <v>-99877.0471720881</v>
      </c>
      <c r="AP18" s="125">
        <f>AI18*Valores!$C$72</f>
        <v>-18159.463122197838</v>
      </c>
      <c r="AQ18" s="125">
        <f>AI18*-Valores!$C$73</f>
        <v>0</v>
      </c>
      <c r="AR18" s="125">
        <f>AI18*Valores!$C$74</f>
        <v>-49938.52358604405</v>
      </c>
      <c r="AS18" s="125">
        <f>Valores!$C$101</f>
        <v>-1270</v>
      </c>
      <c r="AT18" s="125">
        <f>IF($F$5=0,Valores!$C$102,(Valores!$C$102+$F$5*(Valores!$C$102)))</f>
        <v>-3700</v>
      </c>
      <c r="AU18" s="125">
        <f t="shared" si="6"/>
        <v>735028.1222295619</v>
      </c>
      <c r="AV18" s="125">
        <f t="shared" si="4"/>
        <v>-99877.0471720881</v>
      </c>
      <c r="AW18" s="125">
        <f t="shared" si="10"/>
        <v>-18159.463122197838</v>
      </c>
      <c r="AX18" s="125">
        <f>AI18*Valores!$C$75</f>
        <v>-24515.275214967078</v>
      </c>
      <c r="AY18" s="125">
        <f>AI18*Valores!$C$76</f>
        <v>-2723.9194683296755</v>
      </c>
      <c r="AZ18" s="125">
        <f t="shared" si="5"/>
        <v>762697.4511323092</v>
      </c>
      <c r="BA18" s="125">
        <f>AI18*Valores!$C$78</f>
        <v>145275.7049775827</v>
      </c>
      <c r="BB18" s="125">
        <f>AI18*Valores!$C$79</f>
        <v>63558.120927692435</v>
      </c>
      <c r="BC18" s="125">
        <f>AI18*Valores!$C$80</f>
        <v>9079.731561098919</v>
      </c>
      <c r="BD18" s="125">
        <f>AI18*Valores!$C$82</f>
        <v>31779.060463846217</v>
      </c>
      <c r="BE18" s="125">
        <f>AI18*Valores!$C$84</f>
        <v>49030.550429934156</v>
      </c>
      <c r="BF18" s="125">
        <f>AI18*Valores!$C$83</f>
        <v>5447.838936659351</v>
      </c>
      <c r="BG18" s="126"/>
      <c r="BH18" s="126">
        <v>45</v>
      </c>
      <c r="BI18" s="123" t="s">
        <v>8</v>
      </c>
    </row>
    <row r="19" spans="1:61" s="110" customFormat="1" ht="11.25" customHeight="1">
      <c r="A19" s="123" t="s">
        <v>131</v>
      </c>
      <c r="B19" s="123">
        <v>1</v>
      </c>
      <c r="C19" s="126">
        <v>12</v>
      </c>
      <c r="D19" s="124" t="s">
        <v>132</v>
      </c>
      <c r="E19" s="192">
        <v>100</v>
      </c>
      <c r="F19" s="125">
        <f>ROUND(E19*Valores!$C$2,2)</f>
        <v>5892.03</v>
      </c>
      <c r="G19" s="192">
        <v>3727</v>
      </c>
      <c r="H19" s="125">
        <f>ROUND(G19*Valores!$C$2,2)</f>
        <v>219595.96</v>
      </c>
      <c r="I19" s="192">
        <v>219</v>
      </c>
      <c r="J19" s="125">
        <f>ROUND(I19*Valores!$C$2,2)</f>
        <v>12903.55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66007.13</v>
      </c>
      <c r="N19" s="125">
        <f t="shared" si="0"/>
        <v>0</v>
      </c>
      <c r="O19" s="125">
        <f>Valores!$C$11</f>
        <v>52534.17</v>
      </c>
      <c r="P19" s="125">
        <f>Valores!$D$5</f>
        <v>30120.06</v>
      </c>
      <c r="Q19" s="125">
        <v>0</v>
      </c>
      <c r="R19" s="125">
        <f>IF($F$4="NO",Valores!$C$46,Valores!$C$46/2)</f>
        <v>25636.983348</v>
      </c>
      <c r="S19" s="125">
        <v>0</v>
      </c>
      <c r="T19" s="125">
        <f t="shared" si="7"/>
        <v>0</v>
      </c>
      <c r="U19" s="125">
        <f t="shared" si="8"/>
        <v>238391.53999999998</v>
      </c>
      <c r="V19" s="125">
        <f t="shared" si="9"/>
        <v>95356.62</v>
      </c>
      <c r="W19" s="192">
        <v>0</v>
      </c>
      <c r="X19" s="125">
        <f>ROUND(W19*Valores!$C$2,2)</f>
        <v>0</v>
      </c>
      <c r="Y19" s="125">
        <v>0</v>
      </c>
      <c r="Z19" s="125">
        <f>Valores!$C$95</f>
        <v>41242.8</v>
      </c>
      <c r="AA19" s="125">
        <f>Valores!$C$25</f>
        <v>1231.85</v>
      </c>
      <c r="AB19" s="214">
        <v>0</v>
      </c>
      <c r="AC19" s="125">
        <f t="shared" si="1"/>
        <v>0</v>
      </c>
      <c r="AD19" s="125">
        <f>Valores!$C$26</f>
        <v>1231.85</v>
      </c>
      <c r="AE19" s="192">
        <v>0</v>
      </c>
      <c r="AF19" s="125">
        <f>ROUND(AE19*Valores!$C$2,2)</f>
        <v>0</v>
      </c>
      <c r="AG19" s="125">
        <f>SUM(F19,H19,J19,L19,M19,N19,O19,P19,Q19,R19,T19,U19,V19,X19,Y19,Z19,AA19,AC19,AD19,AF19,AH19)*Valores!$C$69</f>
        <v>103745.38276189199</v>
      </c>
      <c r="AH19" s="125">
        <f>ROUND(IF($F$4="NO",Valores!$C$63,Valores!$C$63/2),2)</f>
        <v>14083.23</v>
      </c>
      <c r="AI19" s="125">
        <f t="shared" si="2"/>
        <v>907973.1561098918</v>
      </c>
      <c r="AJ19" s="125">
        <f>Valores!$C$31</f>
        <v>0</v>
      </c>
      <c r="AK19" s="125">
        <f>Valores!$C$88</f>
        <v>0</v>
      </c>
      <c r="AL19" s="125">
        <f>Valores!C$38*B19</f>
        <v>0</v>
      </c>
      <c r="AM19" s="125">
        <f>IF($F$3="NO",0,Valores!$C$55)</f>
        <v>0</v>
      </c>
      <c r="AN19" s="125">
        <f t="shared" si="3"/>
        <v>0</v>
      </c>
      <c r="AO19" s="125">
        <f>AI19*Valores!$C$71</f>
        <v>-99877.0471720881</v>
      </c>
      <c r="AP19" s="125">
        <f>AI19*Valores!$C$72</f>
        <v>-18159.463122197838</v>
      </c>
      <c r="AQ19" s="125">
        <f>AI19*-Valores!$C$73</f>
        <v>0</v>
      </c>
      <c r="AR19" s="125">
        <f>AI19*Valores!$C$74</f>
        <v>-49938.52358604405</v>
      </c>
      <c r="AS19" s="125">
        <f>Valores!$C$101</f>
        <v>-1270</v>
      </c>
      <c r="AT19" s="125">
        <f>IF($F$5=0,Valores!$C$102,(Valores!$C$102+$F$5*(Valores!$C$102)))</f>
        <v>-3700</v>
      </c>
      <c r="AU19" s="125">
        <f t="shared" si="6"/>
        <v>735028.1222295619</v>
      </c>
      <c r="AV19" s="125">
        <f t="shared" si="4"/>
        <v>-99877.0471720881</v>
      </c>
      <c r="AW19" s="125">
        <f t="shared" si="10"/>
        <v>-18159.463122197838</v>
      </c>
      <c r="AX19" s="125">
        <f>AI19*Valores!$C$75</f>
        <v>-24515.275214967078</v>
      </c>
      <c r="AY19" s="125">
        <f>AI19*Valores!$C$76</f>
        <v>-2723.9194683296755</v>
      </c>
      <c r="AZ19" s="125">
        <f t="shared" si="5"/>
        <v>762697.4511323092</v>
      </c>
      <c r="BA19" s="125">
        <f>AI19*Valores!$C$78</f>
        <v>145275.7049775827</v>
      </c>
      <c r="BB19" s="125">
        <f>AI19*Valores!$C$79</f>
        <v>63558.120927692435</v>
      </c>
      <c r="BC19" s="125">
        <f>AI19*Valores!$C$80</f>
        <v>9079.731561098919</v>
      </c>
      <c r="BD19" s="125">
        <f>AI19*Valores!$C$82</f>
        <v>31779.060463846217</v>
      </c>
      <c r="BE19" s="125">
        <f>AI19*Valores!$C$84</f>
        <v>49030.550429934156</v>
      </c>
      <c r="BF19" s="125">
        <f>AI19*Valores!$C$83</f>
        <v>5447.838936659351</v>
      </c>
      <c r="BG19" s="126"/>
      <c r="BH19" s="126">
        <v>45</v>
      </c>
      <c r="BI19" s="123" t="s">
        <v>8</v>
      </c>
    </row>
    <row r="20" spans="1:61" s="110" customFormat="1" ht="11.25" customHeight="1">
      <c r="A20" s="123" t="s">
        <v>133</v>
      </c>
      <c r="B20" s="123">
        <v>1</v>
      </c>
      <c r="C20" s="126">
        <v>13</v>
      </c>
      <c r="D20" s="124" t="s">
        <v>134</v>
      </c>
      <c r="E20" s="192">
        <v>100</v>
      </c>
      <c r="F20" s="125">
        <f>ROUND(E20*Valores!$C$2,2)</f>
        <v>5892.03</v>
      </c>
      <c r="G20" s="192">
        <v>3727</v>
      </c>
      <c r="H20" s="125">
        <f>ROUND(G20*Valores!$C$2,2)</f>
        <v>219595.96</v>
      </c>
      <c r="I20" s="192">
        <v>219</v>
      </c>
      <c r="J20" s="125">
        <f>ROUND(I20*Valores!$C$2,2)</f>
        <v>12903.55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66007.13</v>
      </c>
      <c r="N20" s="125">
        <f t="shared" si="0"/>
        <v>0</v>
      </c>
      <c r="O20" s="125">
        <f>Valores!$C$11</f>
        <v>52534.17</v>
      </c>
      <c r="P20" s="125">
        <f>Valores!$D$5</f>
        <v>30120.06</v>
      </c>
      <c r="Q20" s="125">
        <v>0</v>
      </c>
      <c r="R20" s="125">
        <f>IF($F$4="NO",Valores!$C$46,Valores!$C$46/2)</f>
        <v>25636.983348</v>
      </c>
      <c r="S20" s="125">
        <v>0</v>
      </c>
      <c r="T20" s="125">
        <f t="shared" si="7"/>
        <v>0</v>
      </c>
      <c r="U20" s="125">
        <f t="shared" si="8"/>
        <v>238391.53999999998</v>
      </c>
      <c r="V20" s="125">
        <f t="shared" si="9"/>
        <v>95356.62</v>
      </c>
      <c r="W20" s="192">
        <v>0</v>
      </c>
      <c r="X20" s="125">
        <f>ROUND(W20*Valores!$C$2,2)</f>
        <v>0</v>
      </c>
      <c r="Y20" s="125">
        <v>0</v>
      </c>
      <c r="Z20" s="125">
        <f>Valores!$C$95</f>
        <v>41242.8</v>
      </c>
      <c r="AA20" s="125">
        <f>Valores!$C$25</f>
        <v>1231.85</v>
      </c>
      <c r="AB20" s="214">
        <v>0</v>
      </c>
      <c r="AC20" s="125">
        <f t="shared" si="1"/>
        <v>0</v>
      </c>
      <c r="AD20" s="125">
        <f>Valores!$C$26</f>
        <v>1231.85</v>
      </c>
      <c r="AE20" s="192">
        <v>0</v>
      </c>
      <c r="AF20" s="125">
        <f>ROUND(AE20*Valores!$C$2,2)</f>
        <v>0</v>
      </c>
      <c r="AG20" s="125">
        <f>SUM(F20,H20,J20,L20,M20,N20,O20,P20,Q20,R20,T20,U20,V20,X20,Y20,Z20,AA20,AC20,AD20,AF20,AH20)*Valores!$C$69</f>
        <v>103745.38276189199</v>
      </c>
      <c r="AH20" s="125">
        <f>ROUND(IF($F$4="NO",Valores!$C$63,Valores!$C$63/2),2)</f>
        <v>14083.23</v>
      </c>
      <c r="AI20" s="125">
        <f t="shared" si="2"/>
        <v>907973.1561098918</v>
      </c>
      <c r="AJ20" s="125">
        <f>Valores!$C$31</f>
        <v>0</v>
      </c>
      <c r="AK20" s="125">
        <f>Valores!$C$88</f>
        <v>0</v>
      </c>
      <c r="AL20" s="125">
        <f>Valores!C$38*B20</f>
        <v>0</v>
      </c>
      <c r="AM20" s="125">
        <f>IF($F$3="NO",0,Valores!$C$55)</f>
        <v>0</v>
      </c>
      <c r="AN20" s="125">
        <f t="shared" si="3"/>
        <v>0</v>
      </c>
      <c r="AO20" s="125">
        <f>AI20*Valores!$C$71</f>
        <v>-99877.0471720881</v>
      </c>
      <c r="AP20" s="125">
        <f>AI20*Valores!$C$72</f>
        <v>-18159.463122197838</v>
      </c>
      <c r="AQ20" s="125">
        <f>AI20*-Valores!$C$73</f>
        <v>0</v>
      </c>
      <c r="AR20" s="125">
        <f>AI20*Valores!$C$74</f>
        <v>-49938.52358604405</v>
      </c>
      <c r="AS20" s="125">
        <f>Valores!$C$101</f>
        <v>-1270</v>
      </c>
      <c r="AT20" s="125">
        <f>IF($F$5=0,Valores!$C$102,(Valores!$C$102+$F$5*(Valores!$C$102)))</f>
        <v>-3700</v>
      </c>
      <c r="AU20" s="125">
        <f t="shared" si="6"/>
        <v>735028.1222295619</v>
      </c>
      <c r="AV20" s="125">
        <f t="shared" si="4"/>
        <v>-99877.0471720881</v>
      </c>
      <c r="AW20" s="125">
        <f t="shared" si="10"/>
        <v>-18159.463122197838</v>
      </c>
      <c r="AX20" s="125">
        <f>AI20*Valores!$C$75</f>
        <v>-24515.275214967078</v>
      </c>
      <c r="AY20" s="125">
        <f>AI20*Valores!$C$76</f>
        <v>-2723.9194683296755</v>
      </c>
      <c r="AZ20" s="125">
        <f t="shared" si="5"/>
        <v>762697.4511323092</v>
      </c>
      <c r="BA20" s="125">
        <f>AI20*Valores!$C$78</f>
        <v>145275.7049775827</v>
      </c>
      <c r="BB20" s="125">
        <f>AI20*Valores!$C$79</f>
        <v>63558.120927692435</v>
      </c>
      <c r="BC20" s="125">
        <f>AI20*Valores!$C$80</f>
        <v>9079.731561098919</v>
      </c>
      <c r="BD20" s="125">
        <f>AI20*Valores!$C$82</f>
        <v>31779.060463846217</v>
      </c>
      <c r="BE20" s="125">
        <f>AI20*Valores!$C$84</f>
        <v>49030.550429934156</v>
      </c>
      <c r="BF20" s="125">
        <f>AI20*Valores!$C$83</f>
        <v>5447.838936659351</v>
      </c>
      <c r="BG20" s="126"/>
      <c r="BH20" s="126">
        <v>45</v>
      </c>
      <c r="BI20" s="123" t="s">
        <v>8</v>
      </c>
    </row>
    <row r="21" spans="1:61" s="110" customFormat="1" ht="11.25" customHeight="1">
      <c r="A21" s="123" t="s">
        <v>135</v>
      </c>
      <c r="B21" s="123">
        <v>1</v>
      </c>
      <c r="C21" s="126">
        <v>14</v>
      </c>
      <c r="D21" s="124" t="s">
        <v>136</v>
      </c>
      <c r="E21" s="192">
        <v>107</v>
      </c>
      <c r="F21" s="125">
        <f>ROUND(E21*Valores!$C$2,2)</f>
        <v>6304.47</v>
      </c>
      <c r="G21" s="192">
        <v>3720</v>
      </c>
      <c r="H21" s="125">
        <f>ROUND(G21*Valores!$C$2,2)</f>
        <v>219183.52</v>
      </c>
      <c r="I21" s="192">
        <v>1226</v>
      </c>
      <c r="J21" s="125">
        <f>ROUND(I21*Valores!$C$2,2)</f>
        <v>72236.29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89308.81</v>
      </c>
      <c r="N21" s="125">
        <f t="shared" si="0"/>
        <v>0</v>
      </c>
      <c r="O21" s="125">
        <f>Valores!$C$12</f>
        <v>133664.69</v>
      </c>
      <c r="P21" s="125">
        <f>Valores!$D$5</f>
        <v>30120.06</v>
      </c>
      <c r="Q21" s="125">
        <v>0</v>
      </c>
      <c r="R21" s="125">
        <f>IF($F$4="NO",Valores!$C$47,Valores!$C$47/2)</f>
        <v>31485.59</v>
      </c>
      <c r="S21" s="125">
        <f>Valores!$C$19</f>
        <v>28025.371999999996</v>
      </c>
      <c r="T21" s="125">
        <f t="shared" si="7"/>
        <v>28025.37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Valores!$C$97</f>
        <v>82485.58</v>
      </c>
      <c r="AA21" s="125">
        <f>Valores!$C$25</f>
        <v>1231.85</v>
      </c>
      <c r="AB21" s="214">
        <v>0</v>
      </c>
      <c r="AC21" s="125">
        <f t="shared" si="1"/>
        <v>0</v>
      </c>
      <c r="AD21" s="125">
        <f>Valores!$C$26</f>
        <v>1231.85</v>
      </c>
      <c r="AE21" s="192">
        <v>0</v>
      </c>
      <c r="AF21" s="125">
        <f>ROUND(AE21*Valores!$C$2,2)</f>
        <v>0</v>
      </c>
      <c r="AG21" s="125">
        <f>SUM(F21,H21,J21,L21,M21,N21,O21,P21,Q21,R21,T21,U21,V21,X21,Y21,Z21,AA21,AC21,AD21,AF21,AH21)*Valores!$C$69</f>
        <v>91507.60898999998</v>
      </c>
      <c r="AH21" s="125">
        <f>ROUND(IF($F$4="NO",Valores!$C$63,Valores!$C$63/2),2)</f>
        <v>14083.23</v>
      </c>
      <c r="AI21" s="125">
        <f t="shared" si="2"/>
        <v>800868.9189899998</v>
      </c>
      <c r="AJ21" s="125">
        <f>Valores!$C$31</f>
        <v>0</v>
      </c>
      <c r="AK21" s="125">
        <f>Valores!$C$90</f>
        <v>0</v>
      </c>
      <c r="AL21" s="125">
        <f>Valores!C$38*B21</f>
        <v>0</v>
      </c>
      <c r="AM21" s="125">
        <f>IF($F$3="NO",0,Valores!$C$55)</f>
        <v>0</v>
      </c>
      <c r="AN21" s="125">
        <f t="shared" si="3"/>
        <v>0</v>
      </c>
      <c r="AO21" s="125">
        <f>AI21*Valores!$C$71</f>
        <v>-88095.58108889998</v>
      </c>
      <c r="AP21" s="125">
        <f>AI21*Valores!$C$72</f>
        <v>-16017.378379799997</v>
      </c>
      <c r="AQ21" s="125">
        <f>AI21*-Valores!$C$73</f>
        <v>0</v>
      </c>
      <c r="AR21" s="125">
        <f>AI21*Valores!$C$74</f>
        <v>-44047.79054444999</v>
      </c>
      <c r="AS21" s="125">
        <f>Valores!$C$101</f>
        <v>-1270</v>
      </c>
      <c r="AT21" s="125">
        <f>IF($F$5=0,Valores!$C$102,(Valores!$C$102+$F$5*(Valores!$C$102)))</f>
        <v>-3700</v>
      </c>
      <c r="AU21" s="125">
        <f t="shared" si="6"/>
        <v>647738.1689768499</v>
      </c>
      <c r="AV21" s="125">
        <f t="shared" si="4"/>
        <v>-88095.58108889998</v>
      </c>
      <c r="AW21" s="125">
        <f t="shared" si="10"/>
        <v>-16017.378379799997</v>
      </c>
      <c r="AX21" s="125">
        <f>AI21*Valores!$C$75</f>
        <v>-21623.460812729994</v>
      </c>
      <c r="AY21" s="125">
        <f>AI21*Valores!$C$76</f>
        <v>-2402.6067569699994</v>
      </c>
      <c r="AZ21" s="125">
        <f t="shared" si="5"/>
        <v>672729.8919515999</v>
      </c>
      <c r="BA21" s="125">
        <f>AI21*Valores!$C$78</f>
        <v>128139.02703839997</v>
      </c>
      <c r="BB21" s="125">
        <f>AI21*Valores!$C$79</f>
        <v>56060.82432929999</v>
      </c>
      <c r="BC21" s="125">
        <f>AI21*Valores!$C$80</f>
        <v>8008.689189899998</v>
      </c>
      <c r="BD21" s="125">
        <f>AI21*Valores!$C$82</f>
        <v>28030.412164649995</v>
      </c>
      <c r="BE21" s="125">
        <f>AI21*Valores!$C$84</f>
        <v>43246.92162545999</v>
      </c>
      <c r="BF21" s="125">
        <f>AI21*Valores!$C$83</f>
        <v>4805.213513939999</v>
      </c>
      <c r="BG21" s="126"/>
      <c r="BH21" s="126">
        <v>45</v>
      </c>
      <c r="BI21" s="123" t="s">
        <v>4</v>
      </c>
    </row>
    <row r="22" spans="1:61" s="110" customFormat="1" ht="11.25" customHeight="1">
      <c r="A22" s="123" t="s">
        <v>137</v>
      </c>
      <c r="B22" s="123">
        <v>1</v>
      </c>
      <c r="C22" s="126">
        <v>15</v>
      </c>
      <c r="D22" s="124" t="s">
        <v>138</v>
      </c>
      <c r="E22" s="192">
        <v>100</v>
      </c>
      <c r="F22" s="125">
        <f>ROUND(E22*Valores!$C$2,2)</f>
        <v>5892.03</v>
      </c>
      <c r="G22" s="192">
        <v>3727</v>
      </c>
      <c r="H22" s="125">
        <f>ROUND(G22*Valores!$C$2,2)</f>
        <v>219595.96</v>
      </c>
      <c r="I22" s="192">
        <v>219</v>
      </c>
      <c r="J22" s="125">
        <f>ROUND(I22*Valores!$C$2,2)</f>
        <v>12903.55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66007.13</v>
      </c>
      <c r="N22" s="125">
        <f t="shared" si="0"/>
        <v>0</v>
      </c>
      <c r="O22" s="125">
        <f>Valores!$C$11</f>
        <v>52534.17</v>
      </c>
      <c r="P22" s="125">
        <f>Valores!$D$5</f>
        <v>30120.06</v>
      </c>
      <c r="Q22" s="125">
        <v>0</v>
      </c>
      <c r="R22" s="125">
        <f>IF($F$4="NO",Valores!$C$46,Valores!$C$46/2)</f>
        <v>25636.983348</v>
      </c>
      <c r="S22" s="125">
        <v>0</v>
      </c>
      <c r="T22" s="125">
        <f t="shared" si="7"/>
        <v>0</v>
      </c>
      <c r="U22" s="125">
        <f>SUM(F22,H22,J22)</f>
        <v>238391.53999999998</v>
      </c>
      <c r="V22" s="125">
        <f>INT((SUM(F22,H22,J22)*0.4*100)+0.49)/100</f>
        <v>95356.62</v>
      </c>
      <c r="W22" s="192">
        <v>0</v>
      </c>
      <c r="X22" s="125">
        <f>ROUND(W22*Valores!$C$2,2)</f>
        <v>0</v>
      </c>
      <c r="Y22" s="125">
        <v>0</v>
      </c>
      <c r="Z22" s="125">
        <f>Valores!$C$95</f>
        <v>41242.8</v>
      </c>
      <c r="AA22" s="125">
        <f>Valores!$C$25</f>
        <v>1231.85</v>
      </c>
      <c r="AB22" s="214">
        <v>0</v>
      </c>
      <c r="AC22" s="125">
        <f t="shared" si="1"/>
        <v>0</v>
      </c>
      <c r="AD22" s="125">
        <f>Valores!$C$26</f>
        <v>1231.85</v>
      </c>
      <c r="AE22" s="192">
        <v>0</v>
      </c>
      <c r="AF22" s="125">
        <f>ROUND(AE22*Valores!$C$2,2)</f>
        <v>0</v>
      </c>
      <c r="AG22" s="125">
        <f>SUM(F22,H22,J22,L22,M22,N22,O22,P22,Q22,R22,T22,U22,V22,X22,Y22,Z22,AA22,AC22,AD22,AF22,AH22)*Valores!$C$69</f>
        <v>103745.38276189199</v>
      </c>
      <c r="AH22" s="125">
        <f>ROUND(IF($F$4="NO",Valores!$C$63,Valores!$C$63/2),2)</f>
        <v>14083.23</v>
      </c>
      <c r="AI22" s="125">
        <f t="shared" si="2"/>
        <v>907973.1561098918</v>
      </c>
      <c r="AJ22" s="125">
        <f>Valores!$C$31</f>
        <v>0</v>
      </c>
      <c r="AK22" s="125">
        <f>Valores!$C$88</f>
        <v>0</v>
      </c>
      <c r="AL22" s="125">
        <f>Valores!C$38*B22</f>
        <v>0</v>
      </c>
      <c r="AM22" s="125">
        <f>IF($F$3="NO",0,Valores!$C$55)</f>
        <v>0</v>
      </c>
      <c r="AN22" s="125">
        <f t="shared" si="3"/>
        <v>0</v>
      </c>
      <c r="AO22" s="125">
        <f>AI22*Valores!$C$71</f>
        <v>-99877.0471720881</v>
      </c>
      <c r="AP22" s="125">
        <f>AI22*Valores!$C$72</f>
        <v>-18159.463122197838</v>
      </c>
      <c r="AQ22" s="125">
        <f>AI22*-Valores!$C$73</f>
        <v>0</v>
      </c>
      <c r="AR22" s="125">
        <f>AI22*Valores!$C$74</f>
        <v>-49938.52358604405</v>
      </c>
      <c r="AS22" s="125">
        <f>Valores!$C$101</f>
        <v>-1270</v>
      </c>
      <c r="AT22" s="125">
        <f>IF($F$5=0,Valores!$C$102,(Valores!$C$102+$F$5*(Valores!$C$102)))</f>
        <v>-3700</v>
      </c>
      <c r="AU22" s="125">
        <f t="shared" si="6"/>
        <v>735028.1222295619</v>
      </c>
      <c r="AV22" s="125">
        <f t="shared" si="4"/>
        <v>-99877.0471720881</v>
      </c>
      <c r="AW22" s="125">
        <f t="shared" si="10"/>
        <v>-18159.463122197838</v>
      </c>
      <c r="AX22" s="125">
        <f>AI22*Valores!$C$75</f>
        <v>-24515.275214967078</v>
      </c>
      <c r="AY22" s="125">
        <f>AI22*Valores!$C$76</f>
        <v>-2723.9194683296755</v>
      </c>
      <c r="AZ22" s="125">
        <f t="shared" si="5"/>
        <v>762697.4511323092</v>
      </c>
      <c r="BA22" s="125">
        <f>AI22*Valores!$C$78</f>
        <v>145275.7049775827</v>
      </c>
      <c r="BB22" s="125">
        <f>AI22*Valores!$C$79</f>
        <v>63558.120927692435</v>
      </c>
      <c r="BC22" s="125">
        <f>AI22*Valores!$C$80</f>
        <v>9079.731561098919</v>
      </c>
      <c r="BD22" s="125">
        <f>AI22*Valores!$C$82</f>
        <v>31779.060463846217</v>
      </c>
      <c r="BE22" s="125">
        <f>AI22*Valores!$C$84</f>
        <v>49030.550429934156</v>
      </c>
      <c r="BF22" s="125">
        <f>AI22*Valores!$C$83</f>
        <v>5447.838936659351</v>
      </c>
      <c r="BG22" s="126"/>
      <c r="BH22" s="126">
        <v>45</v>
      </c>
      <c r="BI22" s="123" t="s">
        <v>8</v>
      </c>
    </row>
    <row r="23" spans="1:61" s="110" customFormat="1" ht="11.25" customHeight="1">
      <c r="A23" s="123" t="s">
        <v>139</v>
      </c>
      <c r="B23" s="123">
        <v>1</v>
      </c>
      <c r="C23" s="126">
        <v>16</v>
      </c>
      <c r="D23" s="124" t="s">
        <v>140</v>
      </c>
      <c r="E23" s="192">
        <v>100</v>
      </c>
      <c r="F23" s="125">
        <f>ROUND(E23*Valores!$C$2,2)</f>
        <v>5892.03</v>
      </c>
      <c r="G23" s="192">
        <v>3727</v>
      </c>
      <c r="H23" s="125">
        <f>ROUND(G23*Valores!$C$2,2)</f>
        <v>219595.96</v>
      </c>
      <c r="I23" s="192">
        <v>219</v>
      </c>
      <c r="J23" s="125">
        <f>ROUND(I23*Valores!$C$2,2)</f>
        <v>12903.55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66007.13</v>
      </c>
      <c r="N23" s="125">
        <f t="shared" si="0"/>
        <v>0</v>
      </c>
      <c r="O23" s="125">
        <f>Valores!$C$11</f>
        <v>52534.17</v>
      </c>
      <c r="P23" s="125">
        <f>Valores!$D$5</f>
        <v>30120.06</v>
      </c>
      <c r="Q23" s="125">
        <v>0</v>
      </c>
      <c r="R23" s="125">
        <f>IF($F$4="NO",Valores!$C$46,Valores!$C$46/2)</f>
        <v>25636.983348</v>
      </c>
      <c r="S23" s="125">
        <v>0</v>
      </c>
      <c r="T23" s="125">
        <f t="shared" si="7"/>
        <v>0</v>
      </c>
      <c r="U23" s="125">
        <f>SUM(F23,H23,J23)</f>
        <v>238391.53999999998</v>
      </c>
      <c r="V23" s="125">
        <f>INT((SUM(F23,H23,J23)*0.4*100)+0.49)/100</f>
        <v>95356.62</v>
      </c>
      <c r="W23" s="192">
        <v>0</v>
      </c>
      <c r="X23" s="125">
        <f>ROUND(W23*Valores!$C$2,2)</f>
        <v>0</v>
      </c>
      <c r="Y23" s="125">
        <v>0</v>
      </c>
      <c r="Z23" s="125">
        <f>Valores!$C$95</f>
        <v>41242.8</v>
      </c>
      <c r="AA23" s="125">
        <f>Valores!$C$25</f>
        <v>1231.85</v>
      </c>
      <c r="AB23" s="214">
        <v>0</v>
      </c>
      <c r="AC23" s="125">
        <f t="shared" si="1"/>
        <v>0</v>
      </c>
      <c r="AD23" s="125">
        <f>Valores!$C$26</f>
        <v>1231.85</v>
      </c>
      <c r="AE23" s="192">
        <v>0</v>
      </c>
      <c r="AF23" s="125">
        <f>ROUND(AE23*Valores!$C$2,2)</f>
        <v>0</v>
      </c>
      <c r="AG23" s="125">
        <f>SUM(F23,H23,J23,L23,M23,N23,O23,P23,Q23,R23,T23,U23,V23,X23,Y23,Z23,AA23,AC23,AD23,AF23,AH23)*Valores!$C$69</f>
        <v>103745.38276189199</v>
      </c>
      <c r="AH23" s="125">
        <f>ROUND(IF($F$4="NO",Valores!$C$63,Valores!$C$63/2),2)</f>
        <v>14083.23</v>
      </c>
      <c r="AI23" s="125">
        <f t="shared" si="2"/>
        <v>907973.1561098918</v>
      </c>
      <c r="AJ23" s="125">
        <f>Valores!$C$31</f>
        <v>0</v>
      </c>
      <c r="AK23" s="125">
        <f>Valores!$C$88</f>
        <v>0</v>
      </c>
      <c r="AL23" s="125">
        <f>Valores!C$38*B23</f>
        <v>0</v>
      </c>
      <c r="AM23" s="125">
        <f>IF($F$3="NO",0,Valores!$C$55)</f>
        <v>0</v>
      </c>
      <c r="AN23" s="125">
        <f t="shared" si="3"/>
        <v>0</v>
      </c>
      <c r="AO23" s="125">
        <f>AI23*Valores!$C$71</f>
        <v>-99877.0471720881</v>
      </c>
      <c r="AP23" s="125">
        <f>AI23*Valores!$C$72</f>
        <v>-18159.463122197838</v>
      </c>
      <c r="AQ23" s="125">
        <f>AI23*-Valores!$C$73</f>
        <v>0</v>
      </c>
      <c r="AR23" s="125">
        <f>AI23*Valores!$C$74</f>
        <v>-49938.52358604405</v>
      </c>
      <c r="AS23" s="125">
        <f>Valores!$C$101</f>
        <v>-1270</v>
      </c>
      <c r="AT23" s="125">
        <f>IF($F$5=0,Valores!$C$102,(Valores!$C$102+$F$5*(Valores!$C$102)))</f>
        <v>-3700</v>
      </c>
      <c r="AU23" s="125">
        <f t="shared" si="6"/>
        <v>735028.1222295619</v>
      </c>
      <c r="AV23" s="125">
        <f t="shared" si="4"/>
        <v>-99877.0471720881</v>
      </c>
      <c r="AW23" s="125">
        <f t="shared" si="10"/>
        <v>-18159.463122197838</v>
      </c>
      <c r="AX23" s="125">
        <f>AI23*Valores!$C$75</f>
        <v>-24515.275214967078</v>
      </c>
      <c r="AY23" s="125">
        <f>AI23*Valores!$C$76</f>
        <v>-2723.9194683296755</v>
      </c>
      <c r="AZ23" s="125">
        <f t="shared" si="5"/>
        <v>762697.4511323092</v>
      </c>
      <c r="BA23" s="125">
        <f>AI23*Valores!$C$78</f>
        <v>145275.7049775827</v>
      </c>
      <c r="BB23" s="125">
        <f>AI23*Valores!$C$79</f>
        <v>63558.120927692435</v>
      </c>
      <c r="BC23" s="125">
        <f>AI23*Valores!$C$80</f>
        <v>9079.731561098919</v>
      </c>
      <c r="BD23" s="125">
        <f>AI23*Valores!$C$82</f>
        <v>31779.060463846217</v>
      </c>
      <c r="BE23" s="125">
        <f>AI23*Valores!$C$84</f>
        <v>49030.550429934156</v>
      </c>
      <c r="BF23" s="125">
        <f>AI23*Valores!$C$83</f>
        <v>5447.838936659351</v>
      </c>
      <c r="BG23" s="126"/>
      <c r="BH23" s="126">
        <v>45</v>
      </c>
      <c r="BI23" s="123" t="s">
        <v>8</v>
      </c>
    </row>
    <row r="24" spans="1:61" s="110" customFormat="1" ht="11.25" customHeight="1">
      <c r="A24" s="123" t="s">
        <v>141</v>
      </c>
      <c r="B24" s="123">
        <v>1</v>
      </c>
      <c r="C24" s="126">
        <v>17</v>
      </c>
      <c r="D24" s="124" t="s">
        <v>142</v>
      </c>
      <c r="E24" s="192">
        <v>100</v>
      </c>
      <c r="F24" s="125">
        <f>ROUND(E24*Valores!$C$2,2)</f>
        <v>5892.03</v>
      </c>
      <c r="G24" s="192">
        <v>3727</v>
      </c>
      <c r="H24" s="125">
        <f>ROUND(G24*Valores!$C$2,2)</f>
        <v>219595.96</v>
      </c>
      <c r="I24" s="192">
        <v>219</v>
      </c>
      <c r="J24" s="125">
        <f>ROUND(I24*Valores!$C$2,2)</f>
        <v>12903.55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66007.13</v>
      </c>
      <c r="N24" s="125">
        <f t="shared" si="0"/>
        <v>0</v>
      </c>
      <c r="O24" s="125">
        <f>Valores!$C$11</f>
        <v>52534.17</v>
      </c>
      <c r="P24" s="125">
        <f>Valores!$D$5</f>
        <v>30120.06</v>
      </c>
      <c r="Q24" s="125">
        <v>0</v>
      </c>
      <c r="R24" s="125">
        <f>IF($F$4="NO",Valores!$C$46,Valores!$C$46/2)</f>
        <v>25636.983348</v>
      </c>
      <c r="S24" s="125">
        <v>0</v>
      </c>
      <c r="T24" s="125">
        <f t="shared" si="7"/>
        <v>0</v>
      </c>
      <c r="U24" s="125">
        <f>SUM(F24,H24,J24)</f>
        <v>238391.53999999998</v>
      </c>
      <c r="V24" s="125">
        <f>INT((SUM(F24,H24,J24)*0.4*100)+0.49)/100</f>
        <v>95356.62</v>
      </c>
      <c r="W24" s="192">
        <v>0</v>
      </c>
      <c r="X24" s="125">
        <f>ROUND(W24*Valores!$C$2,2)</f>
        <v>0</v>
      </c>
      <c r="Y24" s="125">
        <v>0</v>
      </c>
      <c r="Z24" s="125">
        <f>Valores!$C$95</f>
        <v>41242.8</v>
      </c>
      <c r="AA24" s="125">
        <f>Valores!$C$25</f>
        <v>1231.85</v>
      </c>
      <c r="AB24" s="214">
        <v>0</v>
      </c>
      <c r="AC24" s="125">
        <f t="shared" si="1"/>
        <v>0</v>
      </c>
      <c r="AD24" s="125">
        <f>Valores!$C$26</f>
        <v>1231.85</v>
      </c>
      <c r="AE24" s="192">
        <v>0</v>
      </c>
      <c r="AF24" s="125">
        <f>ROUND(AE24*Valores!$C$2,2)</f>
        <v>0</v>
      </c>
      <c r="AG24" s="125">
        <f>SUM(F24,H24,J24,L24,M24,N24,O24,P24,Q24,R24,T24,U24,V24,X24,Y24,Z24,AA24,AC24,AD24,AF24,AH24)*Valores!$C$69</f>
        <v>103745.38276189199</v>
      </c>
      <c r="AH24" s="125">
        <f>ROUND(IF($F$4="NO",Valores!$C$63,Valores!$C$63/2),2)</f>
        <v>14083.23</v>
      </c>
      <c r="AI24" s="125">
        <f t="shared" si="2"/>
        <v>907973.1561098918</v>
      </c>
      <c r="AJ24" s="125">
        <f>Valores!$C$31</f>
        <v>0</v>
      </c>
      <c r="AK24" s="125">
        <f>Valores!$C$88</f>
        <v>0</v>
      </c>
      <c r="AL24" s="125">
        <f>Valores!C$38*B24</f>
        <v>0</v>
      </c>
      <c r="AM24" s="125">
        <f>IF($F$3="NO",0,Valores!$C$55)</f>
        <v>0</v>
      </c>
      <c r="AN24" s="125">
        <f t="shared" si="3"/>
        <v>0</v>
      </c>
      <c r="AO24" s="125">
        <f>AI24*Valores!$C$71</f>
        <v>-99877.0471720881</v>
      </c>
      <c r="AP24" s="125">
        <f>AI24*Valores!$C$72</f>
        <v>-18159.463122197838</v>
      </c>
      <c r="AQ24" s="125">
        <f>AI24*-Valores!$C$73</f>
        <v>0</v>
      </c>
      <c r="AR24" s="125">
        <f>AI24*Valores!$C$74</f>
        <v>-49938.52358604405</v>
      </c>
      <c r="AS24" s="125">
        <f>Valores!$C$101</f>
        <v>-1270</v>
      </c>
      <c r="AT24" s="125">
        <f>IF($F$5=0,Valores!$C$102,(Valores!$C$102+$F$5*(Valores!$C$102)))</f>
        <v>-3700</v>
      </c>
      <c r="AU24" s="125">
        <f t="shared" si="6"/>
        <v>735028.1222295619</v>
      </c>
      <c r="AV24" s="125">
        <f t="shared" si="4"/>
        <v>-99877.0471720881</v>
      </c>
      <c r="AW24" s="125">
        <f t="shared" si="10"/>
        <v>-18159.463122197838</v>
      </c>
      <c r="AX24" s="125">
        <f>AI24*Valores!$C$75</f>
        <v>-24515.275214967078</v>
      </c>
      <c r="AY24" s="125">
        <f>AI24*Valores!$C$76</f>
        <v>-2723.9194683296755</v>
      </c>
      <c r="AZ24" s="125">
        <f t="shared" si="5"/>
        <v>762697.4511323092</v>
      </c>
      <c r="BA24" s="125">
        <f>AI24*Valores!$C$78</f>
        <v>145275.7049775827</v>
      </c>
      <c r="BB24" s="125">
        <f>AI24*Valores!$C$79</f>
        <v>63558.120927692435</v>
      </c>
      <c r="BC24" s="125">
        <f>AI24*Valores!$C$80</f>
        <v>9079.731561098919</v>
      </c>
      <c r="BD24" s="125">
        <f>AI24*Valores!$C$82</f>
        <v>31779.060463846217</v>
      </c>
      <c r="BE24" s="125">
        <f>AI24*Valores!$C$84</f>
        <v>49030.550429934156</v>
      </c>
      <c r="BF24" s="125">
        <f>AI24*Valores!$C$83</f>
        <v>5447.838936659351</v>
      </c>
      <c r="BG24" s="126"/>
      <c r="BH24" s="126">
        <v>45</v>
      </c>
      <c r="BI24" s="123" t="s">
        <v>8</v>
      </c>
    </row>
    <row r="25" spans="1:61" s="110" customFormat="1" ht="11.25" customHeight="1">
      <c r="A25" s="123" t="s">
        <v>143</v>
      </c>
      <c r="B25" s="123">
        <v>1</v>
      </c>
      <c r="C25" s="126">
        <v>18</v>
      </c>
      <c r="D25" s="124" t="s">
        <v>144</v>
      </c>
      <c r="E25" s="192">
        <v>96</v>
      </c>
      <c r="F25" s="125">
        <f>ROUND(E25*Valores!$C$2,2)</f>
        <v>5656.35</v>
      </c>
      <c r="G25" s="192">
        <v>3737</v>
      </c>
      <c r="H25" s="125">
        <f>ROUND(G25*Valores!$C$2,2)</f>
        <v>220185.16</v>
      </c>
      <c r="I25" s="192">
        <v>1220</v>
      </c>
      <c r="J25" s="125">
        <f>ROUND(I25*Valores!$C$2,2)</f>
        <v>71882.77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89308.81</v>
      </c>
      <c r="N25" s="125">
        <f t="shared" si="0"/>
        <v>0</v>
      </c>
      <c r="O25" s="125">
        <f>Valores!$C$12</f>
        <v>133664.69</v>
      </c>
      <c r="P25" s="125">
        <f>Valores!$D$5</f>
        <v>30120.06</v>
      </c>
      <c r="Q25" s="125">
        <v>0</v>
      </c>
      <c r="R25" s="125">
        <f>IF($F$4="NO",Valores!$C$47,Valores!$C$47/2)</f>
        <v>31485.59</v>
      </c>
      <c r="S25" s="125">
        <f>Valores!$C$19</f>
        <v>28025.371999999996</v>
      </c>
      <c r="T25" s="125">
        <f t="shared" si="7"/>
        <v>28025.37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Valores!$C$97</f>
        <v>82485.58</v>
      </c>
      <c r="AA25" s="125">
        <f>Valores!$C$25</f>
        <v>1231.85</v>
      </c>
      <c r="AB25" s="214">
        <v>0</v>
      </c>
      <c r="AC25" s="125">
        <f t="shared" si="1"/>
        <v>0</v>
      </c>
      <c r="AD25" s="125">
        <f>Valores!$C$26</f>
        <v>1231.85</v>
      </c>
      <c r="AE25" s="192">
        <v>0</v>
      </c>
      <c r="AF25" s="125">
        <f>ROUND(AE25*Valores!$C$2,2)</f>
        <v>0</v>
      </c>
      <c r="AG25" s="125">
        <f>SUM(F25,H25,J25,L25,M25,N25,O25,P25,Q25,R25,T25,U25,V25,X25,Y25,Z25,AA25,AC25,AD25,AF25,AH25)*Valores!$C$69</f>
        <v>91507.60899</v>
      </c>
      <c r="AH25" s="125">
        <f>ROUND(IF($F$4="NO",Valores!$C$63,Valores!$C$63/2),2)</f>
        <v>14083.23</v>
      </c>
      <c r="AI25" s="125">
        <f t="shared" si="2"/>
        <v>800868.9189899999</v>
      </c>
      <c r="AJ25" s="125">
        <f>Valores!$C$31</f>
        <v>0</v>
      </c>
      <c r="AK25" s="125">
        <f>Valores!$C$90</f>
        <v>0</v>
      </c>
      <c r="AL25" s="125">
        <f>Valores!C$38*B25</f>
        <v>0</v>
      </c>
      <c r="AM25" s="125">
        <f>IF($F$3="NO",0,Valores!$C$55)</f>
        <v>0</v>
      </c>
      <c r="AN25" s="125">
        <f t="shared" si="3"/>
        <v>0</v>
      </c>
      <c r="AO25" s="125">
        <f>AI25*Valores!$C$71</f>
        <v>-88095.5810889</v>
      </c>
      <c r="AP25" s="125">
        <f>AI25*Valores!$C$72</f>
        <v>-16017.378379799999</v>
      </c>
      <c r="AQ25" s="125">
        <f>AI25*-Valores!$C$73</f>
        <v>0</v>
      </c>
      <c r="AR25" s="125">
        <f>AI25*Valores!$C$74</f>
        <v>-44047.79054445</v>
      </c>
      <c r="AS25" s="125">
        <f>Valores!$C$101</f>
        <v>-1270</v>
      </c>
      <c r="AT25" s="125">
        <f>IF($F$5=0,Valores!$C$102,(Valores!$C$102+$F$5*(Valores!$C$102)))</f>
        <v>-3700</v>
      </c>
      <c r="AU25" s="125">
        <f t="shared" si="6"/>
        <v>647738.1689768499</v>
      </c>
      <c r="AV25" s="125">
        <f t="shared" si="4"/>
        <v>-88095.5810889</v>
      </c>
      <c r="AW25" s="125">
        <f t="shared" si="10"/>
        <v>-16017.378379799999</v>
      </c>
      <c r="AX25" s="125">
        <f>AI25*Valores!$C$75</f>
        <v>-21623.460812729998</v>
      </c>
      <c r="AY25" s="125">
        <f>AI25*Valores!$C$76</f>
        <v>-2402.60675697</v>
      </c>
      <c r="AZ25" s="125">
        <f t="shared" si="5"/>
        <v>672729.8919516</v>
      </c>
      <c r="BA25" s="125">
        <f>AI25*Valores!$C$78</f>
        <v>128139.02703839999</v>
      </c>
      <c r="BB25" s="125">
        <f>AI25*Valores!$C$79</f>
        <v>56060.8243293</v>
      </c>
      <c r="BC25" s="125">
        <f>AI25*Valores!$C$80</f>
        <v>8008.689189899999</v>
      </c>
      <c r="BD25" s="125">
        <f>AI25*Valores!$C$82</f>
        <v>28030.41216465</v>
      </c>
      <c r="BE25" s="125">
        <f>AI25*Valores!$C$84</f>
        <v>43246.921625459996</v>
      </c>
      <c r="BF25" s="125">
        <f>AI25*Valores!$C$83</f>
        <v>4805.21351394</v>
      </c>
      <c r="BG25" s="126"/>
      <c r="BH25" s="126">
        <v>45</v>
      </c>
      <c r="BI25" s="123" t="s">
        <v>4</v>
      </c>
    </row>
    <row r="26" spans="1:61" s="110" customFormat="1" ht="11.25" customHeight="1">
      <c r="A26" s="123" t="s">
        <v>145</v>
      </c>
      <c r="B26" s="123">
        <v>1</v>
      </c>
      <c r="C26" s="126">
        <v>19</v>
      </c>
      <c r="D26" s="124" t="s">
        <v>146</v>
      </c>
      <c r="E26" s="192">
        <v>96</v>
      </c>
      <c r="F26" s="125">
        <f>ROUND(E26*Valores!$C$2,2)</f>
        <v>5656.35</v>
      </c>
      <c r="G26" s="192">
        <v>3737</v>
      </c>
      <c r="H26" s="125">
        <f>ROUND(G26*Valores!$C$2,2)</f>
        <v>220185.16</v>
      </c>
      <c r="I26" s="192">
        <v>1220</v>
      </c>
      <c r="J26" s="125">
        <f>ROUND(I26*Valores!$C$2,2)</f>
        <v>71882.77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89308.81</v>
      </c>
      <c r="N26" s="125">
        <f t="shared" si="0"/>
        <v>0</v>
      </c>
      <c r="O26" s="125">
        <f>Valores!$C$12</f>
        <v>133664.69</v>
      </c>
      <c r="P26" s="125">
        <f>Valores!$D$5</f>
        <v>30120.06</v>
      </c>
      <c r="Q26" s="125">
        <v>0</v>
      </c>
      <c r="R26" s="125">
        <f>IF($F$4="NO",Valores!$C$47,Valores!$C$47/2)</f>
        <v>31485.59</v>
      </c>
      <c r="S26" s="125">
        <f>Valores!$C$19</f>
        <v>28025.371999999996</v>
      </c>
      <c r="T26" s="125">
        <f t="shared" si="7"/>
        <v>28025.37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Valores!$C$97</f>
        <v>82485.58</v>
      </c>
      <c r="AA26" s="125">
        <f>Valores!$C$25</f>
        <v>1231.85</v>
      </c>
      <c r="AB26" s="214">
        <v>0</v>
      </c>
      <c r="AC26" s="125">
        <f t="shared" si="1"/>
        <v>0</v>
      </c>
      <c r="AD26" s="125">
        <f>Valores!$C$26</f>
        <v>1231.85</v>
      </c>
      <c r="AE26" s="192">
        <v>0</v>
      </c>
      <c r="AF26" s="125">
        <f>ROUND(AE26*Valores!$C$2,2)</f>
        <v>0</v>
      </c>
      <c r="AG26" s="125">
        <f>SUM(F26,H26,J26,L26,M26,N26,O26,P26,Q26,R26,T26,U26,V26,X26,Y26,Z26,AA26,AC26,AD26,AF26,AH26)*Valores!$C$69</f>
        <v>91507.60899</v>
      </c>
      <c r="AH26" s="125">
        <f>ROUND(IF($F$4="NO",Valores!$C$63,Valores!$C$63/2),2)</f>
        <v>14083.23</v>
      </c>
      <c r="AI26" s="125">
        <f t="shared" si="2"/>
        <v>800868.9189899999</v>
      </c>
      <c r="AJ26" s="125">
        <f>Valores!$C$31</f>
        <v>0</v>
      </c>
      <c r="AK26" s="125">
        <f>Valores!$C$90</f>
        <v>0</v>
      </c>
      <c r="AL26" s="125">
        <f>Valores!C$38*B26</f>
        <v>0</v>
      </c>
      <c r="AM26" s="125">
        <f>IF($F$3="NO",0,Valores!$C$55)</f>
        <v>0</v>
      </c>
      <c r="AN26" s="125">
        <f t="shared" si="3"/>
        <v>0</v>
      </c>
      <c r="AO26" s="125">
        <f>AI26*Valores!$C$71</f>
        <v>-88095.5810889</v>
      </c>
      <c r="AP26" s="125">
        <f>AI26*Valores!$C$72</f>
        <v>-16017.378379799999</v>
      </c>
      <c r="AQ26" s="125">
        <f>AI26*-Valores!$C$73</f>
        <v>0</v>
      </c>
      <c r="AR26" s="125">
        <f>AI26*Valores!$C$74</f>
        <v>-44047.79054445</v>
      </c>
      <c r="AS26" s="125">
        <f>Valores!$C$101</f>
        <v>-1270</v>
      </c>
      <c r="AT26" s="125">
        <f>IF($F$5=0,Valores!$C$102,(Valores!$C$102+$F$5*(Valores!$C$102)))</f>
        <v>-3700</v>
      </c>
      <c r="AU26" s="125">
        <f t="shared" si="6"/>
        <v>647738.1689768499</v>
      </c>
      <c r="AV26" s="125">
        <f t="shared" si="4"/>
        <v>-88095.5810889</v>
      </c>
      <c r="AW26" s="125">
        <f t="shared" si="10"/>
        <v>-16017.378379799999</v>
      </c>
      <c r="AX26" s="125">
        <f>AI26*Valores!$C$75</f>
        <v>-21623.460812729998</v>
      </c>
      <c r="AY26" s="125">
        <f>AI26*Valores!$C$76</f>
        <v>-2402.60675697</v>
      </c>
      <c r="AZ26" s="125">
        <f t="shared" si="5"/>
        <v>672729.8919516</v>
      </c>
      <c r="BA26" s="125">
        <f>AI26*Valores!$C$78</f>
        <v>128139.02703839999</v>
      </c>
      <c r="BB26" s="125">
        <f>AI26*Valores!$C$79</f>
        <v>56060.8243293</v>
      </c>
      <c r="BC26" s="125">
        <f>AI26*Valores!$C$80</f>
        <v>8008.689189899999</v>
      </c>
      <c r="BD26" s="125">
        <f>AI26*Valores!$C$82</f>
        <v>28030.41216465</v>
      </c>
      <c r="BE26" s="125">
        <f>AI26*Valores!$C$84</f>
        <v>43246.921625459996</v>
      </c>
      <c r="BF26" s="125">
        <f>AI26*Valores!$C$83</f>
        <v>4805.21351394</v>
      </c>
      <c r="BG26" s="126"/>
      <c r="BH26" s="126">
        <v>45</v>
      </c>
      <c r="BI26" s="123" t="s">
        <v>4</v>
      </c>
    </row>
    <row r="27" spans="1:61" s="110" customFormat="1" ht="11.25" customHeight="1">
      <c r="A27" s="123" t="s">
        <v>147</v>
      </c>
      <c r="B27" s="123">
        <v>1</v>
      </c>
      <c r="C27" s="126">
        <v>20</v>
      </c>
      <c r="D27" s="124" t="s">
        <v>148</v>
      </c>
      <c r="E27" s="192">
        <v>96</v>
      </c>
      <c r="F27" s="125">
        <f>ROUND(E27*Valores!$C$2,2)</f>
        <v>5656.35</v>
      </c>
      <c r="G27" s="192">
        <v>3737</v>
      </c>
      <c r="H27" s="125">
        <f>ROUND(G27*Valores!$C$2,2)</f>
        <v>220185.16</v>
      </c>
      <c r="I27" s="192">
        <v>1220</v>
      </c>
      <c r="J27" s="125">
        <f>ROUND(I27*Valores!$C$2,2)</f>
        <v>71882.77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89308.81</v>
      </c>
      <c r="N27" s="125">
        <f t="shared" si="0"/>
        <v>0</v>
      </c>
      <c r="O27" s="125">
        <f>Valores!$C$12</f>
        <v>133664.69</v>
      </c>
      <c r="P27" s="125">
        <f>Valores!$D$5</f>
        <v>30120.06</v>
      </c>
      <c r="Q27" s="125">
        <v>0</v>
      </c>
      <c r="R27" s="125">
        <f>IF($F$4="NO",Valores!$C$47,Valores!$C$47/2)</f>
        <v>31485.59</v>
      </c>
      <c r="S27" s="125">
        <f>Valores!$C$19</f>
        <v>28025.371999999996</v>
      </c>
      <c r="T27" s="125">
        <f t="shared" si="7"/>
        <v>28025.37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Valores!$C$97</f>
        <v>82485.58</v>
      </c>
      <c r="AA27" s="125">
        <f>Valores!$C$25</f>
        <v>1231.85</v>
      </c>
      <c r="AB27" s="214">
        <v>0</v>
      </c>
      <c r="AC27" s="125">
        <f t="shared" si="1"/>
        <v>0</v>
      </c>
      <c r="AD27" s="125">
        <f>Valores!$C$26</f>
        <v>1231.85</v>
      </c>
      <c r="AE27" s="192">
        <v>0</v>
      </c>
      <c r="AF27" s="125">
        <f>ROUND(AE27*Valores!$C$2,2)</f>
        <v>0</v>
      </c>
      <c r="AG27" s="125">
        <f>SUM(F27,H27,J27,L27,M27,N27,O27,P27,Q27,R27,T27,U27,V27,X27,Y27,Z27,AA27,AC27,AD27,AF27,AH27)*Valores!$C$69</f>
        <v>91507.60899</v>
      </c>
      <c r="AH27" s="125">
        <f>ROUND(IF($F$4="NO",Valores!$C$63,Valores!$C$63/2),2)</f>
        <v>14083.23</v>
      </c>
      <c r="AI27" s="125">
        <f t="shared" si="2"/>
        <v>800868.9189899999</v>
      </c>
      <c r="AJ27" s="125">
        <f>Valores!$C$31</f>
        <v>0</v>
      </c>
      <c r="AK27" s="125">
        <f>Valores!$C$90</f>
        <v>0</v>
      </c>
      <c r="AL27" s="125">
        <f>Valores!C$38*B27</f>
        <v>0</v>
      </c>
      <c r="AM27" s="125">
        <f>IF($F$3="NO",0,Valores!$C$55)</f>
        <v>0</v>
      </c>
      <c r="AN27" s="125">
        <f t="shared" si="3"/>
        <v>0</v>
      </c>
      <c r="AO27" s="125">
        <f>AI27*Valores!$C$71</f>
        <v>-88095.5810889</v>
      </c>
      <c r="AP27" s="125">
        <f>AI27*Valores!$C$72</f>
        <v>-16017.378379799999</v>
      </c>
      <c r="AQ27" s="125">
        <f>AI27*-Valores!$C$73</f>
        <v>0</v>
      </c>
      <c r="AR27" s="125">
        <f>AI27*Valores!$C$74</f>
        <v>-44047.79054445</v>
      </c>
      <c r="AS27" s="125">
        <f>Valores!$C$101</f>
        <v>-1270</v>
      </c>
      <c r="AT27" s="125">
        <f>IF($F$5=0,Valores!$C$102,(Valores!$C$102+$F$5*(Valores!$C$102)))</f>
        <v>-3700</v>
      </c>
      <c r="AU27" s="125">
        <f t="shared" si="6"/>
        <v>647738.1689768499</v>
      </c>
      <c r="AV27" s="125">
        <f t="shared" si="4"/>
        <v>-88095.5810889</v>
      </c>
      <c r="AW27" s="125">
        <f t="shared" si="10"/>
        <v>-16017.378379799999</v>
      </c>
      <c r="AX27" s="125">
        <f>AI27*Valores!$C$75</f>
        <v>-21623.460812729998</v>
      </c>
      <c r="AY27" s="125">
        <f>AI27*Valores!$C$76</f>
        <v>-2402.60675697</v>
      </c>
      <c r="AZ27" s="125">
        <f t="shared" si="5"/>
        <v>672729.8919516</v>
      </c>
      <c r="BA27" s="125">
        <f>AI27*Valores!$C$78</f>
        <v>128139.02703839999</v>
      </c>
      <c r="BB27" s="125">
        <f>AI27*Valores!$C$79</f>
        <v>56060.8243293</v>
      </c>
      <c r="BC27" s="125">
        <f>AI27*Valores!$C$80</f>
        <v>8008.689189899999</v>
      </c>
      <c r="BD27" s="125">
        <f>AI27*Valores!$C$82</f>
        <v>28030.41216465</v>
      </c>
      <c r="BE27" s="125">
        <f>AI27*Valores!$C$84</f>
        <v>43246.921625459996</v>
      </c>
      <c r="BF27" s="125">
        <f>AI27*Valores!$C$83</f>
        <v>4805.21351394</v>
      </c>
      <c r="BG27" s="126"/>
      <c r="BH27" s="126">
        <v>45</v>
      </c>
      <c r="BI27" s="123" t="s">
        <v>4</v>
      </c>
    </row>
    <row r="28" spans="1:61" s="110" customFormat="1" ht="11.25" customHeight="1">
      <c r="A28" s="123" t="s">
        <v>149</v>
      </c>
      <c r="B28" s="123">
        <v>1</v>
      </c>
      <c r="C28" s="126">
        <v>21</v>
      </c>
      <c r="D28" s="124" t="s">
        <v>150</v>
      </c>
      <c r="E28" s="192">
        <v>107</v>
      </c>
      <c r="F28" s="125">
        <f>ROUND(E28*Valores!$C$2,2)</f>
        <v>6304.47</v>
      </c>
      <c r="G28" s="192">
        <v>3728</v>
      </c>
      <c r="H28" s="125">
        <f>ROUND(G28*Valores!$C$2,2)</f>
        <v>219654.88</v>
      </c>
      <c r="I28" s="192">
        <v>1218</v>
      </c>
      <c r="J28" s="125">
        <f>ROUND(I28*Valores!$C$2,2)</f>
        <v>71764.93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89308.81</v>
      </c>
      <c r="N28" s="125">
        <f t="shared" si="0"/>
        <v>0</v>
      </c>
      <c r="O28" s="125">
        <f>Valores!$C$12</f>
        <v>133664.69</v>
      </c>
      <c r="P28" s="125">
        <f>Valores!$D$5</f>
        <v>30120.06</v>
      </c>
      <c r="Q28" s="125">
        <v>0</v>
      </c>
      <c r="R28" s="125">
        <f>IF($F$4="NO",Valores!$C$47,Valores!$C$47/2)</f>
        <v>31485.59</v>
      </c>
      <c r="S28" s="125">
        <f>Valores!$C$19</f>
        <v>28025.371999999996</v>
      </c>
      <c r="T28" s="125">
        <f t="shared" si="7"/>
        <v>28025.37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Valores!$C$97</f>
        <v>82485.58</v>
      </c>
      <c r="AA28" s="125">
        <f>Valores!$C$25</f>
        <v>1231.85</v>
      </c>
      <c r="AB28" s="214">
        <v>0</v>
      </c>
      <c r="AC28" s="125">
        <f t="shared" si="1"/>
        <v>0</v>
      </c>
      <c r="AD28" s="125">
        <f>Valores!$C$26</f>
        <v>1231.85</v>
      </c>
      <c r="AE28" s="192">
        <v>0</v>
      </c>
      <c r="AF28" s="125">
        <f>ROUND(AE28*Valores!$C$2,2)</f>
        <v>0</v>
      </c>
      <c r="AG28" s="125">
        <f>SUM(F28,H28,J28,L28,M28,N28,O28,P28,Q28,R28,T28,U28,V28,X28,Y28,Z28,AA28,AC28,AD28,AF28,AH28)*Valores!$C$69</f>
        <v>91507.60899</v>
      </c>
      <c r="AH28" s="125">
        <f>ROUND(IF($F$4="NO",Valores!$C$63,Valores!$C$63/2),2)</f>
        <v>14083.23</v>
      </c>
      <c r="AI28" s="125">
        <f t="shared" si="2"/>
        <v>800868.9189899999</v>
      </c>
      <c r="AJ28" s="125">
        <f>Valores!$C$31</f>
        <v>0</v>
      </c>
      <c r="AK28" s="125">
        <f>Valores!$C$90</f>
        <v>0</v>
      </c>
      <c r="AL28" s="125">
        <f>Valores!C$38*B28</f>
        <v>0</v>
      </c>
      <c r="AM28" s="125">
        <f>IF($F$3="NO",0,Valores!$C$55)</f>
        <v>0</v>
      </c>
      <c r="AN28" s="125">
        <f t="shared" si="3"/>
        <v>0</v>
      </c>
      <c r="AO28" s="125">
        <f>AI28*Valores!$C$71</f>
        <v>-88095.5810889</v>
      </c>
      <c r="AP28" s="125">
        <f>AI28*Valores!$C$72</f>
        <v>-16017.378379799999</v>
      </c>
      <c r="AQ28" s="125">
        <f>AI28*-Valores!$C$73</f>
        <v>0</v>
      </c>
      <c r="AR28" s="125">
        <f>AI28*Valores!$C$74</f>
        <v>-44047.79054445</v>
      </c>
      <c r="AS28" s="125">
        <f>Valores!$C$101</f>
        <v>-1270</v>
      </c>
      <c r="AT28" s="125">
        <f>IF($F$5=0,Valores!$C$102,(Valores!$C$102+$F$5*(Valores!$C$102)))</f>
        <v>-3700</v>
      </c>
      <c r="AU28" s="125">
        <f t="shared" si="6"/>
        <v>647738.1689768499</v>
      </c>
      <c r="AV28" s="125">
        <f t="shared" si="4"/>
        <v>-88095.5810889</v>
      </c>
      <c r="AW28" s="125">
        <f t="shared" si="10"/>
        <v>-16017.378379799999</v>
      </c>
      <c r="AX28" s="125">
        <f>AI28*Valores!$C$75</f>
        <v>-21623.460812729998</v>
      </c>
      <c r="AY28" s="125">
        <f>AI28*Valores!$C$76</f>
        <v>-2402.60675697</v>
      </c>
      <c r="AZ28" s="125">
        <f t="shared" si="5"/>
        <v>672729.8919516</v>
      </c>
      <c r="BA28" s="125">
        <f>AI28*Valores!$C$78</f>
        <v>128139.02703839999</v>
      </c>
      <c r="BB28" s="125">
        <f>AI28*Valores!$C$79</f>
        <v>56060.8243293</v>
      </c>
      <c r="BC28" s="125">
        <f>AI28*Valores!$C$80</f>
        <v>8008.689189899999</v>
      </c>
      <c r="BD28" s="125">
        <f>AI28*Valores!$C$82</f>
        <v>28030.41216465</v>
      </c>
      <c r="BE28" s="125">
        <f>AI28*Valores!$C$84</f>
        <v>43246.921625459996</v>
      </c>
      <c r="BF28" s="125">
        <f>AI28*Valores!$C$83</f>
        <v>4805.21351394</v>
      </c>
      <c r="BG28" s="126"/>
      <c r="BH28" s="126">
        <v>45</v>
      </c>
      <c r="BI28" s="123" t="s">
        <v>8</v>
      </c>
    </row>
    <row r="29" spans="1:61" s="110" customFormat="1" ht="11.25" customHeight="1">
      <c r="A29" s="123" t="s">
        <v>151</v>
      </c>
      <c r="B29" s="123">
        <v>1</v>
      </c>
      <c r="C29" s="126">
        <v>22</v>
      </c>
      <c r="D29" s="124" t="s">
        <v>152</v>
      </c>
      <c r="E29" s="192">
        <v>94</v>
      </c>
      <c r="F29" s="125">
        <f>ROUND(E29*Valores!$C$2,2)</f>
        <v>5538.51</v>
      </c>
      <c r="G29" s="192">
        <v>3624</v>
      </c>
      <c r="H29" s="125">
        <f>ROUND(G29*Valores!$C$2,2)</f>
        <v>213527.17</v>
      </c>
      <c r="I29" s="192">
        <v>1219</v>
      </c>
      <c r="J29" s="125">
        <f>ROUND(I29*Valores!$C$2,2)</f>
        <v>71823.85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87600.12</v>
      </c>
      <c r="N29" s="125">
        <f t="shared" si="0"/>
        <v>0</v>
      </c>
      <c r="O29" s="125">
        <f>Valores!$C$12</f>
        <v>133664.69</v>
      </c>
      <c r="P29" s="125">
        <f>Valores!$D$5</f>
        <v>30120.06</v>
      </c>
      <c r="Q29" s="125">
        <v>0</v>
      </c>
      <c r="R29" s="125">
        <f>IF($F$4="NO",Valores!$C$47,Valores!$C$47/2)</f>
        <v>31485.59</v>
      </c>
      <c r="S29" s="125">
        <f>Valores!$C$19</f>
        <v>28025.371999999996</v>
      </c>
      <c r="T29" s="125">
        <f t="shared" si="7"/>
        <v>28025.37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Valores!$C$97</f>
        <v>82485.58</v>
      </c>
      <c r="AA29" s="125">
        <f>Valores!$C$25</f>
        <v>1231.85</v>
      </c>
      <c r="AB29" s="214">
        <v>0</v>
      </c>
      <c r="AC29" s="125">
        <f t="shared" si="1"/>
        <v>0</v>
      </c>
      <c r="AD29" s="125">
        <f>Valores!$C$26</f>
        <v>1231.85</v>
      </c>
      <c r="AE29" s="192">
        <v>0</v>
      </c>
      <c r="AF29" s="125">
        <f>ROUND(AE29*Valores!$C$2,2)</f>
        <v>0</v>
      </c>
      <c r="AG29" s="125">
        <f>SUM(F29,H29,J29,L29,M29,N29,O29,P29,Q29,R29,T29,U29,V29,X29,Y29,Z29,AA29,AC29,AD29,AF29,AH29)*Valores!$C$69</f>
        <v>90405.50522999998</v>
      </c>
      <c r="AH29" s="125">
        <f>ROUND(IF($F$4="NO",Valores!$C$63,Valores!$C$63/2),2)</f>
        <v>14083.23</v>
      </c>
      <c r="AI29" s="125">
        <f t="shared" si="2"/>
        <v>791223.3752299999</v>
      </c>
      <c r="AJ29" s="125">
        <f>Valores!$C$31</f>
        <v>0</v>
      </c>
      <c r="AK29" s="125">
        <f>Valores!$C$90</f>
        <v>0</v>
      </c>
      <c r="AL29" s="125">
        <f>Valores!C$38*B29</f>
        <v>0</v>
      </c>
      <c r="AM29" s="125">
        <f>IF($F$3="NO",0,Valores!$C$55)</f>
        <v>0</v>
      </c>
      <c r="AN29" s="125">
        <f t="shared" si="3"/>
        <v>0</v>
      </c>
      <c r="AO29" s="125">
        <f>AI29*Valores!$C$71</f>
        <v>-87034.57127529998</v>
      </c>
      <c r="AP29" s="125">
        <f>AI29*Valores!$C$72</f>
        <v>-15824.467504599997</v>
      </c>
      <c r="AQ29" s="125">
        <f>AI29*-Valores!$C$73</f>
        <v>0</v>
      </c>
      <c r="AR29" s="125">
        <f>AI29*Valores!$C$74</f>
        <v>-43517.28563764999</v>
      </c>
      <c r="AS29" s="125">
        <f>Valores!$C$101</f>
        <v>-1270</v>
      </c>
      <c r="AT29" s="125">
        <f>IF($F$5=0,Valores!$C$102,(Valores!$C$102+$F$5*(Valores!$C$102)))</f>
        <v>-3700</v>
      </c>
      <c r="AU29" s="125">
        <f t="shared" si="6"/>
        <v>639877.0508124499</v>
      </c>
      <c r="AV29" s="125">
        <f t="shared" si="4"/>
        <v>-87034.57127529998</v>
      </c>
      <c r="AW29" s="125">
        <f t="shared" si="10"/>
        <v>-15824.467504599997</v>
      </c>
      <c r="AX29" s="125">
        <f>AI29*Valores!$C$75</f>
        <v>-21363.03113121</v>
      </c>
      <c r="AY29" s="125">
        <f>AI29*Valores!$C$76</f>
        <v>-2373.6701256899996</v>
      </c>
      <c r="AZ29" s="125">
        <f t="shared" si="5"/>
        <v>664627.6351932</v>
      </c>
      <c r="BA29" s="125">
        <f>AI29*Valores!$C$78</f>
        <v>126595.74003679998</v>
      </c>
      <c r="BB29" s="125">
        <f>AI29*Valores!$C$79</f>
        <v>55385.636266099995</v>
      </c>
      <c r="BC29" s="125">
        <f>AI29*Valores!$C$80</f>
        <v>7912.233752299999</v>
      </c>
      <c r="BD29" s="125">
        <f>AI29*Valores!$C$82</f>
        <v>27692.818133049997</v>
      </c>
      <c r="BE29" s="125">
        <f>AI29*Valores!$C$84</f>
        <v>42726.06226242</v>
      </c>
      <c r="BF29" s="125">
        <f>AI29*Valores!$C$83</f>
        <v>4747.340251379999</v>
      </c>
      <c r="BG29" s="126"/>
      <c r="BH29" s="126">
        <v>45</v>
      </c>
      <c r="BI29" s="123" t="s">
        <v>4</v>
      </c>
    </row>
    <row r="30" spans="1:61" s="110" customFormat="1" ht="11.25" customHeight="1">
      <c r="A30" s="123" t="s">
        <v>153</v>
      </c>
      <c r="B30" s="123">
        <v>1</v>
      </c>
      <c r="C30" s="126">
        <v>23</v>
      </c>
      <c r="D30" s="124" t="s">
        <v>154</v>
      </c>
      <c r="E30" s="192">
        <v>93</v>
      </c>
      <c r="F30" s="125">
        <f>ROUND(E30*Valores!$C$2,2)</f>
        <v>5479.59</v>
      </c>
      <c r="G30" s="192">
        <v>3627</v>
      </c>
      <c r="H30" s="125">
        <f>ROUND(G30*Valores!$C$2,2)</f>
        <v>213703.93</v>
      </c>
      <c r="I30" s="192">
        <v>210</v>
      </c>
      <c r="J30" s="125">
        <f>ROUND(I30*Valores!$C$2,2)</f>
        <v>12373.26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72766.94</v>
      </c>
      <c r="N30" s="125">
        <f t="shared" si="0"/>
        <v>0</v>
      </c>
      <c r="O30" s="125">
        <f>Valores!$C$12</f>
        <v>133664.69</v>
      </c>
      <c r="P30" s="125">
        <f>Valores!$D$5</f>
        <v>30120.06</v>
      </c>
      <c r="Q30" s="125">
        <v>0</v>
      </c>
      <c r="R30" s="125">
        <f>IF($F$4="NO",Valores!$C$47,Valores!$C$47/2)</f>
        <v>31485.59</v>
      </c>
      <c r="S30" s="125">
        <f>Valores!$C$19</f>
        <v>28025.371999999996</v>
      </c>
      <c r="T30" s="125">
        <f t="shared" si="7"/>
        <v>28025.37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Valores!$C$97</f>
        <v>82485.58</v>
      </c>
      <c r="AA30" s="125">
        <f>Valores!$C$25</f>
        <v>1231.85</v>
      </c>
      <c r="AB30" s="214">
        <v>0</v>
      </c>
      <c r="AC30" s="125">
        <f t="shared" si="1"/>
        <v>0</v>
      </c>
      <c r="AD30" s="125">
        <f>Valores!$C$26</f>
        <v>1231.85</v>
      </c>
      <c r="AE30" s="192">
        <v>0</v>
      </c>
      <c r="AF30" s="125">
        <f>ROUND(AE30*Valores!$C$2,2)</f>
        <v>0</v>
      </c>
      <c r="AG30" s="125">
        <f>SUM(F30,H30,J30,L30,M30,N30,O30,P30,Q30,R30,T30,U30,V30,X30,Y30,Z30,AA30,AC30,AD30,AF30,AH30)*Valores!$C$69</f>
        <v>80838.10025999999</v>
      </c>
      <c r="AH30" s="125">
        <f>ROUND(IF($F$4="NO",Valores!$C$63,Valores!$C$63/2),2)</f>
        <v>14083.23</v>
      </c>
      <c r="AI30" s="125">
        <f t="shared" si="2"/>
        <v>707490.0402599999</v>
      </c>
      <c r="AJ30" s="125">
        <f>Valores!$C$31</f>
        <v>0</v>
      </c>
      <c r="AK30" s="125">
        <f>Valores!$C$90</f>
        <v>0</v>
      </c>
      <c r="AL30" s="125">
        <f>Valores!C$38*B30</f>
        <v>0</v>
      </c>
      <c r="AM30" s="125">
        <f>IF($F$3="NO",0,Valores!$C$55)</f>
        <v>0</v>
      </c>
      <c r="AN30" s="125">
        <f t="shared" si="3"/>
        <v>0</v>
      </c>
      <c r="AO30" s="125">
        <f>AI30*Valores!$C$71</f>
        <v>-77823.9044286</v>
      </c>
      <c r="AP30" s="125">
        <f>AI30*Valores!$C$72</f>
        <v>-14149.800805199999</v>
      </c>
      <c r="AQ30" s="125">
        <f>AI30*-Valores!$C$73</f>
        <v>0</v>
      </c>
      <c r="AR30" s="125">
        <f>AI30*Valores!$C$74</f>
        <v>-38911.9522143</v>
      </c>
      <c r="AS30" s="125">
        <f>Valores!$C$101</f>
        <v>-1270</v>
      </c>
      <c r="AT30" s="125">
        <f>IF($F$5=0,Valores!$C$102,(Valores!$C$102+$F$5*(Valores!$C$102)))</f>
        <v>-3700</v>
      </c>
      <c r="AU30" s="125">
        <f t="shared" si="6"/>
        <v>571634.3828119</v>
      </c>
      <c r="AV30" s="125">
        <f t="shared" si="4"/>
        <v>-77823.9044286</v>
      </c>
      <c r="AW30" s="125">
        <f t="shared" si="10"/>
        <v>-14149.800805199999</v>
      </c>
      <c r="AX30" s="125">
        <f>AI30*Valores!$C$75</f>
        <v>-19102.231087019998</v>
      </c>
      <c r="AY30" s="125">
        <f>AI30*Valores!$C$76</f>
        <v>-2122.47012078</v>
      </c>
      <c r="AZ30" s="125">
        <f t="shared" si="5"/>
        <v>594291.6338184</v>
      </c>
      <c r="BA30" s="125">
        <f>AI30*Valores!$C$78</f>
        <v>113198.40644159999</v>
      </c>
      <c r="BB30" s="125">
        <f>AI30*Valores!$C$79</f>
        <v>49524.3028182</v>
      </c>
      <c r="BC30" s="125">
        <f>AI30*Valores!$C$80</f>
        <v>7074.900402599999</v>
      </c>
      <c r="BD30" s="125">
        <f>AI30*Valores!$C$82</f>
        <v>24762.1514091</v>
      </c>
      <c r="BE30" s="125">
        <f>AI30*Valores!$C$84</f>
        <v>38204.462174039996</v>
      </c>
      <c r="BF30" s="125">
        <f>AI30*Valores!$C$83</f>
        <v>4244.94024156</v>
      </c>
      <c r="BG30" s="126"/>
      <c r="BH30" s="126">
        <v>45</v>
      </c>
      <c r="BI30" s="123" t="s">
        <v>8</v>
      </c>
    </row>
    <row r="31" spans="1:61" s="110" customFormat="1" ht="11.25" customHeight="1">
      <c r="A31" s="123" t="s">
        <v>155</v>
      </c>
      <c r="B31" s="123">
        <v>1</v>
      </c>
      <c r="C31" s="126">
        <v>24</v>
      </c>
      <c r="D31" s="124" t="s">
        <v>156</v>
      </c>
      <c r="E31" s="192">
        <v>93</v>
      </c>
      <c r="F31" s="125">
        <f>ROUND(E31*Valores!$C$2,2)</f>
        <v>5479.59</v>
      </c>
      <c r="G31" s="192">
        <v>3630</v>
      </c>
      <c r="H31" s="125">
        <f>ROUND(G31*Valores!$C$2,2)</f>
        <v>213880.69</v>
      </c>
      <c r="I31" s="192">
        <v>1214</v>
      </c>
      <c r="J31" s="125">
        <f>ROUND(I31*Valores!$C$2,2)</f>
        <v>71529.24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87600.12</v>
      </c>
      <c r="N31" s="125">
        <f t="shared" si="0"/>
        <v>0</v>
      </c>
      <c r="O31" s="125">
        <f>Valores!$C$12</f>
        <v>133664.69</v>
      </c>
      <c r="P31" s="125">
        <f>Valores!$D$5</f>
        <v>30120.06</v>
      </c>
      <c r="Q31" s="125">
        <v>0</v>
      </c>
      <c r="R31" s="125">
        <f>IF($F$4="NO",Valores!$C$47,Valores!$C$47/2)</f>
        <v>31485.59</v>
      </c>
      <c r="S31" s="125">
        <f>Valores!$C$19</f>
        <v>28025.371999999996</v>
      </c>
      <c r="T31" s="125">
        <f t="shared" si="7"/>
        <v>28025.37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Valores!$C$97</f>
        <v>82485.58</v>
      </c>
      <c r="AA31" s="125">
        <f>Valores!$C$25</f>
        <v>1231.85</v>
      </c>
      <c r="AB31" s="214">
        <v>0</v>
      </c>
      <c r="AC31" s="125">
        <f t="shared" si="1"/>
        <v>0</v>
      </c>
      <c r="AD31" s="125">
        <f>Valores!$C$26</f>
        <v>1231.85</v>
      </c>
      <c r="AE31" s="192">
        <v>0</v>
      </c>
      <c r="AF31" s="125">
        <f>ROUND(AE31*Valores!$C$2,2)</f>
        <v>0</v>
      </c>
      <c r="AG31" s="125">
        <f>SUM(F31,H31,J31,L31,M31,N31,O31,P31,Q31,R31,T31,U31,V31,X31,Y31,Z31,AA31,AC31,AD31,AF31,AH31)*Valores!$C$69</f>
        <v>90405.50393999998</v>
      </c>
      <c r="AH31" s="125">
        <f>ROUND(IF($F$4="NO",Valores!$C$63,Valores!$C$63/2),2)</f>
        <v>14083.23</v>
      </c>
      <c r="AI31" s="125">
        <f t="shared" si="2"/>
        <v>791223.3639399998</v>
      </c>
      <c r="AJ31" s="125">
        <f>Valores!$C$31</f>
        <v>0</v>
      </c>
      <c r="AK31" s="125">
        <f>Valores!$C$90</f>
        <v>0</v>
      </c>
      <c r="AL31" s="125">
        <f>Valores!C$38*B31</f>
        <v>0</v>
      </c>
      <c r="AM31" s="125">
        <f>IF($F$3="NO",0,Valores!$C$55)</f>
        <v>0</v>
      </c>
      <c r="AN31" s="125">
        <f t="shared" si="3"/>
        <v>0</v>
      </c>
      <c r="AO31" s="125">
        <f>AI31*Valores!$C$71</f>
        <v>-87034.57003339998</v>
      </c>
      <c r="AP31" s="125">
        <f>AI31*Valores!$C$72</f>
        <v>-15824.467278799997</v>
      </c>
      <c r="AQ31" s="125">
        <f>AI31*-Valores!$C$73</f>
        <v>0</v>
      </c>
      <c r="AR31" s="125">
        <f>AI31*Valores!$C$74</f>
        <v>-43517.28501669999</v>
      </c>
      <c r="AS31" s="125">
        <f>Valores!$C$101</f>
        <v>-1270</v>
      </c>
      <c r="AT31" s="125">
        <f>IF($F$5=0,Valores!$C$102,(Valores!$C$102+$F$5*(Valores!$C$102)))</f>
        <v>-3700</v>
      </c>
      <c r="AU31" s="125">
        <f t="shared" si="6"/>
        <v>639877.0416110998</v>
      </c>
      <c r="AV31" s="125">
        <f t="shared" si="4"/>
        <v>-87034.57003339998</v>
      </c>
      <c r="AW31" s="125">
        <f t="shared" si="10"/>
        <v>-15824.467278799997</v>
      </c>
      <c r="AX31" s="125">
        <f>AI31*Valores!$C$75</f>
        <v>-21363.030826379996</v>
      </c>
      <c r="AY31" s="125">
        <f>AI31*Valores!$C$76</f>
        <v>-2373.6700918199995</v>
      </c>
      <c r="AZ31" s="125">
        <f t="shared" si="5"/>
        <v>664627.6257095998</v>
      </c>
      <c r="BA31" s="125">
        <f>AI31*Valores!$C$78</f>
        <v>126595.73823039998</v>
      </c>
      <c r="BB31" s="125">
        <f>AI31*Valores!$C$79</f>
        <v>55385.635475799994</v>
      </c>
      <c r="BC31" s="125">
        <f>AI31*Valores!$C$80</f>
        <v>7912.2336393999985</v>
      </c>
      <c r="BD31" s="125">
        <f>AI31*Valores!$C$82</f>
        <v>27692.817737899997</v>
      </c>
      <c r="BE31" s="125">
        <f>AI31*Valores!$C$84</f>
        <v>42726.06165275999</v>
      </c>
      <c r="BF31" s="125">
        <f>AI31*Valores!$C$83</f>
        <v>4747.340183639999</v>
      </c>
      <c r="BG31" s="126"/>
      <c r="BH31" s="126">
        <v>45</v>
      </c>
      <c r="BI31" s="123" t="s">
        <v>4</v>
      </c>
    </row>
    <row r="32" spans="1:61" s="110" customFormat="1" ht="11.25" customHeight="1">
      <c r="A32" s="123" t="s">
        <v>157</v>
      </c>
      <c r="B32" s="123">
        <v>1</v>
      </c>
      <c r="C32" s="126">
        <v>25</v>
      </c>
      <c r="D32" s="124" t="s">
        <v>158</v>
      </c>
      <c r="E32" s="192">
        <v>96</v>
      </c>
      <c r="F32" s="125">
        <f>ROUND(E32*Valores!$C$2,2)</f>
        <v>5656.35</v>
      </c>
      <c r="G32" s="192">
        <v>3737</v>
      </c>
      <c r="H32" s="125">
        <f>ROUND(G32*Valores!$C$2,2)</f>
        <v>220185.16</v>
      </c>
      <c r="I32" s="192">
        <v>1220</v>
      </c>
      <c r="J32" s="125">
        <f>ROUND(I32*Valores!$C$2,2)</f>
        <v>71882.77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89308.81</v>
      </c>
      <c r="N32" s="125">
        <f t="shared" si="0"/>
        <v>0</v>
      </c>
      <c r="O32" s="125">
        <f>Valores!$C$12</f>
        <v>133664.69</v>
      </c>
      <c r="P32" s="125">
        <f>Valores!$D$5</f>
        <v>30120.06</v>
      </c>
      <c r="Q32" s="125">
        <v>0</v>
      </c>
      <c r="R32" s="125">
        <f>IF($F$4="NO",Valores!$C$47,Valores!$C$47/2)</f>
        <v>31485.59</v>
      </c>
      <c r="S32" s="125">
        <f>Valores!$C$19</f>
        <v>28025.371999999996</v>
      </c>
      <c r="T32" s="125">
        <f t="shared" si="7"/>
        <v>28025.37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49381.48</v>
      </c>
      <c r="Z32" s="125">
        <f>Valores!$C$97</f>
        <v>82485.58</v>
      </c>
      <c r="AA32" s="125">
        <f>Valores!$C$25</f>
        <v>1231.85</v>
      </c>
      <c r="AB32" s="214">
        <v>0</v>
      </c>
      <c r="AC32" s="125">
        <f t="shared" si="1"/>
        <v>0</v>
      </c>
      <c r="AD32" s="125">
        <f>Valores!$C$26</f>
        <v>1231.85</v>
      </c>
      <c r="AE32" s="192">
        <v>0</v>
      </c>
      <c r="AF32" s="125">
        <f>ROUND(AE32*Valores!$C$2,2)</f>
        <v>0</v>
      </c>
      <c r="AG32" s="125">
        <f>SUM(F32,H32,J32,L32,M32,N32,O32,P32,Q32,R32,T32,U32,V32,X32,Y32,Z32,AA32,AC32,AD32,AF32,AH32)*Valores!$C$69</f>
        <v>97877.81990999999</v>
      </c>
      <c r="AH32" s="125">
        <f>ROUND(IF($F$4="NO",Valores!$C$63,Valores!$C$63/2),2)</f>
        <v>14083.23</v>
      </c>
      <c r="AI32" s="125">
        <f t="shared" si="2"/>
        <v>856620.6099099999</v>
      </c>
      <c r="AJ32" s="125">
        <f>Valores!$C$31</f>
        <v>0</v>
      </c>
      <c r="AK32" s="125">
        <f>Valores!$C$90</f>
        <v>0</v>
      </c>
      <c r="AL32" s="125">
        <f>Valores!C$38*B32</f>
        <v>0</v>
      </c>
      <c r="AM32" s="125">
        <f>IF($F$3="NO",0,Valores!$C$55)</f>
        <v>0</v>
      </c>
      <c r="AN32" s="125">
        <f t="shared" si="3"/>
        <v>0</v>
      </c>
      <c r="AO32" s="125">
        <f>AI32*Valores!$C$71</f>
        <v>-94228.2670901</v>
      </c>
      <c r="AP32" s="125">
        <f>AI32*Valores!$C$72</f>
        <v>-17132.4121982</v>
      </c>
      <c r="AQ32" s="125">
        <f>AI32*-Valores!$C$73</f>
        <v>0</v>
      </c>
      <c r="AR32" s="125">
        <f>AI32*Valores!$C$74</f>
        <v>-47114.13354505</v>
      </c>
      <c r="AS32" s="125">
        <f>Valores!$C$101</f>
        <v>-1270</v>
      </c>
      <c r="AT32" s="125">
        <f>IF($F$5=0,Valores!$C$102,(Valores!$C$102+$F$5*(Valores!$C$102)))</f>
        <v>-3700</v>
      </c>
      <c r="AU32" s="125">
        <f t="shared" si="6"/>
        <v>693175.79707665</v>
      </c>
      <c r="AV32" s="125">
        <f t="shared" si="4"/>
        <v>-94228.2670901</v>
      </c>
      <c r="AW32" s="125">
        <f t="shared" si="10"/>
        <v>-17132.4121982</v>
      </c>
      <c r="AX32" s="125">
        <f>AI32*Valores!$C$75</f>
        <v>-23128.756467569998</v>
      </c>
      <c r="AY32" s="125">
        <f>AI32*Valores!$C$76</f>
        <v>-2569.8618297299995</v>
      </c>
      <c r="AZ32" s="125">
        <f t="shared" si="5"/>
        <v>719561.3123243998</v>
      </c>
      <c r="BA32" s="125">
        <f>AI32*Valores!$C$78</f>
        <v>137059.2975856</v>
      </c>
      <c r="BB32" s="125">
        <f>AI32*Valores!$C$79</f>
        <v>59963.442693699995</v>
      </c>
      <c r="BC32" s="125">
        <f>AI32*Valores!$C$80</f>
        <v>8566.2060991</v>
      </c>
      <c r="BD32" s="125">
        <f>AI32*Valores!$C$82</f>
        <v>29981.721346849998</v>
      </c>
      <c r="BE32" s="125">
        <f>AI32*Valores!$C$84</f>
        <v>46257.512935139996</v>
      </c>
      <c r="BF32" s="125">
        <f>AI32*Valores!$C$83</f>
        <v>5139.723659459999</v>
      </c>
      <c r="BG32" s="126"/>
      <c r="BH32" s="126">
        <v>45</v>
      </c>
      <c r="BI32" s="123" t="s">
        <v>8</v>
      </c>
    </row>
    <row r="33" spans="1:61" s="110" customFormat="1" ht="11.25" customHeight="1">
      <c r="A33" s="123" t="s">
        <v>159</v>
      </c>
      <c r="B33" s="123">
        <v>1</v>
      </c>
      <c r="C33" s="126">
        <v>26</v>
      </c>
      <c r="D33" s="124" t="s">
        <v>160</v>
      </c>
      <c r="E33" s="192">
        <v>92</v>
      </c>
      <c r="F33" s="125">
        <f>ROUND(E33*Valores!$C$2,2)</f>
        <v>5420.67</v>
      </c>
      <c r="G33" s="192">
        <v>3483</v>
      </c>
      <c r="H33" s="125">
        <f>ROUND(G33*Valores!$C$2,2)</f>
        <v>205219.4</v>
      </c>
      <c r="I33" s="192">
        <v>1217</v>
      </c>
      <c r="J33" s="125">
        <f>ROUND(I33*Valores!$C$2,2)</f>
        <v>71706.01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85464.26</v>
      </c>
      <c r="N33" s="125">
        <f t="shared" si="0"/>
        <v>0</v>
      </c>
      <c r="O33" s="125">
        <f>Valores!$C$12</f>
        <v>133664.69</v>
      </c>
      <c r="P33" s="125">
        <f>Valores!$D$5</f>
        <v>30120.06</v>
      </c>
      <c r="Q33" s="125">
        <v>0</v>
      </c>
      <c r="R33" s="125">
        <f>IF($F$4="NO",Valores!$C$47,Valores!$C$47/2)</f>
        <v>31485.59</v>
      </c>
      <c r="S33" s="125">
        <f>Valores!$C$19</f>
        <v>28025.371999999996</v>
      </c>
      <c r="T33" s="125">
        <f t="shared" si="7"/>
        <v>28025.37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Valores!$C$97</f>
        <v>82485.58</v>
      </c>
      <c r="AA33" s="125">
        <f>Valores!$C$25</f>
        <v>1231.85</v>
      </c>
      <c r="AB33" s="214">
        <v>0</v>
      </c>
      <c r="AC33" s="125">
        <f t="shared" si="1"/>
        <v>0</v>
      </c>
      <c r="AD33" s="125">
        <f>Valores!$C$26</f>
        <v>1231.85</v>
      </c>
      <c r="AE33" s="192">
        <v>0</v>
      </c>
      <c r="AF33" s="125">
        <f>ROUND(AE33*Valores!$C$2,2)</f>
        <v>0</v>
      </c>
      <c r="AG33" s="125">
        <f>SUM(F33,H33,J33,L33,M33,N33,O33,P33,Q33,R33,T33,U33,V33,X33,Y33,Z33,AA33,AC33,AD33,AF33,AH33)*Valores!$C$69</f>
        <v>89027.87423999999</v>
      </c>
      <c r="AH33" s="125">
        <f>ROUND(IF($F$4="NO",Valores!$C$63,Valores!$C$63/2),2)</f>
        <v>14083.23</v>
      </c>
      <c r="AI33" s="125">
        <f t="shared" si="2"/>
        <v>779166.43424</v>
      </c>
      <c r="AJ33" s="125">
        <f>Valores!$C$31</f>
        <v>0</v>
      </c>
      <c r="AK33" s="125">
        <f>Valores!$C$90</f>
        <v>0</v>
      </c>
      <c r="AL33" s="125">
        <f>Valores!C$38*B33</f>
        <v>0</v>
      </c>
      <c r="AM33" s="125">
        <f>IF($F$3="NO",0,Valores!$C$55)</f>
        <v>0</v>
      </c>
      <c r="AN33" s="125">
        <f t="shared" si="3"/>
        <v>0</v>
      </c>
      <c r="AO33" s="125">
        <f>AI33*Valores!$C$71</f>
        <v>-85708.3077664</v>
      </c>
      <c r="AP33" s="125">
        <f>AI33*Valores!$C$72</f>
        <v>-15583.328684799999</v>
      </c>
      <c r="AQ33" s="125">
        <f>AI33*-Valores!$C$73</f>
        <v>0</v>
      </c>
      <c r="AR33" s="125">
        <f>AI33*Valores!$C$74</f>
        <v>-42854.1538832</v>
      </c>
      <c r="AS33" s="125">
        <f>Valores!$C$101</f>
        <v>-1270</v>
      </c>
      <c r="AT33" s="125">
        <f>IF($F$5=0,Valores!$C$102,(Valores!$C$102+$F$5*(Valores!$C$102)))</f>
        <v>-3700</v>
      </c>
      <c r="AU33" s="125">
        <f t="shared" si="6"/>
        <v>630050.6439056</v>
      </c>
      <c r="AV33" s="125">
        <f t="shared" si="4"/>
        <v>-85708.3077664</v>
      </c>
      <c r="AW33" s="125">
        <f t="shared" si="10"/>
        <v>-15583.328684799999</v>
      </c>
      <c r="AX33" s="125">
        <f>AI33*Valores!$C$75</f>
        <v>-21037.49372448</v>
      </c>
      <c r="AY33" s="125">
        <f>AI33*Valores!$C$76</f>
        <v>-2337.49930272</v>
      </c>
      <c r="AZ33" s="125">
        <f t="shared" si="5"/>
        <v>654499.8047616</v>
      </c>
      <c r="BA33" s="125">
        <f>AI33*Valores!$C$78</f>
        <v>124666.62947839999</v>
      </c>
      <c r="BB33" s="125">
        <f>AI33*Valores!$C$79</f>
        <v>54541.6503968</v>
      </c>
      <c r="BC33" s="125">
        <f>AI33*Valores!$C$80</f>
        <v>7791.664342399999</v>
      </c>
      <c r="BD33" s="125">
        <f>AI33*Valores!$C$82</f>
        <v>27270.8251984</v>
      </c>
      <c r="BE33" s="125">
        <f>AI33*Valores!$C$84</f>
        <v>42074.98744896</v>
      </c>
      <c r="BF33" s="125">
        <f>AI33*Valores!$C$83</f>
        <v>4674.99860544</v>
      </c>
      <c r="BG33" s="126"/>
      <c r="BH33" s="126">
        <v>45</v>
      </c>
      <c r="BI33" s="123" t="s">
        <v>4</v>
      </c>
    </row>
    <row r="34" spans="1:61" s="110" customFormat="1" ht="11.25" customHeight="1">
      <c r="A34" s="123" t="s">
        <v>161</v>
      </c>
      <c r="B34" s="123">
        <v>1</v>
      </c>
      <c r="C34" s="126">
        <v>27</v>
      </c>
      <c r="D34" s="124" t="s">
        <v>162</v>
      </c>
      <c r="E34" s="192">
        <v>85</v>
      </c>
      <c r="F34" s="125">
        <f>ROUND(E34*Valores!$C$2,2)</f>
        <v>5008.23</v>
      </c>
      <c r="G34" s="192">
        <v>3498</v>
      </c>
      <c r="H34" s="125">
        <f>ROUND(G34*Valores!$C$2,2)</f>
        <v>206103.21</v>
      </c>
      <c r="I34" s="192">
        <v>1209</v>
      </c>
      <c r="J34" s="125">
        <f>ROUND(I34*Valores!$C$2,2)</f>
        <v>71234.64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85464.26</v>
      </c>
      <c r="N34" s="125">
        <f t="shared" si="0"/>
        <v>0</v>
      </c>
      <c r="O34" s="125">
        <f>Valores!$C$12</f>
        <v>133664.69</v>
      </c>
      <c r="P34" s="125">
        <f>Valores!$D$5</f>
        <v>30120.06</v>
      </c>
      <c r="Q34" s="125">
        <v>0</v>
      </c>
      <c r="R34" s="125">
        <f>IF($F$4="NO",Valores!$C$47,Valores!$C$47/2)</f>
        <v>31485.59</v>
      </c>
      <c r="S34" s="125">
        <f>Valores!$C$19</f>
        <v>28025.371999999996</v>
      </c>
      <c r="T34" s="125">
        <f t="shared" si="7"/>
        <v>28025.37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Valores!$C$97</f>
        <v>82485.58</v>
      </c>
      <c r="AA34" s="125">
        <f>Valores!$C$25</f>
        <v>1231.85</v>
      </c>
      <c r="AB34" s="214">
        <v>0</v>
      </c>
      <c r="AC34" s="125">
        <f t="shared" si="1"/>
        <v>0</v>
      </c>
      <c r="AD34" s="125">
        <f>Valores!$C$26</f>
        <v>1231.85</v>
      </c>
      <c r="AE34" s="192">
        <v>0</v>
      </c>
      <c r="AF34" s="125">
        <f>ROUND(AE34*Valores!$C$2,2)</f>
        <v>0</v>
      </c>
      <c r="AG34" s="125">
        <f>SUM(F34,H34,J34,L34,M34,N34,O34,P34,Q34,R34,T34,U34,V34,X34,Y34,Z34,AA34,AC34,AD34,AF34,AH34)*Valores!$C$69</f>
        <v>89027.87423999999</v>
      </c>
      <c r="AH34" s="125">
        <f>ROUND(IF($F$4="NO",Valores!$C$63,Valores!$C$63/2),2)</f>
        <v>14083.23</v>
      </c>
      <c r="AI34" s="125">
        <f t="shared" si="2"/>
        <v>779166.43424</v>
      </c>
      <c r="AJ34" s="125">
        <f>Valores!$C$31</f>
        <v>0</v>
      </c>
      <c r="AK34" s="125">
        <f>Valores!$C$90</f>
        <v>0</v>
      </c>
      <c r="AL34" s="125">
        <f>Valores!C$38*B34</f>
        <v>0</v>
      </c>
      <c r="AM34" s="125">
        <f>IF($F$3="NO",0,Valores!$C$55)</f>
        <v>0</v>
      </c>
      <c r="AN34" s="125">
        <f t="shared" si="3"/>
        <v>0</v>
      </c>
      <c r="AO34" s="125">
        <f>AI34*Valores!$C$71</f>
        <v>-85708.3077664</v>
      </c>
      <c r="AP34" s="125">
        <f>AI34*Valores!$C$72</f>
        <v>-15583.328684799999</v>
      </c>
      <c r="AQ34" s="125">
        <f>AI34*-Valores!$C$73</f>
        <v>0</v>
      </c>
      <c r="AR34" s="125">
        <f>AI34*Valores!$C$74</f>
        <v>-42854.1538832</v>
      </c>
      <c r="AS34" s="125">
        <f>Valores!$C$101</f>
        <v>-1270</v>
      </c>
      <c r="AT34" s="125">
        <f>IF($F$5=0,Valores!$C$102,(Valores!$C$102+$F$5*(Valores!$C$102)))</f>
        <v>-3700</v>
      </c>
      <c r="AU34" s="125">
        <f t="shared" si="6"/>
        <v>630050.6439056</v>
      </c>
      <c r="AV34" s="125">
        <f t="shared" si="4"/>
        <v>-85708.3077664</v>
      </c>
      <c r="AW34" s="125">
        <f t="shared" si="10"/>
        <v>-15583.328684799999</v>
      </c>
      <c r="AX34" s="125">
        <f>AI34*Valores!$C$75</f>
        <v>-21037.49372448</v>
      </c>
      <c r="AY34" s="125">
        <f>AI34*Valores!$C$76</f>
        <v>-2337.49930272</v>
      </c>
      <c r="AZ34" s="125">
        <f t="shared" si="5"/>
        <v>654499.8047616</v>
      </c>
      <c r="BA34" s="125">
        <f>AI34*Valores!$C$78</f>
        <v>124666.62947839999</v>
      </c>
      <c r="BB34" s="125">
        <f>AI34*Valores!$C$79</f>
        <v>54541.6503968</v>
      </c>
      <c r="BC34" s="125">
        <f>AI34*Valores!$C$80</f>
        <v>7791.664342399999</v>
      </c>
      <c r="BD34" s="125">
        <f>AI34*Valores!$C$82</f>
        <v>27270.8251984</v>
      </c>
      <c r="BE34" s="125">
        <f>AI34*Valores!$C$84</f>
        <v>42074.98744896</v>
      </c>
      <c r="BF34" s="125">
        <f>AI34*Valores!$C$83</f>
        <v>4674.99860544</v>
      </c>
      <c r="BG34" s="126"/>
      <c r="BH34" s="126">
        <v>45</v>
      </c>
      <c r="BI34" s="123" t="s">
        <v>4</v>
      </c>
    </row>
    <row r="35" spans="1:61" s="110" customFormat="1" ht="11.25" customHeight="1">
      <c r="A35" s="123" t="s">
        <v>163</v>
      </c>
      <c r="B35" s="123">
        <v>1</v>
      </c>
      <c r="C35" s="126">
        <v>28</v>
      </c>
      <c r="D35" s="124" t="s">
        <v>164</v>
      </c>
      <c r="E35" s="192">
        <v>92</v>
      </c>
      <c r="F35" s="125">
        <f>ROUND(E35*Valores!$C$2,2)</f>
        <v>5420.67</v>
      </c>
      <c r="G35" s="192">
        <v>3483</v>
      </c>
      <c r="H35" s="125">
        <f>ROUND(G35*Valores!$C$2,2)</f>
        <v>205219.4</v>
      </c>
      <c r="I35" s="192">
        <v>1217</v>
      </c>
      <c r="J35" s="125">
        <f>ROUND(I35*Valores!$C$2,2)</f>
        <v>71706.01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85464.26</v>
      </c>
      <c r="N35" s="125">
        <f t="shared" si="0"/>
        <v>0</v>
      </c>
      <c r="O35" s="125">
        <f>Valores!$C$12</f>
        <v>133664.69</v>
      </c>
      <c r="P35" s="125">
        <f>Valores!$D$5</f>
        <v>30120.06</v>
      </c>
      <c r="Q35" s="125">
        <v>0</v>
      </c>
      <c r="R35" s="125">
        <f>IF($F$4="NO",Valores!$C$47,Valores!$C$47/2)</f>
        <v>31485.59</v>
      </c>
      <c r="S35" s="125">
        <f>Valores!$C$19</f>
        <v>28025.371999999996</v>
      </c>
      <c r="T35" s="125">
        <f t="shared" si="7"/>
        <v>28025.37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Valores!$C$97</f>
        <v>82485.58</v>
      </c>
      <c r="AA35" s="125">
        <f>Valores!$C$25</f>
        <v>1231.85</v>
      </c>
      <c r="AB35" s="214">
        <v>0</v>
      </c>
      <c r="AC35" s="125">
        <f t="shared" si="1"/>
        <v>0</v>
      </c>
      <c r="AD35" s="125">
        <f>Valores!$C$26</f>
        <v>1231.85</v>
      </c>
      <c r="AE35" s="192">
        <v>0</v>
      </c>
      <c r="AF35" s="125">
        <f>ROUND(AE35*Valores!$C$2,2)</f>
        <v>0</v>
      </c>
      <c r="AG35" s="125">
        <f>SUM(F35,H35,J35,L35,M35,N35,O35,P35,Q35,R35,T35,U35,V35,X35,Y35,Z35,AA35,AC35,AD35,AF35,AH35)*Valores!$C$69</f>
        <v>89027.87423999999</v>
      </c>
      <c r="AH35" s="125">
        <f>ROUND(IF($F$4="NO",Valores!$C$63,Valores!$C$63/2),2)</f>
        <v>14083.23</v>
      </c>
      <c r="AI35" s="125">
        <f t="shared" si="2"/>
        <v>779166.43424</v>
      </c>
      <c r="AJ35" s="125">
        <f>Valores!$C$31</f>
        <v>0</v>
      </c>
      <c r="AK35" s="125">
        <f>Valores!$C$90</f>
        <v>0</v>
      </c>
      <c r="AL35" s="125">
        <f>Valores!C$38*B35</f>
        <v>0</v>
      </c>
      <c r="AM35" s="125">
        <f>IF($F$3="NO",0,Valores!$C$55)</f>
        <v>0</v>
      </c>
      <c r="AN35" s="125">
        <f t="shared" si="3"/>
        <v>0</v>
      </c>
      <c r="AO35" s="125">
        <f>AI35*Valores!$C$71</f>
        <v>-85708.3077664</v>
      </c>
      <c r="AP35" s="125">
        <f>AI35*Valores!$C$72</f>
        <v>-15583.328684799999</v>
      </c>
      <c r="AQ35" s="125">
        <f>AI35*-Valores!$C$73</f>
        <v>0</v>
      </c>
      <c r="AR35" s="125">
        <f>AI35*Valores!$C$74</f>
        <v>-42854.1538832</v>
      </c>
      <c r="AS35" s="125">
        <f>Valores!$C$101</f>
        <v>-1270</v>
      </c>
      <c r="AT35" s="125">
        <f>IF($F$5=0,Valores!$C$102,(Valores!$C$102+$F$5*(Valores!$C$102)))</f>
        <v>-3700</v>
      </c>
      <c r="AU35" s="125">
        <f t="shared" si="6"/>
        <v>630050.6439056</v>
      </c>
      <c r="AV35" s="125">
        <f t="shared" si="4"/>
        <v>-85708.3077664</v>
      </c>
      <c r="AW35" s="125">
        <f t="shared" si="10"/>
        <v>-15583.328684799999</v>
      </c>
      <c r="AX35" s="125">
        <f>AI35*Valores!$C$75</f>
        <v>-21037.49372448</v>
      </c>
      <c r="AY35" s="125">
        <f>AI35*Valores!$C$76</f>
        <v>-2337.49930272</v>
      </c>
      <c r="AZ35" s="125">
        <f t="shared" si="5"/>
        <v>654499.8047616</v>
      </c>
      <c r="BA35" s="125">
        <f>AI35*Valores!$C$78</f>
        <v>124666.62947839999</v>
      </c>
      <c r="BB35" s="125">
        <f>AI35*Valores!$C$79</f>
        <v>54541.6503968</v>
      </c>
      <c r="BC35" s="125">
        <f>AI35*Valores!$C$80</f>
        <v>7791.664342399999</v>
      </c>
      <c r="BD35" s="125">
        <f>AI35*Valores!$C$82</f>
        <v>27270.8251984</v>
      </c>
      <c r="BE35" s="125">
        <f>AI35*Valores!$C$84</f>
        <v>42074.98744896</v>
      </c>
      <c r="BF35" s="125">
        <f>AI35*Valores!$C$83</f>
        <v>4674.99860544</v>
      </c>
      <c r="BG35" s="126"/>
      <c r="BH35" s="126">
        <v>45</v>
      </c>
      <c r="BI35" s="123" t="s">
        <v>4</v>
      </c>
    </row>
    <row r="36" spans="1:61" s="110" customFormat="1" ht="11.25" customHeight="1">
      <c r="A36" s="123" t="s">
        <v>165</v>
      </c>
      <c r="B36" s="123">
        <v>1</v>
      </c>
      <c r="C36" s="126">
        <v>29</v>
      </c>
      <c r="D36" s="124" t="s">
        <v>166</v>
      </c>
      <c r="E36" s="192">
        <v>85</v>
      </c>
      <c r="F36" s="125">
        <f>ROUND(E36*Valores!$C$2,2)</f>
        <v>5008.23</v>
      </c>
      <c r="G36" s="192">
        <v>3498</v>
      </c>
      <c r="H36" s="125">
        <f>ROUND(G36*Valores!$C$2,2)</f>
        <v>206103.21</v>
      </c>
      <c r="I36" s="192">
        <v>1209</v>
      </c>
      <c r="J36" s="125">
        <f>ROUND(I36*Valores!$C$2,2)</f>
        <v>71234.64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85464.26</v>
      </c>
      <c r="N36" s="125">
        <f t="shared" si="0"/>
        <v>0</v>
      </c>
      <c r="O36" s="125">
        <f>Valores!$C$12</f>
        <v>133664.69</v>
      </c>
      <c r="P36" s="125">
        <f>Valores!$D$5</f>
        <v>30120.06</v>
      </c>
      <c r="Q36" s="125">
        <v>0</v>
      </c>
      <c r="R36" s="125">
        <f>IF($F$4="NO",Valores!$C$47,Valores!$C$47/2)</f>
        <v>31485.59</v>
      </c>
      <c r="S36" s="125">
        <f>Valores!$C$19</f>
        <v>28025.371999999996</v>
      </c>
      <c r="T36" s="125">
        <f t="shared" si="7"/>
        <v>28025.37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Valores!$C$97</f>
        <v>82485.58</v>
      </c>
      <c r="AA36" s="125">
        <f>Valores!$C$25</f>
        <v>1231.85</v>
      </c>
      <c r="AB36" s="214">
        <v>0</v>
      </c>
      <c r="AC36" s="125">
        <f t="shared" si="1"/>
        <v>0</v>
      </c>
      <c r="AD36" s="125">
        <f>Valores!$C$26</f>
        <v>1231.85</v>
      </c>
      <c r="AE36" s="192">
        <v>0</v>
      </c>
      <c r="AF36" s="125">
        <f>ROUND(AE36*Valores!$C$2,2)</f>
        <v>0</v>
      </c>
      <c r="AG36" s="125">
        <f>SUM(F36,H36,J36,L36,M36,N36,O36,P36,Q36,R36,T36,U36,V36,X36,Y36,Z36,AA36,AC36,AD36,AF36,AH36)*Valores!$C$69</f>
        <v>89027.87423999999</v>
      </c>
      <c r="AH36" s="125">
        <f>ROUND(IF($F$4="NO",Valores!$C$63,Valores!$C$63/2),2)</f>
        <v>14083.23</v>
      </c>
      <c r="AI36" s="125">
        <f t="shared" si="2"/>
        <v>779166.43424</v>
      </c>
      <c r="AJ36" s="125">
        <f>Valores!$C$31</f>
        <v>0</v>
      </c>
      <c r="AK36" s="125">
        <f>Valores!$C$90</f>
        <v>0</v>
      </c>
      <c r="AL36" s="125">
        <f>Valores!C$38*B36</f>
        <v>0</v>
      </c>
      <c r="AM36" s="125">
        <f>IF($F$3="NO",0,Valores!$C$55)</f>
        <v>0</v>
      </c>
      <c r="AN36" s="125">
        <f t="shared" si="3"/>
        <v>0</v>
      </c>
      <c r="AO36" s="125">
        <f>AI36*Valores!$C$71</f>
        <v>-85708.3077664</v>
      </c>
      <c r="AP36" s="125">
        <f>AI36*Valores!$C$72</f>
        <v>-15583.328684799999</v>
      </c>
      <c r="AQ36" s="125">
        <f>AI36*-Valores!$C$73</f>
        <v>0</v>
      </c>
      <c r="AR36" s="125">
        <f>AI36*Valores!$C$74</f>
        <v>-42854.1538832</v>
      </c>
      <c r="AS36" s="125">
        <f>Valores!$C$101</f>
        <v>-1270</v>
      </c>
      <c r="AT36" s="125">
        <f>IF($F$5=0,Valores!$C$102,(Valores!$C$102+$F$5*(Valores!$C$102)))</f>
        <v>-3700</v>
      </c>
      <c r="AU36" s="125">
        <f t="shared" si="6"/>
        <v>630050.6439056</v>
      </c>
      <c r="AV36" s="125">
        <f t="shared" si="4"/>
        <v>-85708.3077664</v>
      </c>
      <c r="AW36" s="125">
        <f t="shared" si="10"/>
        <v>-15583.328684799999</v>
      </c>
      <c r="AX36" s="125">
        <f>AI36*Valores!$C$75</f>
        <v>-21037.49372448</v>
      </c>
      <c r="AY36" s="125">
        <f>AI36*Valores!$C$76</f>
        <v>-2337.49930272</v>
      </c>
      <c r="AZ36" s="125">
        <f t="shared" si="5"/>
        <v>654499.8047616</v>
      </c>
      <c r="BA36" s="125">
        <f>AI36*Valores!$C$78</f>
        <v>124666.62947839999</v>
      </c>
      <c r="BB36" s="125">
        <f>AI36*Valores!$C$79</f>
        <v>54541.6503968</v>
      </c>
      <c r="BC36" s="125">
        <f>AI36*Valores!$C$80</f>
        <v>7791.664342399999</v>
      </c>
      <c r="BD36" s="125">
        <f>AI36*Valores!$C$82</f>
        <v>27270.8251984</v>
      </c>
      <c r="BE36" s="125">
        <f>AI36*Valores!$C$84</f>
        <v>42074.98744896</v>
      </c>
      <c r="BF36" s="125">
        <f>AI36*Valores!$C$83</f>
        <v>4674.99860544</v>
      </c>
      <c r="BG36" s="126"/>
      <c r="BH36" s="126">
        <v>45</v>
      </c>
      <c r="BI36" s="123" t="s">
        <v>8</v>
      </c>
    </row>
    <row r="37" spans="1:61" s="110" customFormat="1" ht="11.25" customHeight="1">
      <c r="A37" s="123" t="s">
        <v>167</v>
      </c>
      <c r="B37" s="123">
        <v>1</v>
      </c>
      <c r="C37" s="126">
        <v>30</v>
      </c>
      <c r="D37" s="124" t="s">
        <v>168</v>
      </c>
      <c r="E37" s="192">
        <v>92</v>
      </c>
      <c r="F37" s="125">
        <f>ROUND(E37*Valores!$C$2,2)</f>
        <v>5420.67</v>
      </c>
      <c r="G37" s="192">
        <v>3483</v>
      </c>
      <c r="H37" s="125">
        <f>ROUND(G37*Valores!$C$2,2)</f>
        <v>205219.4</v>
      </c>
      <c r="I37" s="192">
        <v>1217</v>
      </c>
      <c r="J37" s="125">
        <f>ROUND(I37*Valores!$C$2,2)</f>
        <v>71706.01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85464.26</v>
      </c>
      <c r="N37" s="125">
        <f t="shared" si="0"/>
        <v>0</v>
      </c>
      <c r="O37" s="125">
        <f>Valores!$C$12</f>
        <v>133664.69</v>
      </c>
      <c r="P37" s="125">
        <f>Valores!$D$5</f>
        <v>30120.06</v>
      </c>
      <c r="Q37" s="125">
        <v>0</v>
      </c>
      <c r="R37" s="125">
        <f>IF($F$4="NO",Valores!$C$47,Valores!$C$47/2)</f>
        <v>31485.59</v>
      </c>
      <c r="S37" s="125">
        <f>Valores!$C$19</f>
        <v>28025.371999999996</v>
      </c>
      <c r="T37" s="125">
        <f t="shared" si="7"/>
        <v>28025.37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47074.75</v>
      </c>
      <c r="Z37" s="125">
        <f>Valores!$C$97</f>
        <v>82485.58</v>
      </c>
      <c r="AA37" s="125">
        <f>Valores!$C$25</f>
        <v>1231.85</v>
      </c>
      <c r="AB37" s="214">
        <v>0</v>
      </c>
      <c r="AC37" s="125">
        <f t="shared" si="1"/>
        <v>0</v>
      </c>
      <c r="AD37" s="125">
        <f>Valores!$C$26</f>
        <v>1231.85</v>
      </c>
      <c r="AE37" s="192">
        <v>0</v>
      </c>
      <c r="AF37" s="125">
        <f>ROUND(AE37*Valores!$C$2,2)</f>
        <v>0</v>
      </c>
      <c r="AG37" s="125">
        <f>SUM(F37,H37,J37,L37,M37,N37,O37,P37,Q37,R37,T37,U37,V37,X37,Y37,Z37,AA37,AC37,AD37,AF37,AH37)*Valores!$C$69</f>
        <v>95100.51698999999</v>
      </c>
      <c r="AH37" s="125">
        <f>ROUND(IF($F$4="NO",Valores!$C$63,Valores!$C$63/2),2)</f>
        <v>14083.23</v>
      </c>
      <c r="AI37" s="125">
        <f t="shared" si="2"/>
        <v>832313.82699</v>
      </c>
      <c r="AJ37" s="125">
        <f>Valores!$C$31</f>
        <v>0</v>
      </c>
      <c r="AK37" s="125">
        <f>Valores!$C$90</f>
        <v>0</v>
      </c>
      <c r="AL37" s="125">
        <f>Valores!C$38*B37</f>
        <v>0</v>
      </c>
      <c r="AM37" s="125">
        <f>IF($F$3="NO",0,Valores!$C$55)</f>
        <v>0</v>
      </c>
      <c r="AN37" s="125">
        <f t="shared" si="3"/>
        <v>0</v>
      </c>
      <c r="AO37" s="125">
        <f>AI37*Valores!$C$71</f>
        <v>-91554.5209689</v>
      </c>
      <c r="AP37" s="125">
        <f>AI37*Valores!$C$72</f>
        <v>-16646.2765398</v>
      </c>
      <c r="AQ37" s="125">
        <f>AI37*-Valores!$C$73</f>
        <v>0</v>
      </c>
      <c r="AR37" s="125">
        <f>AI37*Valores!$C$74</f>
        <v>-45777.26048445</v>
      </c>
      <c r="AS37" s="125">
        <f>Valores!$C$101</f>
        <v>-1270</v>
      </c>
      <c r="AT37" s="125">
        <f>IF($F$5=0,Valores!$C$102,(Valores!$C$102+$F$5*(Valores!$C$102)))</f>
        <v>-3700</v>
      </c>
      <c r="AU37" s="125">
        <f t="shared" si="6"/>
        <v>673365.7689968499</v>
      </c>
      <c r="AV37" s="125">
        <f t="shared" si="4"/>
        <v>-91554.5209689</v>
      </c>
      <c r="AW37" s="125">
        <f t="shared" si="10"/>
        <v>-16646.2765398</v>
      </c>
      <c r="AX37" s="125">
        <f>AI37*Valores!$C$75</f>
        <v>-22472.47332873</v>
      </c>
      <c r="AY37" s="125">
        <f>AI37*Valores!$C$76</f>
        <v>-2496.94148097</v>
      </c>
      <c r="AZ37" s="125">
        <f t="shared" si="5"/>
        <v>699143.6146715999</v>
      </c>
      <c r="BA37" s="125">
        <f>AI37*Valores!$C$78</f>
        <v>133170.2123184</v>
      </c>
      <c r="BB37" s="125">
        <f>AI37*Valores!$C$79</f>
        <v>58261.9678893</v>
      </c>
      <c r="BC37" s="125">
        <f>AI37*Valores!$C$80</f>
        <v>8323.1382699</v>
      </c>
      <c r="BD37" s="125">
        <f>AI37*Valores!$C$82</f>
        <v>29130.98394465</v>
      </c>
      <c r="BE37" s="125">
        <f>AI37*Valores!$C$84</f>
        <v>44944.94665746</v>
      </c>
      <c r="BF37" s="125">
        <f>AI37*Valores!$C$83</f>
        <v>4993.88296194</v>
      </c>
      <c r="BG37" s="126"/>
      <c r="BH37" s="126">
        <v>45</v>
      </c>
      <c r="BI37" s="123" t="s">
        <v>8</v>
      </c>
    </row>
    <row r="38" spans="1:61" s="110" customFormat="1" ht="11.25" customHeight="1">
      <c r="A38" s="123" t="s">
        <v>169</v>
      </c>
      <c r="B38" s="123">
        <v>1</v>
      </c>
      <c r="C38" s="126">
        <v>31</v>
      </c>
      <c r="D38" s="124" t="s">
        <v>170</v>
      </c>
      <c r="E38" s="192">
        <v>85</v>
      </c>
      <c r="F38" s="125">
        <f>ROUND(E38*Valores!$C$2,2)</f>
        <v>5008.23</v>
      </c>
      <c r="G38" s="192">
        <v>3498</v>
      </c>
      <c r="H38" s="125">
        <f>ROUND(G38*Valores!$C$2,2)</f>
        <v>206103.21</v>
      </c>
      <c r="I38" s="192">
        <v>202</v>
      </c>
      <c r="J38" s="125">
        <f>ROUND(I38*Valores!$C$2,2)</f>
        <v>11901.9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70631.08</v>
      </c>
      <c r="N38" s="125">
        <f t="shared" si="0"/>
        <v>0</v>
      </c>
      <c r="O38" s="125">
        <f>Valores!$C$12</f>
        <v>133664.69</v>
      </c>
      <c r="P38" s="125">
        <f>Valores!$D$5</f>
        <v>30120.06</v>
      </c>
      <c r="Q38" s="125">
        <v>0</v>
      </c>
      <c r="R38" s="125">
        <f>IF($F$4="NO",Valores!$C$47,Valores!$C$47/2)</f>
        <v>31485.59</v>
      </c>
      <c r="S38" s="125">
        <f>Valores!$C$19</f>
        <v>28025.371999999996</v>
      </c>
      <c r="T38" s="125">
        <f t="shared" si="7"/>
        <v>28025.37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Valores!$C$97</f>
        <v>82485.58</v>
      </c>
      <c r="AA38" s="125">
        <f>Valores!$C$25</f>
        <v>1231.85</v>
      </c>
      <c r="AB38" s="214">
        <v>0</v>
      </c>
      <c r="AC38" s="125">
        <f t="shared" si="1"/>
        <v>0</v>
      </c>
      <c r="AD38" s="125">
        <f>Valores!$C$26</f>
        <v>1231.85</v>
      </c>
      <c r="AE38" s="192">
        <v>0</v>
      </c>
      <c r="AF38" s="125">
        <f>ROUND(AE38*Valores!$C$2,2)</f>
        <v>0</v>
      </c>
      <c r="AG38" s="125">
        <f>SUM(F38,H38,J38,L38,M38,N38,O38,P38,Q38,R38,T38,U38,V38,X38,Y38,Z38,AA38,AC38,AD38,AF38,AH38)*Valores!$C$69</f>
        <v>79460.47055999999</v>
      </c>
      <c r="AH38" s="125">
        <f>ROUND(IF($F$4="NO",Valores!$C$63,Valores!$C$63/2),2)</f>
        <v>14083.23</v>
      </c>
      <c r="AI38" s="125">
        <f t="shared" si="2"/>
        <v>695433.11056</v>
      </c>
      <c r="AJ38" s="125">
        <f>Valores!$C$31</f>
        <v>0</v>
      </c>
      <c r="AK38" s="125">
        <f>Valores!$C$90</f>
        <v>0</v>
      </c>
      <c r="AL38" s="125">
        <f>Valores!C$38*B38</f>
        <v>0</v>
      </c>
      <c r="AM38" s="125">
        <f>IF($F$3="NO",0,Valores!$C$55)</f>
        <v>0</v>
      </c>
      <c r="AN38" s="125">
        <f t="shared" si="3"/>
        <v>0</v>
      </c>
      <c r="AO38" s="125">
        <f>AI38*Valores!$C$71</f>
        <v>-76497.6421616</v>
      </c>
      <c r="AP38" s="125">
        <f>AI38*Valores!$C$72</f>
        <v>-13908.662211199999</v>
      </c>
      <c r="AQ38" s="125">
        <f>AI38*-Valores!$C$73</f>
        <v>0</v>
      </c>
      <c r="AR38" s="125">
        <f>AI38*Valores!$C$74</f>
        <v>-38248.8210808</v>
      </c>
      <c r="AS38" s="125">
        <f>Valores!$C$101</f>
        <v>-1270</v>
      </c>
      <c r="AT38" s="125">
        <f>IF($F$5=0,Valores!$C$102,(Valores!$C$102+$F$5*(Valores!$C$102)))</f>
        <v>-3700</v>
      </c>
      <c r="AU38" s="125">
        <f t="shared" si="6"/>
        <v>561807.9851064</v>
      </c>
      <c r="AV38" s="125">
        <f t="shared" si="4"/>
        <v>-76497.6421616</v>
      </c>
      <c r="AW38" s="125">
        <f t="shared" si="10"/>
        <v>-13908.662211199999</v>
      </c>
      <c r="AX38" s="125">
        <f>AI38*Valores!$C$75</f>
        <v>-18776.693985119997</v>
      </c>
      <c r="AY38" s="125">
        <f>AI38*Valores!$C$76</f>
        <v>-2086.29933168</v>
      </c>
      <c r="AZ38" s="125">
        <f t="shared" si="5"/>
        <v>584163.8128703999</v>
      </c>
      <c r="BA38" s="125">
        <f>AI38*Valores!$C$78</f>
        <v>111269.29768959999</v>
      </c>
      <c r="BB38" s="125">
        <f>AI38*Valores!$C$79</f>
        <v>48680.3177392</v>
      </c>
      <c r="BC38" s="125">
        <f>AI38*Valores!$C$80</f>
        <v>6954.331105599999</v>
      </c>
      <c r="BD38" s="125">
        <f>AI38*Valores!$C$82</f>
        <v>24340.1588696</v>
      </c>
      <c r="BE38" s="125">
        <f>AI38*Valores!$C$84</f>
        <v>37553.38797023999</v>
      </c>
      <c r="BF38" s="125">
        <f>AI38*Valores!$C$83</f>
        <v>4172.59866336</v>
      </c>
      <c r="BG38" s="126"/>
      <c r="BH38" s="126">
        <v>45</v>
      </c>
      <c r="BI38" s="123" t="s">
        <v>8</v>
      </c>
    </row>
    <row r="39" spans="1:61" s="110" customFormat="1" ht="11.25" customHeight="1">
      <c r="A39" s="123" t="s">
        <v>171</v>
      </c>
      <c r="B39" s="123">
        <v>1</v>
      </c>
      <c r="C39" s="126">
        <v>32</v>
      </c>
      <c r="D39" s="124" t="s">
        <v>172</v>
      </c>
      <c r="E39" s="192">
        <v>85</v>
      </c>
      <c r="F39" s="125">
        <f>ROUND(E39*Valores!$C$2,2)</f>
        <v>5008.23</v>
      </c>
      <c r="G39" s="192">
        <v>3498</v>
      </c>
      <c r="H39" s="125">
        <f>ROUND(G39*Valores!$C$2,2)</f>
        <v>206103.21</v>
      </c>
      <c r="I39" s="192">
        <v>1209</v>
      </c>
      <c r="J39" s="125">
        <f>ROUND(I39*Valores!$C$2,2)</f>
        <v>71234.64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85464.26</v>
      </c>
      <c r="N39" s="125">
        <f t="shared" si="0"/>
        <v>0</v>
      </c>
      <c r="O39" s="125">
        <f>Valores!$C$12</f>
        <v>133664.69</v>
      </c>
      <c r="P39" s="125">
        <f>Valores!$D$5</f>
        <v>30120.06</v>
      </c>
      <c r="Q39" s="125">
        <v>0</v>
      </c>
      <c r="R39" s="125">
        <f>IF($F$4="NO",Valores!$C$47,Valores!$C$47/2)</f>
        <v>31485.59</v>
      </c>
      <c r="S39" s="125">
        <f>Valores!$C$19</f>
        <v>28025.371999999996</v>
      </c>
      <c r="T39" s="125">
        <f t="shared" si="7"/>
        <v>28025.37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Valores!$C$97</f>
        <v>82485.58</v>
      </c>
      <c r="AA39" s="125">
        <f>Valores!$C$25</f>
        <v>1231.85</v>
      </c>
      <c r="AB39" s="214">
        <v>0</v>
      </c>
      <c r="AC39" s="125">
        <f t="shared" si="1"/>
        <v>0</v>
      </c>
      <c r="AD39" s="125">
        <f>Valores!$C$26</f>
        <v>1231.85</v>
      </c>
      <c r="AE39" s="192">
        <v>0</v>
      </c>
      <c r="AF39" s="125">
        <f>ROUND(AE39*Valores!$C$2,2)</f>
        <v>0</v>
      </c>
      <c r="AG39" s="125">
        <f>SUM(F39,H39,J39,L39,M39,N39,O39,P39,Q39,R39,T39,U39,V39,X39,Y39,Z39,AA39,AC39,AD39,AF39,AH39)*Valores!$C$69</f>
        <v>89027.87423999999</v>
      </c>
      <c r="AH39" s="125">
        <f>ROUND(IF($F$4="NO",Valores!$C$63,Valores!$C$63/2),2)</f>
        <v>14083.23</v>
      </c>
      <c r="AI39" s="125">
        <f t="shared" si="2"/>
        <v>779166.43424</v>
      </c>
      <c r="AJ39" s="125">
        <f>Valores!$C$31</f>
        <v>0</v>
      </c>
      <c r="AK39" s="125">
        <f>Valores!$C$90</f>
        <v>0</v>
      </c>
      <c r="AL39" s="125">
        <f>Valores!C$38*B39</f>
        <v>0</v>
      </c>
      <c r="AM39" s="125">
        <f>IF($F$3="NO",0,Valores!$C$55)</f>
        <v>0</v>
      </c>
      <c r="AN39" s="125">
        <f t="shared" si="3"/>
        <v>0</v>
      </c>
      <c r="AO39" s="125">
        <f>AI39*Valores!$C$71</f>
        <v>-85708.3077664</v>
      </c>
      <c r="AP39" s="125">
        <f>AI39*Valores!$C$72</f>
        <v>-15583.328684799999</v>
      </c>
      <c r="AQ39" s="125">
        <f>AI39*-Valores!$C$73</f>
        <v>0</v>
      </c>
      <c r="AR39" s="125">
        <f>AI39*Valores!$C$74</f>
        <v>-42854.1538832</v>
      </c>
      <c r="AS39" s="125">
        <f>Valores!$C$101</f>
        <v>-1270</v>
      </c>
      <c r="AT39" s="125">
        <f>IF($F$5=0,Valores!$C$102,(Valores!$C$102+$F$5*(Valores!$C$102)))</f>
        <v>-3700</v>
      </c>
      <c r="AU39" s="125">
        <f t="shared" si="6"/>
        <v>630050.6439056</v>
      </c>
      <c r="AV39" s="125">
        <f t="shared" si="4"/>
        <v>-85708.3077664</v>
      </c>
      <c r="AW39" s="125">
        <f t="shared" si="10"/>
        <v>-15583.328684799999</v>
      </c>
      <c r="AX39" s="125">
        <f>AI39*Valores!$C$75</f>
        <v>-21037.49372448</v>
      </c>
      <c r="AY39" s="125">
        <f>AI39*Valores!$C$76</f>
        <v>-2337.49930272</v>
      </c>
      <c r="AZ39" s="125">
        <f t="shared" si="5"/>
        <v>654499.8047616</v>
      </c>
      <c r="BA39" s="125">
        <f>AI39*Valores!$C$78</f>
        <v>124666.62947839999</v>
      </c>
      <c r="BB39" s="125">
        <f>AI39*Valores!$C$79</f>
        <v>54541.6503968</v>
      </c>
      <c r="BC39" s="125">
        <f>AI39*Valores!$C$80</f>
        <v>7791.664342399999</v>
      </c>
      <c r="BD39" s="125">
        <f>AI39*Valores!$C$82</f>
        <v>27270.8251984</v>
      </c>
      <c r="BE39" s="125">
        <f>AI39*Valores!$C$84</f>
        <v>42074.98744896</v>
      </c>
      <c r="BF39" s="125">
        <f>AI39*Valores!$C$83</f>
        <v>4674.99860544</v>
      </c>
      <c r="BG39" s="126"/>
      <c r="BH39" s="126">
        <v>45</v>
      </c>
      <c r="BI39" s="123" t="s">
        <v>4</v>
      </c>
    </row>
    <row r="40" spans="1:61" s="110" customFormat="1" ht="11.25" customHeight="1">
      <c r="A40" s="123" t="s">
        <v>173</v>
      </c>
      <c r="B40" s="123">
        <v>1</v>
      </c>
      <c r="C40" s="126">
        <v>33</v>
      </c>
      <c r="D40" s="124" t="s">
        <v>174</v>
      </c>
      <c r="E40" s="192">
        <v>85</v>
      </c>
      <c r="F40" s="125">
        <f>ROUND(E40*Valores!$C$2,2)</f>
        <v>5008.23</v>
      </c>
      <c r="G40" s="192">
        <v>3498</v>
      </c>
      <c r="H40" s="125">
        <f>ROUND(G40*Valores!$C$2,2)</f>
        <v>206103.21</v>
      </c>
      <c r="I40" s="192">
        <v>1209</v>
      </c>
      <c r="J40" s="125">
        <f>ROUND(I40*Valores!$C$2,2)</f>
        <v>71234.64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85464.26</v>
      </c>
      <c r="N40" s="125">
        <f t="shared" si="0"/>
        <v>0</v>
      </c>
      <c r="O40" s="125">
        <f>Valores!$C$12</f>
        <v>133664.69</v>
      </c>
      <c r="P40" s="125">
        <f>Valores!$D$5</f>
        <v>30120.06</v>
      </c>
      <c r="Q40" s="125">
        <v>0</v>
      </c>
      <c r="R40" s="125">
        <f>IF($F$4="NO",Valores!$C$47,Valores!$C$47/2)</f>
        <v>31485.59</v>
      </c>
      <c r="S40" s="125">
        <f>Valores!$C$19</f>
        <v>28025.371999999996</v>
      </c>
      <c r="T40" s="125">
        <f t="shared" si="7"/>
        <v>28025.37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Valores!$C$97</f>
        <v>82485.58</v>
      </c>
      <c r="AA40" s="125">
        <f>Valores!$C$25</f>
        <v>1231.85</v>
      </c>
      <c r="AB40" s="214">
        <v>0</v>
      </c>
      <c r="AC40" s="125">
        <f t="shared" si="1"/>
        <v>0</v>
      </c>
      <c r="AD40" s="125">
        <f>Valores!$C$26</f>
        <v>1231.85</v>
      </c>
      <c r="AE40" s="192">
        <v>0</v>
      </c>
      <c r="AF40" s="125">
        <f>ROUND(AE40*Valores!$C$2,2)</f>
        <v>0</v>
      </c>
      <c r="AG40" s="125">
        <f>SUM(F40,H40,J40,L40,M40,N40,O40,P40,Q40,R40,T40,U40,V40,X40,Y40,Z40,AA40,AC40,AD40,AF40,AH40)*Valores!$C$69</f>
        <v>89027.87423999999</v>
      </c>
      <c r="AH40" s="125">
        <f>ROUND(IF($F$4="NO",Valores!$C$63,Valores!$C$63/2),2)</f>
        <v>14083.23</v>
      </c>
      <c r="AI40" s="125">
        <f t="shared" si="2"/>
        <v>779166.43424</v>
      </c>
      <c r="AJ40" s="125">
        <f>Valores!$C$31</f>
        <v>0</v>
      </c>
      <c r="AK40" s="125">
        <f>Valores!$C$90</f>
        <v>0</v>
      </c>
      <c r="AL40" s="125">
        <f>Valores!C$38*B40</f>
        <v>0</v>
      </c>
      <c r="AM40" s="125">
        <f>IF($F$3="NO",0,Valores!$C$55)</f>
        <v>0</v>
      </c>
      <c r="AN40" s="125">
        <f t="shared" si="3"/>
        <v>0</v>
      </c>
      <c r="AO40" s="125">
        <f>AI40*Valores!$C$71</f>
        <v>-85708.3077664</v>
      </c>
      <c r="AP40" s="125">
        <f>AI40*Valores!$C$72</f>
        <v>-15583.328684799999</v>
      </c>
      <c r="AQ40" s="125">
        <f>AI40*-Valores!$C$73</f>
        <v>0</v>
      </c>
      <c r="AR40" s="125">
        <f>AI40*Valores!$C$74</f>
        <v>-42854.1538832</v>
      </c>
      <c r="AS40" s="125">
        <f>Valores!$C$101</f>
        <v>-1270</v>
      </c>
      <c r="AT40" s="125">
        <f>IF($F$5=0,Valores!$C$102,(Valores!$C$102+$F$5*(Valores!$C$102)))</f>
        <v>-3700</v>
      </c>
      <c r="AU40" s="125">
        <f t="shared" si="6"/>
        <v>630050.6439056</v>
      </c>
      <c r="AV40" s="125">
        <f t="shared" si="4"/>
        <v>-85708.3077664</v>
      </c>
      <c r="AW40" s="125">
        <f t="shared" si="10"/>
        <v>-15583.328684799999</v>
      </c>
      <c r="AX40" s="125">
        <f>AI40*Valores!$C$75</f>
        <v>-21037.49372448</v>
      </c>
      <c r="AY40" s="125">
        <f>AI40*Valores!$C$76</f>
        <v>-2337.49930272</v>
      </c>
      <c r="AZ40" s="125">
        <f t="shared" si="5"/>
        <v>654499.8047616</v>
      </c>
      <c r="BA40" s="125">
        <f>AI40*Valores!$C$78</f>
        <v>124666.62947839999</v>
      </c>
      <c r="BB40" s="125">
        <f>AI40*Valores!$C$79</f>
        <v>54541.6503968</v>
      </c>
      <c r="BC40" s="125">
        <f>AI40*Valores!$C$80</f>
        <v>7791.664342399999</v>
      </c>
      <c r="BD40" s="125">
        <f>AI40*Valores!$C$82</f>
        <v>27270.8251984</v>
      </c>
      <c r="BE40" s="125">
        <f>AI40*Valores!$C$84</f>
        <v>42074.98744896</v>
      </c>
      <c r="BF40" s="125">
        <f>AI40*Valores!$C$83</f>
        <v>4674.99860544</v>
      </c>
      <c r="BG40" s="126"/>
      <c r="BH40" s="126">
        <v>45</v>
      </c>
      <c r="BI40" s="123" t="s">
        <v>8</v>
      </c>
    </row>
    <row r="41" spans="1:61" s="110" customFormat="1" ht="11.25" customHeight="1">
      <c r="A41" s="123" t="s">
        <v>175</v>
      </c>
      <c r="B41" s="123">
        <v>1</v>
      </c>
      <c r="C41" s="126">
        <v>34</v>
      </c>
      <c r="D41" s="124" t="s">
        <v>176</v>
      </c>
      <c r="E41" s="192">
        <v>101</v>
      </c>
      <c r="F41" s="125">
        <f>ROUND(E41*Valores!$C$2,2)</f>
        <v>5950.95</v>
      </c>
      <c r="G41" s="192">
        <v>2548</v>
      </c>
      <c r="H41" s="125">
        <f>ROUND(G41*Valores!$C$2,2)</f>
        <v>150128.92</v>
      </c>
      <c r="I41" s="192">
        <v>216</v>
      </c>
      <c r="J41" s="125">
        <f>ROUND(I41*Valores!$C$2,2)</f>
        <v>12726.78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55617.25</v>
      </c>
      <c r="N41" s="125">
        <f t="shared" si="0"/>
        <v>0</v>
      </c>
      <c r="O41" s="125">
        <f>Valores!$C$9</f>
        <v>74035.73</v>
      </c>
      <c r="P41" s="125">
        <f>Valores!$D$5</f>
        <v>30120.06</v>
      </c>
      <c r="Q41" s="125">
        <v>0</v>
      </c>
      <c r="R41" s="125">
        <f>IF($F$4="NO",Valores!$C$46,Valores!$C$46/2)</f>
        <v>25636.983348</v>
      </c>
      <c r="S41" s="125">
        <f>Valores!$C$19</f>
        <v>28025.371999999996</v>
      </c>
      <c r="T41" s="125">
        <f t="shared" si="7"/>
        <v>28025.37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Valores!$C$95</f>
        <v>41242.8</v>
      </c>
      <c r="AA41" s="125">
        <f>Valores!$C$25</f>
        <v>1231.85</v>
      </c>
      <c r="AB41" s="214">
        <v>0</v>
      </c>
      <c r="AC41" s="125">
        <f t="shared" si="1"/>
        <v>0</v>
      </c>
      <c r="AD41" s="125">
        <f>Valores!$C$26</f>
        <v>1231.85</v>
      </c>
      <c r="AE41" s="192">
        <v>0</v>
      </c>
      <c r="AF41" s="125">
        <f>ROUND(AE41*Valores!$C$2,2)</f>
        <v>0</v>
      </c>
      <c r="AG41" s="125">
        <f>SUM(F41,H41,J41,L41,M41,N41,O41,P41,Q41,R41,T41,U41,V41,X41,Y41,Z41,AA41,AC41,AD41,AF41,AH41)*Valores!$C$69</f>
        <v>56764.09876189199</v>
      </c>
      <c r="AH41" s="125">
        <f>ROUND(IF($F$4="NO",Valores!$C$63,Valores!$C$63/2),2)</f>
        <v>14083.23</v>
      </c>
      <c r="AI41" s="125">
        <f t="shared" si="2"/>
        <v>496795.8721098919</v>
      </c>
      <c r="AJ41" s="125">
        <f>Valores!$C$31</f>
        <v>0</v>
      </c>
      <c r="AK41" s="125">
        <f>Valores!$C$88</f>
        <v>0</v>
      </c>
      <c r="AL41" s="125">
        <f>Valores!C$38*B41</f>
        <v>0</v>
      </c>
      <c r="AM41" s="125">
        <f>IF($F$3="NO",0,Valores!$C$55)</f>
        <v>0</v>
      </c>
      <c r="AN41" s="125">
        <f t="shared" si="3"/>
        <v>0</v>
      </c>
      <c r="AO41" s="125">
        <f>AI41*Valores!$C$71</f>
        <v>-54647.54593208811</v>
      </c>
      <c r="AP41" s="125">
        <f>AI41*Valores!$C$72</f>
        <v>-9935.917442197839</v>
      </c>
      <c r="AQ41" s="125">
        <f>AI41*-Valores!$C$73</f>
        <v>0</v>
      </c>
      <c r="AR41" s="125">
        <f>AI41*Valores!$C$74</f>
        <v>-27323.772966044056</v>
      </c>
      <c r="AS41" s="125">
        <f>Valores!$C$101</f>
        <v>-1270</v>
      </c>
      <c r="AT41" s="125">
        <f>IF($F$5=0,Valores!$C$102,(Valores!$C$102+$F$5*(Valores!$C$102)))</f>
        <v>-3700</v>
      </c>
      <c r="AU41" s="125">
        <f t="shared" si="6"/>
        <v>399918.63576956186</v>
      </c>
      <c r="AV41" s="125">
        <f t="shared" si="4"/>
        <v>-54647.54593208811</v>
      </c>
      <c r="AW41" s="125">
        <f t="shared" si="10"/>
        <v>-9935.917442197839</v>
      </c>
      <c r="AX41" s="125">
        <f>AI41*Valores!$C$75</f>
        <v>-13413.48854696708</v>
      </c>
      <c r="AY41" s="125">
        <f>AI41*Valores!$C$76</f>
        <v>-1490.3876163296757</v>
      </c>
      <c r="AZ41" s="125">
        <f t="shared" si="5"/>
        <v>417308.5325723092</v>
      </c>
      <c r="BA41" s="125">
        <f>AI41*Valores!$C$78</f>
        <v>79487.33953758271</v>
      </c>
      <c r="BB41" s="125">
        <f>AI41*Valores!$C$79</f>
        <v>34775.711047692435</v>
      </c>
      <c r="BC41" s="125">
        <f>AI41*Valores!$C$80</f>
        <v>4967.958721098919</v>
      </c>
      <c r="BD41" s="125">
        <f>AI41*Valores!$C$82</f>
        <v>17387.855523846218</v>
      </c>
      <c r="BE41" s="125">
        <f>AI41*Valores!$C$84</f>
        <v>26826.97709393416</v>
      </c>
      <c r="BF41" s="125">
        <f>AI41*Valores!$C$83</f>
        <v>2980.7752326593513</v>
      </c>
      <c r="BG41" s="126"/>
      <c r="BH41" s="126">
        <v>45</v>
      </c>
      <c r="BI41" s="123" t="s">
        <v>8</v>
      </c>
    </row>
    <row r="42" spans="1:61" s="110" customFormat="1" ht="11.25" customHeight="1">
      <c r="A42" s="123" t="s">
        <v>177</v>
      </c>
      <c r="B42" s="123">
        <v>1</v>
      </c>
      <c r="C42" s="126">
        <v>35</v>
      </c>
      <c r="D42" s="124" t="s">
        <v>176</v>
      </c>
      <c r="E42" s="192">
        <v>101</v>
      </c>
      <c r="F42" s="125">
        <f>ROUND(E42*Valores!$C$2,2)</f>
        <v>5950.95</v>
      </c>
      <c r="G42" s="192">
        <v>2548</v>
      </c>
      <c r="H42" s="125">
        <f>ROUND(G42*Valores!$C$2,2)</f>
        <v>150128.92</v>
      </c>
      <c r="I42" s="192">
        <v>216</v>
      </c>
      <c r="J42" s="125">
        <f>ROUND(I42*Valores!$C$2,2)</f>
        <v>12726.78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55617.25</v>
      </c>
      <c r="N42" s="125">
        <f t="shared" si="0"/>
        <v>0</v>
      </c>
      <c r="O42" s="125">
        <f>Valores!$C$9</f>
        <v>74035.73</v>
      </c>
      <c r="P42" s="125">
        <f>Valores!$D$5</f>
        <v>30120.06</v>
      </c>
      <c r="Q42" s="125">
        <v>0</v>
      </c>
      <c r="R42" s="125">
        <f>IF($F$4="NO",Valores!$C$46,Valores!$C$46/2)</f>
        <v>25636.983348</v>
      </c>
      <c r="S42" s="125">
        <f>Valores!$C$19</f>
        <v>28025.371999999996</v>
      </c>
      <c r="T42" s="125">
        <f t="shared" si="7"/>
        <v>28025.37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Valores!$C$95</f>
        <v>41242.8</v>
      </c>
      <c r="AA42" s="125">
        <f>Valores!$C$25</f>
        <v>1231.85</v>
      </c>
      <c r="AB42" s="214">
        <v>0</v>
      </c>
      <c r="AC42" s="125">
        <f t="shared" si="1"/>
        <v>0</v>
      </c>
      <c r="AD42" s="125">
        <f>Valores!$C$26</f>
        <v>1231.85</v>
      </c>
      <c r="AE42" s="192">
        <v>0</v>
      </c>
      <c r="AF42" s="125">
        <f>ROUND(AE42*Valores!$C$2,2)</f>
        <v>0</v>
      </c>
      <c r="AG42" s="125">
        <f>SUM(F42,H42,J42,L42,M42,N42,O42,P42,Q42,R42,T42,U42,V42,X42,Y42,Z42,AA42,AC42,AD42,AF42,AH42)*Valores!$C$69</f>
        <v>56764.09876189199</v>
      </c>
      <c r="AH42" s="125">
        <f>ROUND(IF($F$4="NO",Valores!$C$63,Valores!$C$63/2),2)</f>
        <v>14083.23</v>
      </c>
      <c r="AI42" s="125">
        <f t="shared" si="2"/>
        <v>496795.8721098919</v>
      </c>
      <c r="AJ42" s="125">
        <f>Valores!$C$31</f>
        <v>0</v>
      </c>
      <c r="AK42" s="125">
        <f>Valores!$C$88</f>
        <v>0</v>
      </c>
      <c r="AL42" s="125">
        <f>Valores!C$38*B42</f>
        <v>0</v>
      </c>
      <c r="AM42" s="125">
        <f>IF($F$3="NO",0,Valores!$C$55)</f>
        <v>0</v>
      </c>
      <c r="AN42" s="125">
        <f t="shared" si="3"/>
        <v>0</v>
      </c>
      <c r="AO42" s="125">
        <f>AI42*Valores!$C$71</f>
        <v>-54647.54593208811</v>
      </c>
      <c r="AP42" s="125">
        <f>AI42*Valores!$C$72</f>
        <v>-9935.917442197839</v>
      </c>
      <c r="AQ42" s="125">
        <f>AI42*-Valores!$C$73</f>
        <v>0</v>
      </c>
      <c r="AR42" s="125">
        <f>AI42*Valores!$C$74</f>
        <v>-27323.772966044056</v>
      </c>
      <c r="AS42" s="125">
        <f>Valores!$C$101</f>
        <v>-1270</v>
      </c>
      <c r="AT42" s="125">
        <f>IF($F$5=0,Valores!$C$102,(Valores!$C$102+$F$5*(Valores!$C$102)))</f>
        <v>-3700</v>
      </c>
      <c r="AU42" s="125">
        <f t="shared" si="6"/>
        <v>399918.63576956186</v>
      </c>
      <c r="AV42" s="125">
        <f t="shared" si="4"/>
        <v>-54647.54593208811</v>
      </c>
      <c r="AW42" s="125">
        <f t="shared" si="10"/>
        <v>-9935.917442197839</v>
      </c>
      <c r="AX42" s="125">
        <f>AI42*Valores!$C$75</f>
        <v>-13413.48854696708</v>
      </c>
      <c r="AY42" s="125">
        <f>AI42*Valores!$C$76</f>
        <v>-1490.3876163296757</v>
      </c>
      <c r="AZ42" s="125">
        <f t="shared" si="5"/>
        <v>417308.5325723092</v>
      </c>
      <c r="BA42" s="125">
        <f>AI42*Valores!$C$78</f>
        <v>79487.33953758271</v>
      </c>
      <c r="BB42" s="125">
        <f>AI42*Valores!$C$79</f>
        <v>34775.711047692435</v>
      </c>
      <c r="BC42" s="125">
        <f>AI42*Valores!$C$80</f>
        <v>4967.958721098919</v>
      </c>
      <c r="BD42" s="125">
        <f>AI42*Valores!$C$82</f>
        <v>17387.855523846218</v>
      </c>
      <c r="BE42" s="125">
        <f>AI42*Valores!$C$84</f>
        <v>26826.97709393416</v>
      </c>
      <c r="BF42" s="125">
        <f>AI42*Valores!$C$83</f>
        <v>2980.7752326593513</v>
      </c>
      <c r="BG42" s="126"/>
      <c r="BH42" s="126">
        <v>45</v>
      </c>
      <c r="BI42" s="123" t="s">
        <v>8</v>
      </c>
    </row>
    <row r="43" spans="1:61" s="110" customFormat="1" ht="11.25" customHeight="1">
      <c r="A43" s="123" t="s">
        <v>178</v>
      </c>
      <c r="B43" s="123">
        <v>1</v>
      </c>
      <c r="C43" s="126">
        <v>36</v>
      </c>
      <c r="D43" s="124" t="s">
        <v>179</v>
      </c>
      <c r="E43" s="192">
        <v>96</v>
      </c>
      <c r="F43" s="125">
        <f>ROUND(E43*Valores!$C$2,2)</f>
        <v>5656.35</v>
      </c>
      <c r="G43" s="192">
        <v>2475</v>
      </c>
      <c r="H43" s="125">
        <f>ROUND(G43*Valores!$C$2,2)</f>
        <v>145827.74</v>
      </c>
      <c r="I43" s="192">
        <v>213</v>
      </c>
      <c r="J43" s="125">
        <f>ROUND(I43*Valores!$C$2,2)</f>
        <v>12550.02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53245.56</v>
      </c>
      <c r="N43" s="125">
        <f t="shared" si="0"/>
        <v>0</v>
      </c>
      <c r="O43" s="125">
        <f>Valores!$C$9</f>
        <v>74035.73</v>
      </c>
      <c r="P43" s="125">
        <f>Valores!$D$5</f>
        <v>30120.06</v>
      </c>
      <c r="Q43" s="125">
        <v>0</v>
      </c>
      <c r="R43" s="125">
        <f>IF($F$4="NO",Valores!$C$44,Valores!$C$44/2)</f>
        <v>20922.76</v>
      </c>
      <c r="S43" s="125">
        <f>Valores!$C$19</f>
        <v>28025.371999999996</v>
      </c>
      <c r="T43" s="125">
        <f t="shared" si="7"/>
        <v>28025.37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Valores!$C$95</f>
        <v>41242.8</v>
      </c>
      <c r="AA43" s="125">
        <f>Valores!$C$25</f>
        <v>1231.85</v>
      </c>
      <c r="AB43" s="214">
        <v>0</v>
      </c>
      <c r="AC43" s="125">
        <f t="shared" si="1"/>
        <v>0</v>
      </c>
      <c r="AD43" s="125">
        <f>Valores!$C$26</f>
        <v>1231.85</v>
      </c>
      <c r="AE43" s="192">
        <v>0</v>
      </c>
      <c r="AF43" s="125">
        <f>ROUND(AE43*Valores!$C$2,2)</f>
        <v>0</v>
      </c>
      <c r="AG43" s="125">
        <f>SUM(F43,H43,J43,L43,M43,N43,O43,P43,Q43,R43,T43,U43,V43,X43,Y43,Z43,AA43,AC43,AD43,AF43,AH43)*Valores!$C$69</f>
        <v>55234.358279999986</v>
      </c>
      <c r="AH43" s="125">
        <f>ROUND(IF($F$4="NO",Valores!$C$63,Valores!$C$63/2),2)</f>
        <v>14083.23</v>
      </c>
      <c r="AI43" s="125">
        <f t="shared" si="2"/>
        <v>483407.6782799999</v>
      </c>
      <c r="AJ43" s="125">
        <f>Valores!$C$31</f>
        <v>0</v>
      </c>
      <c r="AK43" s="125">
        <f>Valores!$C$88</f>
        <v>0</v>
      </c>
      <c r="AL43" s="125">
        <f>Valores!C$38*B43</f>
        <v>0</v>
      </c>
      <c r="AM43" s="125">
        <f>IF($F$3="NO",0,Valores!$C$56)</f>
        <v>0</v>
      </c>
      <c r="AN43" s="125">
        <f t="shared" si="3"/>
        <v>0</v>
      </c>
      <c r="AO43" s="125">
        <f>AI43*Valores!$C$71</f>
        <v>-53174.844610799984</v>
      </c>
      <c r="AP43" s="125">
        <f>AI43*Valores!$C$72</f>
        <v>-9668.153565599998</v>
      </c>
      <c r="AQ43" s="125">
        <f>AI43*-Valores!$C$73</f>
        <v>0</v>
      </c>
      <c r="AR43" s="125">
        <f>AI43*Valores!$C$74</f>
        <v>-26587.422305399992</v>
      </c>
      <c r="AS43" s="125">
        <f>Valores!$C$101</f>
        <v>-1270</v>
      </c>
      <c r="AT43" s="125">
        <f>IF($F$5=0,Valores!$C$102,(Valores!$C$102+$F$5*(Valores!$C$102)))</f>
        <v>-3700</v>
      </c>
      <c r="AU43" s="125">
        <f t="shared" si="6"/>
        <v>389007.2577981999</v>
      </c>
      <c r="AV43" s="125">
        <f t="shared" si="4"/>
        <v>-53174.844610799984</v>
      </c>
      <c r="AW43" s="125">
        <f t="shared" si="10"/>
        <v>-9668.153565599998</v>
      </c>
      <c r="AX43" s="125">
        <f>AI43*Valores!$C$75</f>
        <v>-13052.007313559996</v>
      </c>
      <c r="AY43" s="125">
        <f>AI43*Valores!$C$76</f>
        <v>-1450.2230348399996</v>
      </c>
      <c r="AZ43" s="125">
        <f t="shared" si="5"/>
        <v>406062.4497551999</v>
      </c>
      <c r="BA43" s="125">
        <f>AI43*Valores!$C$78</f>
        <v>77345.22852479998</v>
      </c>
      <c r="BB43" s="125">
        <f>AI43*Valores!$C$79</f>
        <v>33838.537479599996</v>
      </c>
      <c r="BC43" s="125">
        <f>AI43*Valores!$C$80</f>
        <v>4834.076782799999</v>
      </c>
      <c r="BD43" s="125">
        <f>AI43*Valores!$C$82</f>
        <v>16919.268739799998</v>
      </c>
      <c r="BE43" s="125">
        <f>AI43*Valores!$C$84</f>
        <v>26104.014627119992</v>
      </c>
      <c r="BF43" s="125">
        <f>AI43*Valores!$C$83</f>
        <v>2900.4460696799993</v>
      </c>
      <c r="BG43" s="126"/>
      <c r="BH43" s="126">
        <v>45</v>
      </c>
      <c r="BI43" s="123" t="s">
        <v>4</v>
      </c>
    </row>
    <row r="44" spans="1:61" s="110" customFormat="1" ht="11.25" customHeight="1">
      <c r="A44" s="123" t="s">
        <v>180</v>
      </c>
      <c r="B44" s="123">
        <v>1</v>
      </c>
      <c r="C44" s="126">
        <v>37</v>
      </c>
      <c r="D44" s="124" t="s">
        <v>181</v>
      </c>
      <c r="E44" s="192">
        <v>72</v>
      </c>
      <c r="F44" s="125">
        <f>ROUND(E44*Valores!$C$2,2)</f>
        <v>4242.26</v>
      </c>
      <c r="G44" s="192">
        <v>2471</v>
      </c>
      <c r="H44" s="125">
        <f>ROUND(G44*Valores!$C$2,2)</f>
        <v>145592.06</v>
      </c>
      <c r="I44" s="192">
        <v>199</v>
      </c>
      <c r="J44" s="125">
        <f>ROUND(I44*Valores!$C$2,2)</f>
        <v>11725.14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52626.9</v>
      </c>
      <c r="N44" s="125">
        <f t="shared" si="0"/>
        <v>0</v>
      </c>
      <c r="O44" s="125">
        <f>Valores!$C$9</f>
        <v>74035.73</v>
      </c>
      <c r="P44" s="125">
        <f>Valores!$D$5</f>
        <v>30120.06</v>
      </c>
      <c r="Q44" s="125">
        <v>0</v>
      </c>
      <c r="R44" s="125">
        <f>IF($F$4="NO",Valores!$C$44,Valores!$C$44/2)</f>
        <v>20922.76</v>
      </c>
      <c r="S44" s="125">
        <f>Valores!$C$19</f>
        <v>28025.371999999996</v>
      </c>
      <c r="T44" s="125">
        <f t="shared" si="7"/>
        <v>28025.37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Valores!$C$95</f>
        <v>41242.8</v>
      </c>
      <c r="AA44" s="125">
        <f>Valores!$C$25</f>
        <v>1231.85</v>
      </c>
      <c r="AB44" s="214">
        <v>0</v>
      </c>
      <c r="AC44" s="125">
        <f t="shared" si="1"/>
        <v>0</v>
      </c>
      <c r="AD44" s="125">
        <f>Valores!$C$26</f>
        <v>1231.85</v>
      </c>
      <c r="AE44" s="192">
        <v>0</v>
      </c>
      <c r="AF44" s="125">
        <f>ROUND(AE44*Valores!$C$2,2)</f>
        <v>0</v>
      </c>
      <c r="AG44" s="125">
        <f>SUM(F44,H44,J44,L44,M44,N44,O44,P44,Q44,R44,T44,U44,V44,X44,Y44,Z44,AA44,AC44,AD44,AF44,AH44)*Valores!$C$69</f>
        <v>54835.32128999999</v>
      </c>
      <c r="AH44" s="125">
        <f>ROUND(IF($F$4="NO",Valores!$C$63,Valores!$C$63/2),2)</f>
        <v>14083.23</v>
      </c>
      <c r="AI44" s="125">
        <f t="shared" si="2"/>
        <v>479915.33128999994</v>
      </c>
      <c r="AJ44" s="125">
        <f>Valores!$C$31</f>
        <v>0</v>
      </c>
      <c r="AK44" s="125">
        <f>Valores!$C$88</f>
        <v>0</v>
      </c>
      <c r="AL44" s="125">
        <f>Valores!C$38*B44</f>
        <v>0</v>
      </c>
      <c r="AM44" s="125">
        <f>IF($F$3="NO",0,Valores!$C$56)</f>
        <v>0</v>
      </c>
      <c r="AN44" s="125">
        <f t="shared" si="3"/>
        <v>0</v>
      </c>
      <c r="AO44" s="125">
        <f>AI44*Valores!$C$71</f>
        <v>-52790.6864419</v>
      </c>
      <c r="AP44" s="125">
        <f>AI44*Valores!$C$72</f>
        <v>-9598.3066258</v>
      </c>
      <c r="AQ44" s="125">
        <f>AI44*-Valores!$C$73</f>
        <v>0</v>
      </c>
      <c r="AR44" s="125">
        <f>AI44*Valores!$C$74</f>
        <v>-26395.34322095</v>
      </c>
      <c r="AS44" s="125">
        <f>Valores!$C$101</f>
        <v>-1270</v>
      </c>
      <c r="AT44" s="125">
        <f>IF($F$5=0,Valores!$C$102,(Valores!$C$102+$F$5*(Valores!$C$102)))</f>
        <v>-3700</v>
      </c>
      <c r="AU44" s="125">
        <f t="shared" si="6"/>
        <v>386160.99500134995</v>
      </c>
      <c r="AV44" s="125">
        <f t="shared" si="4"/>
        <v>-52790.6864419</v>
      </c>
      <c r="AW44" s="125">
        <f t="shared" si="10"/>
        <v>-9598.3066258</v>
      </c>
      <c r="AX44" s="125">
        <f>AI44*Valores!$C$75</f>
        <v>-12957.713944829999</v>
      </c>
      <c r="AY44" s="125">
        <f>AI44*Valores!$C$76</f>
        <v>-1439.74599387</v>
      </c>
      <c r="AZ44" s="125">
        <f t="shared" si="5"/>
        <v>403128.8782836</v>
      </c>
      <c r="BA44" s="125">
        <f>AI44*Valores!$C$78</f>
        <v>76786.4530064</v>
      </c>
      <c r="BB44" s="125">
        <f>AI44*Valores!$C$79</f>
        <v>33594.0731903</v>
      </c>
      <c r="BC44" s="125">
        <f>AI44*Valores!$C$80</f>
        <v>4799.1533129</v>
      </c>
      <c r="BD44" s="125">
        <f>AI44*Valores!$C$82</f>
        <v>16797.03659515</v>
      </c>
      <c r="BE44" s="125">
        <f>AI44*Valores!$C$84</f>
        <v>25915.427889659997</v>
      </c>
      <c r="BF44" s="125">
        <f>AI44*Valores!$C$83</f>
        <v>2879.49198774</v>
      </c>
      <c r="BG44" s="126"/>
      <c r="BH44" s="126">
        <v>45</v>
      </c>
      <c r="BI44" s="123" t="s">
        <v>4</v>
      </c>
    </row>
    <row r="45" spans="1:61" s="110" customFormat="1" ht="11.25" customHeight="1">
      <c r="A45" s="123" t="s">
        <v>182</v>
      </c>
      <c r="B45" s="123">
        <v>1</v>
      </c>
      <c r="C45" s="126">
        <v>38</v>
      </c>
      <c r="D45" s="124" t="s">
        <v>183</v>
      </c>
      <c r="E45" s="192">
        <f>E39</f>
        <v>85</v>
      </c>
      <c r="F45" s="125">
        <f>ROUND(E45*Valores!$C$2,2)</f>
        <v>5008.23</v>
      </c>
      <c r="G45" s="192">
        <f>G39</f>
        <v>3498</v>
      </c>
      <c r="H45" s="125">
        <f>ROUND(G45*Valores!$C$2,2)</f>
        <v>206103.21</v>
      </c>
      <c r="I45" s="192">
        <f>I39</f>
        <v>1209</v>
      </c>
      <c r="J45" s="125">
        <f>ROUND(I45*Valores!$C$2,2)</f>
        <v>71234.64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84002.11</v>
      </c>
      <c r="N45" s="125">
        <f t="shared" si="0"/>
        <v>0</v>
      </c>
      <c r="O45" s="125">
        <f>O39</f>
        <v>133664.69</v>
      </c>
      <c r="P45" s="125">
        <f>Valores!$D$5</f>
        <v>30120.06</v>
      </c>
      <c r="Q45" s="125">
        <v>0</v>
      </c>
      <c r="R45" s="125">
        <f>IF($F$4="NO",Valores!$C$46,Valores!$C$46/2)</f>
        <v>25636.983348</v>
      </c>
      <c r="S45" s="125">
        <f>S39</f>
        <v>28025.371999999996</v>
      </c>
      <c r="T45" s="125">
        <f t="shared" si="7"/>
        <v>28025.37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82485.58</v>
      </c>
      <c r="AA45" s="125">
        <f>Valores!$C$25</f>
        <v>1231.85</v>
      </c>
      <c r="AB45" s="214">
        <v>0</v>
      </c>
      <c r="AC45" s="125">
        <f t="shared" si="1"/>
        <v>0</v>
      </c>
      <c r="AD45" s="125">
        <f>Valores!$C$26</f>
        <v>1231.85</v>
      </c>
      <c r="AE45" s="192">
        <v>0</v>
      </c>
      <c r="AF45" s="125">
        <f>ROUND(AE45*Valores!$C$2,2)</f>
        <v>0</v>
      </c>
      <c r="AG45" s="125">
        <f>SUM(F45,H45,J45,L45,M45,N45,O45,P45,Q45,R45,T45,U45,V45,X45,Y45,Z45,AA45,AC45,AD45,AF45,AH45)*Valores!$C$69</f>
        <v>88084.786631892</v>
      </c>
      <c r="AH45" s="125">
        <f>ROUND(IF($F$4="NO",Valores!$C$63,Valores!$C$63/2),2)</f>
        <v>14083.23</v>
      </c>
      <c r="AI45" s="125">
        <f t="shared" si="2"/>
        <v>770912.5899798919</v>
      </c>
      <c r="AJ45" s="125">
        <f>Valores!$C$31</f>
        <v>0</v>
      </c>
      <c r="AK45" s="125">
        <f>AK39</f>
        <v>0</v>
      </c>
      <c r="AL45" s="125">
        <f>Valores!C$38*B45</f>
        <v>0</v>
      </c>
      <c r="AM45" s="125">
        <f>IF($F$3="NO",0,Valores!$C$55)</f>
        <v>0</v>
      </c>
      <c r="AN45" s="125">
        <f t="shared" si="3"/>
        <v>0</v>
      </c>
      <c r="AO45" s="125">
        <f>AI45*Valores!$C$71</f>
        <v>-84800.38489778811</v>
      </c>
      <c r="AP45" s="125">
        <f>AI45*Valores!$C$72</f>
        <v>-15418.251799597838</v>
      </c>
      <c r="AQ45" s="125">
        <f>AI45*-Valores!$C$73</f>
        <v>0</v>
      </c>
      <c r="AR45" s="125">
        <f>AI45*Valores!$C$74</f>
        <v>-42400.19244889406</v>
      </c>
      <c r="AS45" s="125">
        <f>Valores!$C$101</f>
        <v>-1270</v>
      </c>
      <c r="AT45" s="125">
        <f>IF($F$5=0,Valores!$C$102,(Valores!$C$102+$F$5*(Valores!$C$102)))</f>
        <v>-3700</v>
      </c>
      <c r="AU45" s="125">
        <f t="shared" si="6"/>
        <v>623323.760833612</v>
      </c>
      <c r="AV45" s="125">
        <f t="shared" si="4"/>
        <v>-84800.38489778811</v>
      </c>
      <c r="AW45" s="125">
        <f t="shared" si="10"/>
        <v>-15418.251799597838</v>
      </c>
      <c r="AX45" s="125">
        <f>AI45*Valores!$C$75</f>
        <v>-20814.63992945708</v>
      </c>
      <c r="AY45" s="125">
        <f>AI45*Valores!$C$76</f>
        <v>-2312.7377699396757</v>
      </c>
      <c r="AZ45" s="125">
        <f t="shared" si="5"/>
        <v>647566.5755831092</v>
      </c>
      <c r="BA45" s="125">
        <f>AI45*Valores!$C$78</f>
        <v>123346.0143967827</v>
      </c>
      <c r="BB45" s="125">
        <f>AI45*Valores!$C$79</f>
        <v>53963.88129859244</v>
      </c>
      <c r="BC45" s="125">
        <f>AI45*Valores!$C$80</f>
        <v>7709.125899798919</v>
      </c>
      <c r="BD45" s="125">
        <f>AI45*Valores!$C$82</f>
        <v>26981.94064929622</v>
      </c>
      <c r="BE45" s="125">
        <f>AI45*Valores!$C$84</f>
        <v>41629.27985891416</v>
      </c>
      <c r="BF45" s="125">
        <f>AI45*Valores!$C$83</f>
        <v>4625.475539879351</v>
      </c>
      <c r="BG45" s="126"/>
      <c r="BH45" s="126">
        <v>45</v>
      </c>
      <c r="BI45" s="123" t="s">
        <v>8</v>
      </c>
    </row>
    <row r="46" spans="1:61" s="110" customFormat="1" ht="11.25" customHeight="1">
      <c r="A46" s="123" t="s">
        <v>184</v>
      </c>
      <c r="B46" s="123">
        <v>1</v>
      </c>
      <c r="C46" s="126">
        <v>39</v>
      </c>
      <c r="D46" s="124" t="s">
        <v>185</v>
      </c>
      <c r="E46" s="192">
        <f>E88+E304</f>
        <v>518</v>
      </c>
      <c r="F46" s="125">
        <f>ROUND(E46*Valores!$C$2,2)</f>
        <v>30520.72</v>
      </c>
      <c r="G46" s="192">
        <f>G88+G304</f>
        <v>1997</v>
      </c>
      <c r="H46" s="125">
        <f>ROUND(G46*Valores!$C$2,2)</f>
        <v>117663.84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50598.74</v>
      </c>
      <c r="N46" s="125">
        <f t="shared" si="0"/>
        <v>0</v>
      </c>
      <c r="O46" s="125">
        <f>O88+O304</f>
        <v>85129.99</v>
      </c>
      <c r="P46" s="125">
        <f>Valores!$D$5</f>
        <v>30120.06</v>
      </c>
      <c r="Q46" s="125">
        <f>Q88+Q304</f>
        <v>26870.16</v>
      </c>
      <c r="R46" s="125">
        <f>R88+R304</f>
        <v>26185.01</v>
      </c>
      <c r="S46" s="125">
        <f>S88+S304</f>
        <v>28025.371999999996</v>
      </c>
      <c r="T46" s="125">
        <f t="shared" si="7"/>
        <v>28025.37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41242.8</v>
      </c>
      <c r="AA46" s="125">
        <f>Valores!$C$25</f>
        <v>1231.85</v>
      </c>
      <c r="AB46" s="214">
        <v>0</v>
      </c>
      <c r="AC46" s="125">
        <f t="shared" si="1"/>
        <v>0</v>
      </c>
      <c r="AD46" s="125">
        <f>Valores!$C$26</f>
        <v>1231.85</v>
      </c>
      <c r="AE46" s="192">
        <v>0</v>
      </c>
      <c r="AF46" s="125">
        <f>ROUND(AE46*Valores!$C$2,2)</f>
        <v>0</v>
      </c>
      <c r="AG46" s="125">
        <f>SUM(F46,H46,J46,L46,M46,N46,O46,P46,Q46,R46,T46,U46,V46,X46,Y46,Z46,AA46,AC46,AD46,AF46,AH46)*Valores!$C$69</f>
        <v>58424.56697999999</v>
      </c>
      <c r="AH46" s="125">
        <f>ROUND(IF($F$4="NO",Valores!$C$63,Valores!$C$63/2),2)</f>
        <v>14083.23</v>
      </c>
      <c r="AI46" s="125">
        <f t="shared" si="2"/>
        <v>511328.1869799999</v>
      </c>
      <c r="AJ46" s="125">
        <f>Valores!$C$31</f>
        <v>0</v>
      </c>
      <c r="AK46" s="125">
        <f>AK88+AK304</f>
        <v>0</v>
      </c>
      <c r="AL46" s="125">
        <f>Valores!C$38*B46</f>
        <v>0</v>
      </c>
      <c r="AM46" s="125">
        <f>IF($F$3="NO",0,Valores!$C$56)</f>
        <v>0</v>
      </c>
      <c r="AN46" s="125">
        <f t="shared" si="3"/>
        <v>0</v>
      </c>
      <c r="AO46" s="125">
        <f>AI46*Valores!$C$71</f>
        <v>-56246.100567799986</v>
      </c>
      <c r="AP46" s="125">
        <f>AI46*Valores!$C$72</f>
        <v>-10226.563739599998</v>
      </c>
      <c r="AQ46" s="125">
        <f>AI46*-Valores!$C$73</f>
        <v>0</v>
      </c>
      <c r="AR46" s="125">
        <f>AI46*Valores!$C$74</f>
        <v>-28123.050283899993</v>
      </c>
      <c r="AS46" s="125">
        <f>Valores!$C$101</f>
        <v>-1270</v>
      </c>
      <c r="AT46" s="125">
        <f>IF($F$5=0,Valores!$C$102,(Valores!$C$102+$F$5*(Valores!$C$102)))</f>
        <v>-3700</v>
      </c>
      <c r="AU46" s="125">
        <f t="shared" si="6"/>
        <v>411762.4723886999</v>
      </c>
      <c r="AV46" s="125">
        <f t="shared" si="4"/>
        <v>-56246.100567799986</v>
      </c>
      <c r="AW46" s="125">
        <f t="shared" si="10"/>
        <v>-10226.563739599998</v>
      </c>
      <c r="AX46" s="125">
        <f>AI46*Valores!$C$75</f>
        <v>-13805.861048459996</v>
      </c>
      <c r="AY46" s="125">
        <f>AI46*Valores!$C$76</f>
        <v>-1533.9845609399997</v>
      </c>
      <c r="AZ46" s="125">
        <f t="shared" si="5"/>
        <v>429515.6770631999</v>
      </c>
      <c r="BA46" s="125">
        <f>AI46*Valores!$C$78</f>
        <v>81812.50991679999</v>
      </c>
      <c r="BB46" s="125">
        <f>AI46*Valores!$C$79</f>
        <v>35792.973088599996</v>
      </c>
      <c r="BC46" s="125">
        <f>AI46*Valores!$C$80</f>
        <v>5113.281869799999</v>
      </c>
      <c r="BD46" s="125">
        <f>AI46*Valores!$C$82</f>
        <v>17896.486544299998</v>
      </c>
      <c r="BE46" s="125">
        <f>AI46*Valores!$C$84</f>
        <v>27611.72209691999</v>
      </c>
      <c r="BF46" s="125">
        <f>AI46*Valores!$C$83</f>
        <v>3067.9691218799994</v>
      </c>
      <c r="BG46" s="126"/>
      <c r="BH46" s="126"/>
      <c r="BI46" s="123" t="s">
        <v>8</v>
      </c>
    </row>
    <row r="47" spans="1:61" s="110" customFormat="1" ht="11.25" customHeight="1">
      <c r="A47" s="123" t="s">
        <v>186</v>
      </c>
      <c r="B47" s="123">
        <v>1</v>
      </c>
      <c r="C47" s="126">
        <v>40</v>
      </c>
      <c r="D47" s="124" t="s">
        <v>187</v>
      </c>
      <c r="E47" s="192">
        <f>E55+E237</f>
        <v>572</v>
      </c>
      <c r="F47" s="125">
        <f>ROUND(E47*Valores!$C$2,2)</f>
        <v>33702.41</v>
      </c>
      <c r="G47" s="192">
        <f>G55+G237</f>
        <v>2686</v>
      </c>
      <c r="H47" s="125">
        <f>ROUND(G47*Valores!$C$2,2)</f>
        <v>158259.93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63041.34</v>
      </c>
      <c r="N47" s="125">
        <f t="shared" si="0"/>
        <v>0</v>
      </c>
      <c r="O47" s="125">
        <f>O55+O237</f>
        <v>86023.91</v>
      </c>
      <c r="P47" s="125">
        <f>Valores!$D$5</f>
        <v>30120.06</v>
      </c>
      <c r="Q47" s="125">
        <f>Q55+Q237</f>
        <v>26870.16</v>
      </c>
      <c r="R47" s="125">
        <f>R55+R237</f>
        <v>28407.18</v>
      </c>
      <c r="S47" s="125">
        <f>S55+S237</f>
        <v>31795.831999999995</v>
      </c>
      <c r="T47" s="125">
        <f t="shared" si="7"/>
        <v>31795.83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61001.81</v>
      </c>
      <c r="AA47" s="125">
        <f>AA55+AA237</f>
        <v>1528.07</v>
      </c>
      <c r="AB47" s="214">
        <v>0</v>
      </c>
      <c r="AC47" s="125">
        <f t="shared" si="1"/>
        <v>0</v>
      </c>
      <c r="AD47" s="125">
        <f>Valores!$C$26</f>
        <v>1231.85</v>
      </c>
      <c r="AE47" s="192">
        <v>0</v>
      </c>
      <c r="AF47" s="125">
        <f>ROUND(AE47*Valores!$C$2,2)</f>
        <v>0</v>
      </c>
      <c r="AG47" s="125">
        <f>SUM(F47,H47,J47,L47,M47,N47,O47,P47,Q47,R47,T47,U47,V47,X47,Y47,Z47,AA47,AC47,AD47,AF47,AH47)*Valores!$C$69</f>
        <v>69879.18002999999</v>
      </c>
      <c r="AH47" s="125">
        <f>AH55+AH237</f>
        <v>19716.52</v>
      </c>
      <c r="AI47" s="125">
        <f t="shared" si="2"/>
        <v>611578.25003</v>
      </c>
      <c r="AJ47" s="125">
        <f>AJ55+AJ237</f>
        <v>0</v>
      </c>
      <c r="AK47" s="125">
        <f>AK55+AK237</f>
        <v>0</v>
      </c>
      <c r="AL47" s="125">
        <f>Valores!C$38*B47</f>
        <v>0</v>
      </c>
      <c r="AM47" s="125">
        <f>IF($F$3="NO",0,Valores!$C$56)</f>
        <v>0</v>
      </c>
      <c r="AN47" s="125">
        <f t="shared" si="3"/>
        <v>0</v>
      </c>
      <c r="AO47" s="125">
        <f>AI47*Valores!$C$71</f>
        <v>-67273.6075033</v>
      </c>
      <c r="AP47" s="125">
        <f>AI47*Valores!$C$72</f>
        <v>-12231.5650006</v>
      </c>
      <c r="AQ47" s="125">
        <f>AI47*-Valores!$C$73</f>
        <v>0</v>
      </c>
      <c r="AR47" s="125">
        <f>AI47*Valores!$C$74</f>
        <v>-33636.80375165</v>
      </c>
      <c r="AS47" s="125">
        <f>Valores!$C$101</f>
        <v>-1270</v>
      </c>
      <c r="AT47" s="125">
        <f>IF($F$5=0,Valores!$C$102,(Valores!$C$102+$F$5*(Valores!$C$102)))</f>
        <v>-3700</v>
      </c>
      <c r="AU47" s="125">
        <f t="shared" si="6"/>
        <v>493466.27377445</v>
      </c>
      <c r="AV47" s="125">
        <f t="shared" si="4"/>
        <v>-67273.6075033</v>
      </c>
      <c r="AW47" s="125">
        <f t="shared" si="10"/>
        <v>-12231.5650006</v>
      </c>
      <c r="AX47" s="125">
        <f>AI47*Valores!$C$75</f>
        <v>-16512.61275081</v>
      </c>
      <c r="AY47" s="125">
        <f>AI47*Valores!$C$76</f>
        <v>-1834.73475009</v>
      </c>
      <c r="AZ47" s="125">
        <f t="shared" si="5"/>
        <v>513725.7300252</v>
      </c>
      <c r="BA47" s="125">
        <f>AI47*Valores!$C$78</f>
        <v>97852.5200048</v>
      </c>
      <c r="BB47" s="125">
        <f>AI47*Valores!$C$79</f>
        <v>42810.4775021</v>
      </c>
      <c r="BC47" s="125">
        <f>AI47*Valores!$C$80</f>
        <v>6115.7825003</v>
      </c>
      <c r="BD47" s="125">
        <f>AI47*Valores!$C$82</f>
        <v>21405.23875105</v>
      </c>
      <c r="BE47" s="125">
        <f>AI47*Valores!$C$84</f>
        <v>33025.22550162</v>
      </c>
      <c r="BF47" s="125">
        <f>AI47*Valores!$C$83</f>
        <v>3669.46950018</v>
      </c>
      <c r="BG47" s="126"/>
      <c r="BH47" s="126"/>
      <c r="BI47" s="123" t="s">
        <v>8</v>
      </c>
    </row>
    <row r="48" spans="1:61" s="110" customFormat="1" ht="11.25" customHeight="1">
      <c r="A48" s="123" t="s">
        <v>188</v>
      </c>
      <c r="B48" s="123">
        <v>1</v>
      </c>
      <c r="C48" s="126">
        <v>41</v>
      </c>
      <c r="D48" s="124" t="s">
        <v>189</v>
      </c>
      <c r="E48" s="192">
        <v>108</v>
      </c>
      <c r="F48" s="125">
        <f>ROUND(E48*Valores!$C$2,2)</f>
        <v>6363.39</v>
      </c>
      <c r="G48" s="192">
        <v>2907</v>
      </c>
      <c r="H48" s="125">
        <f>ROUND(G48*Valores!$C$2,2)</f>
        <v>171281.31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56940.64</v>
      </c>
      <c r="N48" s="125">
        <f t="shared" si="0"/>
        <v>0</v>
      </c>
      <c r="O48" s="125">
        <f>Valores!$C$9</f>
        <v>74035.73</v>
      </c>
      <c r="P48" s="125">
        <f>Valores!$D$5</f>
        <v>30120.06</v>
      </c>
      <c r="Q48" s="125">
        <f>Valores!$C$22</f>
        <v>26870.16</v>
      </c>
      <c r="R48" s="125">
        <f>IF($F$4="NO",Valores!$C$45,Valores!$C$45/2)</f>
        <v>22092.48</v>
      </c>
      <c r="S48" s="125">
        <f>Valores!$C$19</f>
        <v>28025.371999999996</v>
      </c>
      <c r="T48" s="125">
        <f t="shared" si="7"/>
        <v>28025.37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Valores!$C$96</f>
        <v>49491.35</v>
      </c>
      <c r="AA48" s="125">
        <f>Valores!$C$25</f>
        <v>1231.85</v>
      </c>
      <c r="AB48" s="214">
        <v>0</v>
      </c>
      <c r="AC48" s="125">
        <f t="shared" si="1"/>
        <v>0</v>
      </c>
      <c r="AD48" s="125">
        <f>Valores!$C$26</f>
        <v>1231.85</v>
      </c>
      <c r="AE48" s="192">
        <v>0</v>
      </c>
      <c r="AF48" s="125">
        <f>ROUND(AE48*Valores!$C$2,2)</f>
        <v>0</v>
      </c>
      <c r="AG48" s="125">
        <f>SUM(F48,H48,J48,L48,M48,N48,O48,P48,Q48,R48,T48,U48,V48,X48,Y48,Z48,AA48,AC48,AD48,AF48,AH48)*Valores!$C$69</f>
        <v>62147.997179999984</v>
      </c>
      <c r="AH48" s="125">
        <f>ROUND(IF($F$4="NO",Valores!$C$63,Valores!$C$63/2),2)</f>
        <v>14083.23</v>
      </c>
      <c r="AI48" s="125">
        <f t="shared" si="2"/>
        <v>543915.4171799999</v>
      </c>
      <c r="AJ48" s="125">
        <f>Valores!$C$31</f>
        <v>0</v>
      </c>
      <c r="AK48" s="125">
        <f>Valores!$C$89</f>
        <v>0</v>
      </c>
      <c r="AL48" s="125">
        <f>Valores!C$38*B48</f>
        <v>0</v>
      </c>
      <c r="AM48" s="125">
        <f>IF($F$3="NO",0,Valores!$C$56)</f>
        <v>0</v>
      </c>
      <c r="AN48" s="125">
        <f t="shared" si="3"/>
        <v>0</v>
      </c>
      <c r="AO48" s="125">
        <f>AI48*Valores!$C$71</f>
        <v>-59830.69588979999</v>
      </c>
      <c r="AP48" s="125">
        <f>AI48*Valores!$C$72</f>
        <v>-10878.308343599998</v>
      </c>
      <c r="AQ48" s="125">
        <f>AI48*-Valores!$C$73</f>
        <v>0</v>
      </c>
      <c r="AR48" s="125">
        <f>AI48*Valores!$C$74</f>
        <v>-29915.347944899993</v>
      </c>
      <c r="AS48" s="125">
        <f>Valores!$C$101</f>
        <v>-1270</v>
      </c>
      <c r="AT48" s="125">
        <f>IF($F$5=0,Valores!$C$102,(Valores!$C$102+$F$5*(Valores!$C$102)))</f>
        <v>-3700</v>
      </c>
      <c r="AU48" s="125">
        <f t="shared" si="6"/>
        <v>438321.0650016999</v>
      </c>
      <c r="AV48" s="125">
        <f t="shared" si="4"/>
        <v>-59830.69588979999</v>
      </c>
      <c r="AW48" s="125">
        <f t="shared" si="10"/>
        <v>-10878.308343599998</v>
      </c>
      <c r="AX48" s="125">
        <f>AI48*Valores!$C$75</f>
        <v>-14685.716263859997</v>
      </c>
      <c r="AY48" s="125">
        <f>AI48*Valores!$C$76</f>
        <v>-1631.7462515399995</v>
      </c>
      <c r="AZ48" s="125">
        <f t="shared" si="5"/>
        <v>456888.95043119986</v>
      </c>
      <c r="BA48" s="125">
        <f>AI48*Valores!$C$78</f>
        <v>87026.46674879998</v>
      </c>
      <c r="BB48" s="125">
        <f>AI48*Valores!$C$79</f>
        <v>38074.0792026</v>
      </c>
      <c r="BC48" s="125">
        <f>AI48*Valores!$C$80</f>
        <v>5439.154171799999</v>
      </c>
      <c r="BD48" s="125">
        <f>AI48*Valores!$C$82</f>
        <v>19037.0396013</v>
      </c>
      <c r="BE48" s="125">
        <f>AI48*Valores!$C$84</f>
        <v>29371.432527719993</v>
      </c>
      <c r="BF48" s="125">
        <f>AI48*Valores!$C$83</f>
        <v>3263.492503079999</v>
      </c>
      <c r="BG48" s="126"/>
      <c r="BH48" s="126">
        <v>30</v>
      </c>
      <c r="BI48" s="123" t="s">
        <v>4</v>
      </c>
    </row>
    <row r="49" spans="1:61" s="110" customFormat="1" ht="11.25" customHeight="1">
      <c r="A49" s="123" t="s">
        <v>190</v>
      </c>
      <c r="B49" s="123">
        <v>1</v>
      </c>
      <c r="C49" s="126">
        <v>42</v>
      </c>
      <c r="D49" s="124" t="s">
        <v>191</v>
      </c>
      <c r="E49" s="192">
        <v>88</v>
      </c>
      <c r="F49" s="125">
        <f>ROUND(E49*Valores!$C$2,2)</f>
        <v>5184.99</v>
      </c>
      <c r="G49" s="192">
        <v>2622</v>
      </c>
      <c r="H49" s="125">
        <f>ROUND(G49*Valores!$C$2,2)</f>
        <v>154489.03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52447.97</v>
      </c>
      <c r="N49" s="125">
        <f t="shared" si="0"/>
        <v>0</v>
      </c>
      <c r="O49" s="125">
        <f>Valores!$C$9</f>
        <v>74035.73</v>
      </c>
      <c r="P49" s="125">
        <f>Valores!$D$5</f>
        <v>30120.06</v>
      </c>
      <c r="Q49" s="125">
        <f>Valores!$C$22</f>
        <v>26870.16</v>
      </c>
      <c r="R49" s="125">
        <f>IF($F$4="NO",Valores!$C$45,Valores!$C$45/2)</f>
        <v>22092.48</v>
      </c>
      <c r="S49" s="125">
        <f>Valores!$C$19</f>
        <v>28025.371999999996</v>
      </c>
      <c r="T49" s="125">
        <f t="shared" si="7"/>
        <v>28025.37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Valores!$C$96</f>
        <v>49491.35</v>
      </c>
      <c r="AA49" s="125">
        <f>Valores!$C$25</f>
        <v>1231.85</v>
      </c>
      <c r="AB49" s="214">
        <v>0</v>
      </c>
      <c r="AC49" s="125">
        <f t="shared" si="1"/>
        <v>0</v>
      </c>
      <c r="AD49" s="125">
        <f>Valores!$C$26</f>
        <v>1231.85</v>
      </c>
      <c r="AE49" s="192">
        <v>0</v>
      </c>
      <c r="AF49" s="125">
        <f>ROUND(AE49*Valores!$C$2,2)</f>
        <v>0</v>
      </c>
      <c r="AG49" s="125">
        <f>SUM(F49,H49,J49,L49,M49,N49,O49,P49,Q49,R49,T49,U49,V49,X49,Y49,Z49,AA49,AC49,AD49,AF49,AH49)*Valores!$C$69</f>
        <v>59250.22502999998</v>
      </c>
      <c r="AH49" s="125">
        <f>ROUND(IF($F$4="NO",Valores!$C$63,Valores!$C$63/2),2)</f>
        <v>14083.23</v>
      </c>
      <c r="AI49" s="125">
        <f t="shared" si="2"/>
        <v>518554.2950299998</v>
      </c>
      <c r="AJ49" s="125">
        <f>Valores!$C$31</f>
        <v>0</v>
      </c>
      <c r="AK49" s="125">
        <f>Valores!$C$89</f>
        <v>0</v>
      </c>
      <c r="AL49" s="125">
        <f>Valores!C$38*B49</f>
        <v>0</v>
      </c>
      <c r="AM49" s="125">
        <f>IF($F$3="NO",0,Valores!$C$56)</f>
        <v>0</v>
      </c>
      <c r="AN49" s="125">
        <f t="shared" si="3"/>
        <v>0</v>
      </c>
      <c r="AO49" s="125">
        <f>AI49*Valores!$C$71</f>
        <v>-57040.972453299975</v>
      </c>
      <c r="AP49" s="125">
        <f>AI49*Valores!$C$72</f>
        <v>-10371.085900599996</v>
      </c>
      <c r="AQ49" s="125">
        <f>AI49*-Valores!$C$73</f>
        <v>0</v>
      </c>
      <c r="AR49" s="125">
        <f>AI49*Valores!$C$74</f>
        <v>-28520.486226649988</v>
      </c>
      <c r="AS49" s="125">
        <f>Valores!$C$101</f>
        <v>-1270</v>
      </c>
      <c r="AT49" s="125">
        <f>IF($F$5=0,Valores!$C$102,(Valores!$C$102+$F$5*(Valores!$C$102)))</f>
        <v>-3700</v>
      </c>
      <c r="AU49" s="125">
        <f t="shared" si="6"/>
        <v>417651.7504494499</v>
      </c>
      <c r="AV49" s="125">
        <f t="shared" si="4"/>
        <v>-57040.972453299975</v>
      </c>
      <c r="AW49" s="125">
        <f t="shared" si="10"/>
        <v>-10371.085900599996</v>
      </c>
      <c r="AX49" s="125">
        <f>AI49*Valores!$C$75</f>
        <v>-14000.965965809995</v>
      </c>
      <c r="AY49" s="125">
        <f>AI49*Valores!$C$76</f>
        <v>-1555.6628850899995</v>
      </c>
      <c r="AZ49" s="125">
        <f t="shared" si="5"/>
        <v>435585.60782519984</v>
      </c>
      <c r="BA49" s="125">
        <f>AI49*Valores!$C$78</f>
        <v>82968.68720479996</v>
      </c>
      <c r="BB49" s="125">
        <f>AI49*Valores!$C$79</f>
        <v>36298.80065209999</v>
      </c>
      <c r="BC49" s="125">
        <f>AI49*Valores!$C$80</f>
        <v>5185.542950299998</v>
      </c>
      <c r="BD49" s="125">
        <f>AI49*Valores!$C$82</f>
        <v>18149.400326049996</v>
      </c>
      <c r="BE49" s="125">
        <f>AI49*Valores!$C$84</f>
        <v>28001.93193161999</v>
      </c>
      <c r="BF49" s="125">
        <f>AI49*Valores!$C$83</f>
        <v>3111.325770179999</v>
      </c>
      <c r="BG49" s="126"/>
      <c r="BH49" s="126">
        <v>30</v>
      </c>
      <c r="BI49" s="123" t="s">
        <v>4</v>
      </c>
    </row>
    <row r="50" spans="1:61" s="110" customFormat="1" ht="11.25" customHeight="1">
      <c r="A50" s="123" t="s">
        <v>192</v>
      </c>
      <c r="B50" s="123">
        <v>1</v>
      </c>
      <c r="C50" s="126">
        <v>43</v>
      </c>
      <c r="D50" s="124" t="s">
        <v>193</v>
      </c>
      <c r="E50" s="192">
        <v>88</v>
      </c>
      <c r="F50" s="125">
        <f>ROUND(E50*Valores!$C$2,2)</f>
        <v>5184.99</v>
      </c>
      <c r="G50" s="192">
        <v>2622</v>
      </c>
      <c r="H50" s="125">
        <f>ROUND(G50*Valores!$C$2,2)</f>
        <v>154489.03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52447.97</v>
      </c>
      <c r="N50" s="125">
        <f t="shared" si="0"/>
        <v>0</v>
      </c>
      <c r="O50" s="125">
        <f>Valores!$C$9</f>
        <v>74035.73</v>
      </c>
      <c r="P50" s="125">
        <f>Valores!$D$5</f>
        <v>30120.06</v>
      </c>
      <c r="Q50" s="125">
        <f>Valores!$C$22</f>
        <v>26870.16</v>
      </c>
      <c r="R50" s="125">
        <f>IF($F$4="NO",Valores!$C$45,Valores!$C$45/2)</f>
        <v>22092.48</v>
      </c>
      <c r="S50" s="125">
        <f>Valores!$C$19</f>
        <v>28025.371999999996</v>
      </c>
      <c r="T50" s="125">
        <f t="shared" si="7"/>
        <v>28025.37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Valores!$C$96</f>
        <v>49491.35</v>
      </c>
      <c r="AA50" s="125">
        <f>Valores!$C$25</f>
        <v>1231.85</v>
      </c>
      <c r="AB50" s="214">
        <v>0</v>
      </c>
      <c r="AC50" s="125">
        <f t="shared" si="1"/>
        <v>0</v>
      </c>
      <c r="AD50" s="125">
        <f>Valores!$C$26</f>
        <v>1231.85</v>
      </c>
      <c r="AE50" s="192">
        <v>0</v>
      </c>
      <c r="AF50" s="125">
        <f>ROUND(AE50*Valores!$C$2,2)</f>
        <v>0</v>
      </c>
      <c r="AG50" s="125">
        <f>SUM(F50,H50,J50,L50,M50,N50,O50,P50,Q50,R50,T50,U50,V50,X50,Y50,Z50,AA50,AC50,AD50,AF50,AH50)*Valores!$C$69</f>
        <v>59250.22502999998</v>
      </c>
      <c r="AH50" s="125">
        <f>ROUND(IF($F$4="NO",Valores!$C$63,Valores!$C$63/2),2)</f>
        <v>14083.23</v>
      </c>
      <c r="AI50" s="125">
        <f t="shared" si="2"/>
        <v>518554.2950299998</v>
      </c>
      <c r="AJ50" s="125">
        <f>Valores!$C$31</f>
        <v>0</v>
      </c>
      <c r="AK50" s="125">
        <f>Valores!$C$89</f>
        <v>0</v>
      </c>
      <c r="AL50" s="125">
        <f>Valores!C$38*B50</f>
        <v>0</v>
      </c>
      <c r="AM50" s="125">
        <f>IF($F$3="NO",0,Valores!$C$56)</f>
        <v>0</v>
      </c>
      <c r="AN50" s="125">
        <f t="shared" si="3"/>
        <v>0</v>
      </c>
      <c r="AO50" s="125">
        <f>AI50*Valores!$C$71</f>
        <v>-57040.972453299975</v>
      </c>
      <c r="AP50" s="125">
        <f>AI50*Valores!$C$72</f>
        <v>-10371.085900599996</v>
      </c>
      <c r="AQ50" s="125">
        <f>AI50*-Valores!$C$73</f>
        <v>0</v>
      </c>
      <c r="AR50" s="125">
        <f>AI50*Valores!$C$74</f>
        <v>-28520.486226649988</v>
      </c>
      <c r="AS50" s="125">
        <f>Valores!$C$101</f>
        <v>-1270</v>
      </c>
      <c r="AT50" s="125">
        <f>IF($F$5=0,Valores!$C$102,(Valores!$C$102+$F$5*(Valores!$C$102)))</f>
        <v>-3700</v>
      </c>
      <c r="AU50" s="125">
        <f t="shared" si="6"/>
        <v>417651.7504494499</v>
      </c>
      <c r="AV50" s="125">
        <f t="shared" si="4"/>
        <v>-57040.972453299975</v>
      </c>
      <c r="AW50" s="125">
        <f t="shared" si="10"/>
        <v>-10371.085900599996</v>
      </c>
      <c r="AX50" s="125">
        <f>AI50*Valores!$C$75</f>
        <v>-14000.965965809995</v>
      </c>
      <c r="AY50" s="125">
        <f>AI50*Valores!$C$76</f>
        <v>-1555.6628850899995</v>
      </c>
      <c r="AZ50" s="125">
        <f t="shared" si="5"/>
        <v>435585.60782519984</v>
      </c>
      <c r="BA50" s="125">
        <f>AI50*Valores!$C$78</f>
        <v>82968.68720479996</v>
      </c>
      <c r="BB50" s="125">
        <f>AI50*Valores!$C$79</f>
        <v>36298.80065209999</v>
      </c>
      <c r="BC50" s="125">
        <f>AI50*Valores!$C$80</f>
        <v>5185.542950299998</v>
      </c>
      <c r="BD50" s="125">
        <f>AI50*Valores!$C$82</f>
        <v>18149.400326049996</v>
      </c>
      <c r="BE50" s="125">
        <f>AI50*Valores!$C$84</f>
        <v>28001.93193161999</v>
      </c>
      <c r="BF50" s="125">
        <f>AI50*Valores!$C$83</f>
        <v>3111.325770179999</v>
      </c>
      <c r="BG50" s="126"/>
      <c r="BH50" s="126">
        <v>30</v>
      </c>
      <c r="BI50" s="123" t="s">
        <v>4</v>
      </c>
    </row>
    <row r="51" spans="1:61" s="110" customFormat="1" ht="11.25" customHeight="1">
      <c r="A51" s="123" t="s">
        <v>194</v>
      </c>
      <c r="B51" s="123">
        <v>1</v>
      </c>
      <c r="C51" s="126">
        <v>44</v>
      </c>
      <c r="D51" s="124" t="s">
        <v>195</v>
      </c>
      <c r="E51" s="192">
        <v>80</v>
      </c>
      <c r="F51" s="125">
        <f>ROUND(E51*Valores!$C$2,2)</f>
        <v>4713.62</v>
      </c>
      <c r="G51" s="192">
        <v>2278</v>
      </c>
      <c r="H51" s="125">
        <f>ROUND(G51*Valores!$C$2,2)</f>
        <v>134220.44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47262.98</v>
      </c>
      <c r="N51" s="125">
        <f t="shared" si="0"/>
        <v>0</v>
      </c>
      <c r="O51" s="125">
        <f>Valores!$C$9</f>
        <v>74035.73</v>
      </c>
      <c r="P51" s="125">
        <f>Valores!$D$5</f>
        <v>30120.06</v>
      </c>
      <c r="Q51" s="125">
        <f>Valores!$C$22</f>
        <v>26870.16</v>
      </c>
      <c r="R51" s="125">
        <f>IF($F$4="NO",Valores!$C$45,Valores!$C$45/2)</f>
        <v>22092.48</v>
      </c>
      <c r="S51" s="125">
        <f>Valores!$C$19</f>
        <v>28025.371999999996</v>
      </c>
      <c r="T51" s="125">
        <f t="shared" si="7"/>
        <v>28025.37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Valores!$C$96</f>
        <v>49491.35</v>
      </c>
      <c r="AA51" s="125">
        <f>Valores!$C$25</f>
        <v>1231.85</v>
      </c>
      <c r="AB51" s="214">
        <v>0</v>
      </c>
      <c r="AC51" s="125">
        <f t="shared" si="1"/>
        <v>0</v>
      </c>
      <c r="AD51" s="125">
        <f>Valores!$C$26</f>
        <v>1231.85</v>
      </c>
      <c r="AE51" s="192">
        <v>0</v>
      </c>
      <c r="AF51" s="125">
        <f>ROUND(AE51*Valores!$C$2,2)</f>
        <v>0</v>
      </c>
      <c r="AG51" s="125">
        <f>SUM(F51,H51,J51,L51,M51,N51,O51,P51,Q51,R51,T51,U51,V51,X51,Y51,Z51,AA51,AC51,AD51,AF51,AH51)*Valores!$C$69</f>
        <v>55905.90647999998</v>
      </c>
      <c r="AH51" s="125">
        <f>ROUND(IF($F$4="NO",Valores!$C$63,Valores!$C$63/2),2)</f>
        <v>14083.23</v>
      </c>
      <c r="AI51" s="125">
        <f t="shared" si="2"/>
        <v>489285.0264799999</v>
      </c>
      <c r="AJ51" s="125">
        <f>Valores!$C$31</f>
        <v>0</v>
      </c>
      <c r="AK51" s="125">
        <f>Valores!$C$89</f>
        <v>0</v>
      </c>
      <c r="AL51" s="125">
        <f>Valores!C$38*B51</f>
        <v>0</v>
      </c>
      <c r="AM51" s="125">
        <f>IF($F$3="NO",0,Valores!$C$56)</f>
        <v>0</v>
      </c>
      <c r="AN51" s="125">
        <f t="shared" si="3"/>
        <v>0</v>
      </c>
      <c r="AO51" s="125">
        <f>AI51*Valores!$C$71</f>
        <v>-53821.35291279999</v>
      </c>
      <c r="AP51" s="125">
        <f>AI51*Valores!$C$72</f>
        <v>-9785.700529599997</v>
      </c>
      <c r="AQ51" s="125">
        <f>AI51*-Valores!$C$73</f>
        <v>0</v>
      </c>
      <c r="AR51" s="125">
        <f>AI51*Valores!$C$74</f>
        <v>-26910.676456399993</v>
      </c>
      <c r="AS51" s="125">
        <f>Valores!$C$101</f>
        <v>-1270</v>
      </c>
      <c r="AT51" s="125">
        <f>IF($F$5=0,Valores!$C$102,(Valores!$C$102+$F$5*(Valores!$C$102)))</f>
        <v>-3700</v>
      </c>
      <c r="AU51" s="125">
        <f t="shared" si="6"/>
        <v>393797.2965811999</v>
      </c>
      <c r="AV51" s="125">
        <f t="shared" si="4"/>
        <v>-53821.35291279999</v>
      </c>
      <c r="AW51" s="125">
        <f t="shared" si="10"/>
        <v>-9785.700529599997</v>
      </c>
      <c r="AX51" s="125">
        <f>AI51*Valores!$C$75</f>
        <v>-13210.695714959997</v>
      </c>
      <c r="AY51" s="125">
        <f>AI51*Valores!$C$76</f>
        <v>-1467.8550794399996</v>
      </c>
      <c r="AZ51" s="125">
        <f t="shared" si="5"/>
        <v>410999.4222431999</v>
      </c>
      <c r="BA51" s="125">
        <f>AI51*Valores!$C$78</f>
        <v>78285.60423679998</v>
      </c>
      <c r="BB51" s="125">
        <f>AI51*Valores!$C$79</f>
        <v>34249.951853599996</v>
      </c>
      <c r="BC51" s="125">
        <f>AI51*Valores!$C$80</f>
        <v>4892.8502647999985</v>
      </c>
      <c r="BD51" s="125">
        <f>AI51*Valores!$C$82</f>
        <v>17124.975926799998</v>
      </c>
      <c r="BE51" s="125">
        <f>AI51*Valores!$C$84</f>
        <v>26421.391429919993</v>
      </c>
      <c r="BF51" s="125">
        <f>AI51*Valores!$C$83</f>
        <v>2935.710158879999</v>
      </c>
      <c r="BG51" s="126"/>
      <c r="BH51" s="126">
        <v>30</v>
      </c>
      <c r="BI51" s="123" t="s">
        <v>4</v>
      </c>
    </row>
    <row r="52" spans="1:61" s="110" customFormat="1" ht="11.25" customHeight="1">
      <c r="A52" s="123" t="s">
        <v>196</v>
      </c>
      <c r="B52" s="123">
        <v>1</v>
      </c>
      <c r="C52" s="126">
        <v>45</v>
      </c>
      <c r="D52" s="124" t="s">
        <v>197</v>
      </c>
      <c r="E52" s="192">
        <v>100</v>
      </c>
      <c r="F52" s="125">
        <f>ROUND(E52*Valores!$C$2,2)</f>
        <v>5892.03</v>
      </c>
      <c r="G52" s="192">
        <v>3620</v>
      </c>
      <c r="H52" s="125">
        <f>ROUND(G52*Valores!$C$2,2)</f>
        <v>213291.49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69673.62</v>
      </c>
      <c r="N52" s="125">
        <f t="shared" si="0"/>
        <v>0</v>
      </c>
      <c r="O52" s="125">
        <f>Valores!$C$9</f>
        <v>74035.73</v>
      </c>
      <c r="P52" s="125">
        <f>Valores!$D$5</f>
        <v>30120.06</v>
      </c>
      <c r="Q52" s="125">
        <f>Valores!$C$22</f>
        <v>26870.16</v>
      </c>
      <c r="R52" s="125">
        <f>IF($F$4="NO",Valores!$C$47,Valores!$C$47/2)</f>
        <v>31485.59</v>
      </c>
      <c r="S52" s="125">
        <f>Valores!$C$19</f>
        <v>28025.371999999996</v>
      </c>
      <c r="T52" s="125">
        <f t="shared" si="7"/>
        <v>28025.37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Valores!$C$97</f>
        <v>82485.58</v>
      </c>
      <c r="AA52" s="125">
        <f>Valores!$C$25</f>
        <v>1231.85</v>
      </c>
      <c r="AB52" s="214">
        <v>0</v>
      </c>
      <c r="AC52" s="125">
        <f t="shared" si="1"/>
        <v>0</v>
      </c>
      <c r="AD52" s="125">
        <f>Valores!$C$26</f>
        <v>1231.85</v>
      </c>
      <c r="AE52" s="192">
        <v>0</v>
      </c>
      <c r="AF52" s="125">
        <f>ROUND(AE52*Valores!$C$2,2)</f>
        <v>0</v>
      </c>
      <c r="AG52" s="125">
        <f>SUM(F52,H52,J52,L52,M52,N52,O52,P52,Q52,R52,T52,U52,V52,X52,Y52,Z52,AA52,AC52,AD52,AF52,AH52)*Valores!$C$69</f>
        <v>74617.02623999999</v>
      </c>
      <c r="AH52" s="125">
        <f>ROUND(IF($F$4="NO",Valores!$C$63,Valores!$C$63/2),2)</f>
        <v>14083.23</v>
      </c>
      <c r="AI52" s="125">
        <f t="shared" si="2"/>
        <v>653043.58624</v>
      </c>
      <c r="AJ52" s="125">
        <f>Valores!$C$31</f>
        <v>0</v>
      </c>
      <c r="AK52" s="125">
        <f>Valores!$C$90</f>
        <v>0</v>
      </c>
      <c r="AL52" s="125">
        <f>Valores!C$38*B52</f>
        <v>0</v>
      </c>
      <c r="AM52" s="125">
        <f>IF($F$3="NO",0,Valores!$C$56)</f>
        <v>0</v>
      </c>
      <c r="AN52" s="125">
        <f t="shared" si="3"/>
        <v>0</v>
      </c>
      <c r="AO52" s="125">
        <f>AI52*Valores!$C$71</f>
        <v>-71834.7944864</v>
      </c>
      <c r="AP52" s="125">
        <f>AI52*Valores!$C$72</f>
        <v>-13060.8717248</v>
      </c>
      <c r="AQ52" s="125">
        <f>AI52*-Valores!$C$73</f>
        <v>0</v>
      </c>
      <c r="AR52" s="125">
        <f>AI52*Valores!$C$74</f>
        <v>-35917.3972432</v>
      </c>
      <c r="AS52" s="125">
        <f>Valores!$C$101</f>
        <v>-1270</v>
      </c>
      <c r="AT52" s="125">
        <f>IF($F$5=0,Valores!$C$102,(Valores!$C$102+$F$5*(Valores!$C$102)))</f>
        <v>-3700</v>
      </c>
      <c r="AU52" s="125">
        <f t="shared" si="6"/>
        <v>527260.5227855999</v>
      </c>
      <c r="AV52" s="125">
        <f t="shared" si="4"/>
        <v>-71834.7944864</v>
      </c>
      <c r="AW52" s="125">
        <f t="shared" si="10"/>
        <v>-13060.8717248</v>
      </c>
      <c r="AX52" s="125">
        <f>AI52*Valores!$C$75</f>
        <v>-17632.17682848</v>
      </c>
      <c r="AY52" s="125">
        <f>AI52*Valores!$C$76</f>
        <v>-1959.13075872</v>
      </c>
      <c r="AZ52" s="125">
        <f t="shared" si="5"/>
        <v>548556.6124416</v>
      </c>
      <c r="BA52" s="125">
        <f>AI52*Valores!$C$78</f>
        <v>104486.9737984</v>
      </c>
      <c r="BB52" s="125">
        <f>AI52*Valores!$C$79</f>
        <v>45713.0510368</v>
      </c>
      <c r="BC52" s="125">
        <f>AI52*Valores!$C$80</f>
        <v>6530.4358624</v>
      </c>
      <c r="BD52" s="125">
        <f>AI52*Valores!$C$82</f>
        <v>22856.5255184</v>
      </c>
      <c r="BE52" s="125">
        <f>AI52*Valores!$C$84</f>
        <v>35264.35365696</v>
      </c>
      <c r="BF52" s="125">
        <f>AI52*Valores!$C$83</f>
        <v>3918.26151744</v>
      </c>
      <c r="BG52" s="126"/>
      <c r="BH52" s="126"/>
      <c r="BI52" s="123" t="s">
        <v>4</v>
      </c>
    </row>
    <row r="53" spans="1:61" s="110" customFormat="1" ht="11.25" customHeight="1">
      <c r="A53" s="123" t="s">
        <v>198</v>
      </c>
      <c r="B53" s="123">
        <v>1</v>
      </c>
      <c r="C53" s="126">
        <v>46</v>
      </c>
      <c r="D53" s="124" t="s">
        <v>199</v>
      </c>
      <c r="E53" s="192">
        <v>100</v>
      </c>
      <c r="F53" s="125">
        <f>ROUND(E53*Valores!$C$2,2)</f>
        <v>5892.03</v>
      </c>
      <c r="G53" s="192">
        <v>3560</v>
      </c>
      <c r="H53" s="125">
        <f>ROUND(G53*Valores!$C$2,2)</f>
        <v>209756.27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68789.82</v>
      </c>
      <c r="N53" s="125">
        <f t="shared" si="0"/>
        <v>0</v>
      </c>
      <c r="O53" s="125">
        <f>Valores!$C$9</f>
        <v>74035.73</v>
      </c>
      <c r="P53" s="125">
        <f>Valores!$D$5</f>
        <v>30120.06</v>
      </c>
      <c r="Q53" s="125">
        <v>0</v>
      </c>
      <c r="R53" s="125">
        <f>IF($F$4="NO",Valores!$C$47,Valores!$C$47/2)</f>
        <v>31485.59</v>
      </c>
      <c r="S53" s="125">
        <f>Valores!$C$19</f>
        <v>28025.371999999996</v>
      </c>
      <c r="T53" s="125">
        <f t="shared" si="7"/>
        <v>28025.37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Valores!$C$97</f>
        <v>82485.58</v>
      </c>
      <c r="AA53" s="125">
        <f>Valores!$C$25</f>
        <v>1231.85</v>
      </c>
      <c r="AB53" s="214">
        <v>0</v>
      </c>
      <c r="AC53" s="125">
        <f t="shared" si="1"/>
        <v>0</v>
      </c>
      <c r="AD53" s="125">
        <f>Valores!$C$26</f>
        <v>1231.85</v>
      </c>
      <c r="AE53" s="192">
        <v>0</v>
      </c>
      <c r="AF53" s="125">
        <f>ROUND(AE53*Valores!$C$2,2)</f>
        <v>0</v>
      </c>
      <c r="AG53" s="125">
        <f>SUM(F53,H53,J53,L53,M53,N53,O53,P53,Q53,R53,T53,U53,V53,X53,Y53,Z53,AA53,AC53,AD53,AF53,AH53)*Valores!$C$69</f>
        <v>70580.72201999999</v>
      </c>
      <c r="AH53" s="125">
        <f>ROUND(IF($F$4="NO",Valores!$C$63,Valores!$C$63/2),2)</f>
        <v>14083.23</v>
      </c>
      <c r="AI53" s="125">
        <f t="shared" si="2"/>
        <v>617718.1020199999</v>
      </c>
      <c r="AJ53" s="125">
        <f>Valores!$C$31</f>
        <v>0</v>
      </c>
      <c r="AK53" s="125">
        <f>Valores!$C$90</f>
        <v>0</v>
      </c>
      <c r="AL53" s="125">
        <f>Valores!C$38*B53</f>
        <v>0</v>
      </c>
      <c r="AM53" s="125">
        <f>IF($F$3="NO",0,Valores!$C$56)</f>
        <v>0</v>
      </c>
      <c r="AN53" s="125">
        <f t="shared" si="3"/>
        <v>0</v>
      </c>
      <c r="AO53" s="125">
        <f>AI53*Valores!$C$71</f>
        <v>-67948.99122219998</v>
      </c>
      <c r="AP53" s="125">
        <f>AI53*Valores!$C$72</f>
        <v>-12354.362040399998</v>
      </c>
      <c r="AQ53" s="125">
        <f>AI53*-Valores!$C$73</f>
        <v>0</v>
      </c>
      <c r="AR53" s="125">
        <f>AI53*Valores!$C$74</f>
        <v>-33974.49561109999</v>
      </c>
      <c r="AS53" s="125">
        <f>Valores!$C$101</f>
        <v>-1270</v>
      </c>
      <c r="AT53" s="125">
        <f>IF($F$5=0,Valores!$C$102,(Valores!$C$102+$F$5*(Valores!$C$102)))</f>
        <v>-3700</v>
      </c>
      <c r="AU53" s="125">
        <f t="shared" si="6"/>
        <v>498470.2531462999</v>
      </c>
      <c r="AV53" s="125">
        <f t="shared" si="4"/>
        <v>-67948.99122219998</v>
      </c>
      <c r="AW53" s="125">
        <f t="shared" si="10"/>
        <v>-12354.362040399998</v>
      </c>
      <c r="AX53" s="125">
        <f>AI53*Valores!$C$75</f>
        <v>-16678.388754539996</v>
      </c>
      <c r="AY53" s="125">
        <f>AI53*Valores!$C$76</f>
        <v>-1853.1543060599997</v>
      </c>
      <c r="AZ53" s="125">
        <f t="shared" si="5"/>
        <v>518883.2056967999</v>
      </c>
      <c r="BA53" s="125">
        <f>AI53*Valores!$C$78</f>
        <v>98834.89632319998</v>
      </c>
      <c r="BB53" s="125">
        <f>AI53*Valores!$C$79</f>
        <v>43240.26714139999</v>
      </c>
      <c r="BC53" s="125">
        <f>AI53*Valores!$C$80</f>
        <v>6177.181020199999</v>
      </c>
      <c r="BD53" s="125">
        <f>AI53*Valores!$C$82</f>
        <v>21620.133570699996</v>
      </c>
      <c r="BE53" s="125">
        <f>AI53*Valores!$C$84</f>
        <v>33356.77750907999</v>
      </c>
      <c r="BF53" s="125">
        <f>AI53*Valores!$C$83</f>
        <v>3706.3086121199995</v>
      </c>
      <c r="BG53" s="126"/>
      <c r="BH53" s="126"/>
      <c r="BI53" s="123" t="s">
        <v>8</v>
      </c>
    </row>
    <row r="54" spans="1:61" s="110" customFormat="1" ht="11.25" customHeight="1">
      <c r="A54" s="123" t="s">
        <v>200</v>
      </c>
      <c r="B54" s="123">
        <v>1</v>
      </c>
      <c r="C54" s="126">
        <v>47</v>
      </c>
      <c r="D54" s="124" t="s">
        <v>201</v>
      </c>
      <c r="E54" s="192">
        <v>100</v>
      </c>
      <c r="F54" s="125">
        <f>ROUND(E54*Valores!$C$2,2)</f>
        <v>5892.03</v>
      </c>
      <c r="G54" s="192">
        <v>3360</v>
      </c>
      <c r="H54" s="125">
        <f>ROUND(G54*Valores!$C$2,2)</f>
        <v>197972.21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65843.8</v>
      </c>
      <c r="N54" s="125">
        <f t="shared" si="0"/>
        <v>0</v>
      </c>
      <c r="O54" s="125">
        <f>Valores!$C$9</f>
        <v>74035.73</v>
      </c>
      <c r="P54" s="125">
        <f>Valores!$D$5</f>
        <v>30120.06</v>
      </c>
      <c r="Q54" s="125">
        <f>Valores!$C$22</f>
        <v>26870.16</v>
      </c>
      <c r="R54" s="125">
        <f>IF($F$4="NO",Valores!$C$47,Valores!$C$47/2)</f>
        <v>31485.59</v>
      </c>
      <c r="S54" s="125">
        <f>Valores!$C$19</f>
        <v>28025.371999999996</v>
      </c>
      <c r="T54" s="125">
        <f t="shared" si="7"/>
        <v>28025.37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Valores!$C$97</f>
        <v>82485.58</v>
      </c>
      <c r="AA54" s="125">
        <f>Valores!$C$25</f>
        <v>1231.85</v>
      </c>
      <c r="AB54" s="214">
        <v>0</v>
      </c>
      <c r="AC54" s="125">
        <f t="shared" si="1"/>
        <v>0</v>
      </c>
      <c r="AD54" s="125">
        <f>Valores!$C$26</f>
        <v>1231.85</v>
      </c>
      <c r="AE54" s="192">
        <v>0</v>
      </c>
      <c r="AF54" s="125">
        <f>ROUND(AE54*Valores!$C$2,2)</f>
        <v>0</v>
      </c>
      <c r="AG54" s="125">
        <f>SUM(F54,H54,J54,L54,M54,N54,O54,P54,Q54,R54,T54,U54,V54,X54,Y54,Z54,AA54,AC54,AD54,AF54,AH54)*Valores!$C$69</f>
        <v>72146.79233999999</v>
      </c>
      <c r="AH54" s="125">
        <f>ROUND(IF($F$4="NO",Valores!$C$63,Valores!$C$63/2),2)</f>
        <v>14083.23</v>
      </c>
      <c r="AI54" s="125">
        <f t="shared" si="2"/>
        <v>631424.2523399999</v>
      </c>
      <c r="AJ54" s="125">
        <f>Valores!$C$31</f>
        <v>0</v>
      </c>
      <c r="AK54" s="125">
        <f>Valores!$C$90</f>
        <v>0</v>
      </c>
      <c r="AL54" s="125">
        <f>Valores!C$38*B54</f>
        <v>0</v>
      </c>
      <c r="AM54" s="125">
        <f>IF($F$3="NO",0,Valores!$C$56)</f>
        <v>0</v>
      </c>
      <c r="AN54" s="125">
        <f t="shared" si="3"/>
        <v>0</v>
      </c>
      <c r="AO54" s="125">
        <f>AI54*Valores!$C$71</f>
        <v>-69456.66775739999</v>
      </c>
      <c r="AP54" s="125">
        <f>AI54*Valores!$C$72</f>
        <v>-12628.485046799999</v>
      </c>
      <c r="AQ54" s="125">
        <f>AI54*-Valores!$C$73</f>
        <v>0</v>
      </c>
      <c r="AR54" s="125">
        <f>AI54*Valores!$C$74</f>
        <v>-34728.333878699996</v>
      </c>
      <c r="AS54" s="125">
        <f>Valores!$C$101</f>
        <v>-1270</v>
      </c>
      <c r="AT54" s="125">
        <f>IF($F$5=0,Valores!$C$102,(Valores!$C$102+$F$5*(Valores!$C$102)))</f>
        <v>-3700</v>
      </c>
      <c r="AU54" s="125">
        <f t="shared" si="6"/>
        <v>509640.7656570999</v>
      </c>
      <c r="AV54" s="125">
        <f t="shared" si="4"/>
        <v>-69456.66775739999</v>
      </c>
      <c r="AW54" s="125">
        <f t="shared" si="10"/>
        <v>-12628.485046799999</v>
      </c>
      <c r="AX54" s="125">
        <f>AI54*Valores!$C$75</f>
        <v>-17048.454813179997</v>
      </c>
      <c r="AY54" s="125">
        <f>AI54*Valores!$C$76</f>
        <v>-1894.2727570199997</v>
      </c>
      <c r="AZ54" s="125">
        <f t="shared" si="5"/>
        <v>530396.3719656</v>
      </c>
      <c r="BA54" s="125">
        <f>AI54*Valores!$C$78</f>
        <v>101027.88037439999</v>
      </c>
      <c r="BB54" s="125">
        <f>AI54*Valores!$C$79</f>
        <v>44199.6976638</v>
      </c>
      <c r="BC54" s="125">
        <f>AI54*Valores!$C$80</f>
        <v>6314.242523399999</v>
      </c>
      <c r="BD54" s="125">
        <f>AI54*Valores!$C$82</f>
        <v>22099.8488319</v>
      </c>
      <c r="BE54" s="125">
        <f>AI54*Valores!$C$84</f>
        <v>34096.90962635999</v>
      </c>
      <c r="BF54" s="125">
        <f>AI54*Valores!$C$83</f>
        <v>3788.5455140399995</v>
      </c>
      <c r="BG54" s="126"/>
      <c r="BH54" s="126"/>
      <c r="BI54" s="123" t="s">
        <v>4</v>
      </c>
    </row>
    <row r="55" spans="1:61" s="110" customFormat="1" ht="11.25" customHeight="1">
      <c r="A55" s="123" t="s">
        <v>202</v>
      </c>
      <c r="B55" s="123">
        <v>1</v>
      </c>
      <c r="C55" s="126">
        <v>48</v>
      </c>
      <c r="D55" s="124" t="s">
        <v>203</v>
      </c>
      <c r="E55" s="192">
        <v>98</v>
      </c>
      <c r="F55" s="125">
        <f>ROUND(E55*Valores!$C$2,2)</f>
        <v>5774.19</v>
      </c>
      <c r="G55" s="192">
        <v>2686</v>
      </c>
      <c r="H55" s="125">
        <f>ROUND(G55*Valores!$C$2,2)</f>
        <v>158259.93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53537.99</v>
      </c>
      <c r="N55" s="125">
        <f t="shared" si="0"/>
        <v>0</v>
      </c>
      <c r="O55" s="125">
        <f>Valores!$C$9</f>
        <v>74035.73</v>
      </c>
      <c r="P55" s="125">
        <f>Valores!$D$5</f>
        <v>30120.06</v>
      </c>
      <c r="Q55" s="125">
        <f>Valores!$C$22</f>
        <v>26870.16</v>
      </c>
      <c r="R55" s="125">
        <f>IF($F$4="NO",Valores!$C$45,Valores!$C$45/2)</f>
        <v>22092.48</v>
      </c>
      <c r="S55" s="125">
        <f>Valores!$C$19</f>
        <v>28025.371999999996</v>
      </c>
      <c r="T55" s="125">
        <f t="shared" si="7"/>
        <v>28025.37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Valores!$C$96</f>
        <v>49491.35</v>
      </c>
      <c r="AA55" s="125">
        <f>Valores!$C$25</f>
        <v>1231.85</v>
      </c>
      <c r="AB55" s="214">
        <v>0</v>
      </c>
      <c r="AC55" s="125">
        <f t="shared" si="1"/>
        <v>0</v>
      </c>
      <c r="AD55" s="125">
        <f>Valores!$C$26</f>
        <v>1231.85</v>
      </c>
      <c r="AE55" s="192">
        <v>0</v>
      </c>
      <c r="AF55" s="125">
        <f>ROUND(AE55*Valores!$C$2,2)</f>
        <v>0</v>
      </c>
      <c r="AG55" s="125">
        <f>SUM(F55,H55,J55,L55,M55,N55,O55,P55,Q55,R55,T55,U55,V55,X55,Y55,Z55,AA55,AC55,AD55,AF55,AH55)*Valores!$C$69</f>
        <v>59953.29050999998</v>
      </c>
      <c r="AH55" s="125">
        <f>ROUND(IF($F$4="NO",Valores!$C$63,Valores!$C$63/2),2)</f>
        <v>14083.23</v>
      </c>
      <c r="AI55" s="125">
        <f t="shared" si="2"/>
        <v>524707.4805099998</v>
      </c>
      <c r="AJ55" s="125">
        <f>Valores!$C$31</f>
        <v>0</v>
      </c>
      <c r="AK55" s="125">
        <f>Valores!$C$89</f>
        <v>0</v>
      </c>
      <c r="AL55" s="125">
        <f>Valores!C$38*B55</f>
        <v>0</v>
      </c>
      <c r="AM55" s="125">
        <f>IF($F$3="NO",0,Valores!$C$56)</f>
        <v>0</v>
      </c>
      <c r="AN55" s="125">
        <f t="shared" si="3"/>
        <v>0</v>
      </c>
      <c r="AO55" s="125">
        <f>AI55*Valores!$C$71</f>
        <v>-57717.82285609998</v>
      </c>
      <c r="AP55" s="125">
        <f>AI55*Valores!$C$72</f>
        <v>-10494.149610199996</v>
      </c>
      <c r="AQ55" s="125">
        <f>AI55*-Valores!$C$73</f>
        <v>0</v>
      </c>
      <c r="AR55" s="125">
        <f>AI55*Valores!$C$74</f>
        <v>-28858.91142804999</v>
      </c>
      <c r="AS55" s="125">
        <f>Valores!$C$101</f>
        <v>-1270</v>
      </c>
      <c r="AT55" s="125">
        <f>IF($F$5=0,Valores!$C$102,(Valores!$C$102+$F$5*(Valores!$C$102)))</f>
        <v>-3700</v>
      </c>
      <c r="AU55" s="125">
        <f t="shared" si="6"/>
        <v>422666.5966156498</v>
      </c>
      <c r="AV55" s="125">
        <f t="shared" si="4"/>
        <v>-57717.82285609998</v>
      </c>
      <c r="AW55" s="125">
        <f t="shared" si="10"/>
        <v>-10494.149610199996</v>
      </c>
      <c r="AX55" s="125">
        <f>AI55*Valores!$C$75</f>
        <v>-14167.101973769993</v>
      </c>
      <c r="AY55" s="125">
        <f>AI55*Valores!$C$76</f>
        <v>-1574.1224415299994</v>
      </c>
      <c r="AZ55" s="125">
        <f t="shared" si="5"/>
        <v>440754.28362839983</v>
      </c>
      <c r="BA55" s="125">
        <f>AI55*Valores!$C$78</f>
        <v>83953.19688159997</v>
      </c>
      <c r="BB55" s="125">
        <f>AI55*Valores!$C$79</f>
        <v>36729.52363569999</v>
      </c>
      <c r="BC55" s="125">
        <f>AI55*Valores!$C$80</f>
        <v>5247.074805099998</v>
      </c>
      <c r="BD55" s="125">
        <f>AI55*Valores!$C$82</f>
        <v>18364.761817849994</v>
      </c>
      <c r="BE55" s="125">
        <f>AI55*Valores!$C$84</f>
        <v>28334.203947539987</v>
      </c>
      <c r="BF55" s="125">
        <f>AI55*Valores!$C$83</f>
        <v>3148.2448830599988</v>
      </c>
      <c r="BG55" s="126"/>
      <c r="BH55" s="126">
        <v>30</v>
      </c>
      <c r="BI55" s="123" t="s">
        <v>4</v>
      </c>
    </row>
    <row r="56" spans="1:61" s="110" customFormat="1" ht="11.25" customHeight="1">
      <c r="A56" s="123" t="s">
        <v>204</v>
      </c>
      <c r="B56" s="123">
        <v>1</v>
      </c>
      <c r="C56" s="126">
        <v>49</v>
      </c>
      <c r="D56" s="124" t="s">
        <v>205</v>
      </c>
      <c r="E56" s="192">
        <v>94</v>
      </c>
      <c r="F56" s="125">
        <f>ROUND(E56*Valores!$C$2,2)</f>
        <v>5538.51</v>
      </c>
      <c r="G56" s="192">
        <v>2690</v>
      </c>
      <c r="H56" s="125">
        <f>ROUND(G56*Valores!$C$2,2)</f>
        <v>158495.61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53537.99</v>
      </c>
      <c r="N56" s="125">
        <f t="shared" si="0"/>
        <v>0</v>
      </c>
      <c r="O56" s="125">
        <f>Valores!$C$9</f>
        <v>74035.73</v>
      </c>
      <c r="P56" s="125">
        <f>Valores!$D$5</f>
        <v>30120.06</v>
      </c>
      <c r="Q56" s="125">
        <f>Valores!$C$22</f>
        <v>26870.16</v>
      </c>
      <c r="R56" s="125">
        <f>IF($F$4="NO",Valores!$C$45,Valores!$C$45/2)</f>
        <v>22092.48</v>
      </c>
      <c r="S56" s="125">
        <f>Valores!$C$19</f>
        <v>28025.371999999996</v>
      </c>
      <c r="T56" s="125">
        <f t="shared" si="7"/>
        <v>28025.37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Valores!$C$96</f>
        <v>49491.35</v>
      </c>
      <c r="AA56" s="125">
        <f>Valores!$C$25</f>
        <v>1231.85</v>
      </c>
      <c r="AB56" s="214">
        <v>0</v>
      </c>
      <c r="AC56" s="125">
        <f t="shared" si="1"/>
        <v>0</v>
      </c>
      <c r="AD56" s="125">
        <f>Valores!$C$26</f>
        <v>1231.85</v>
      </c>
      <c r="AE56" s="192">
        <v>94</v>
      </c>
      <c r="AF56" s="125">
        <f>ROUND(AE56*Valores!$C$2,2)</f>
        <v>5538.51</v>
      </c>
      <c r="AG56" s="125">
        <f>SUM(F56,H56,J56,L56,M56,N56,O56,P56,Q56,R56,T56,U56,V56,X56,Y56,Z56,AA56,AC56,AD56,AF56,AH56)*Valores!$C$69</f>
        <v>60667.75829999998</v>
      </c>
      <c r="AH56" s="125">
        <f>ROUND(IF($F$4="NO",Valores!$C$63,Valores!$C$63/2),2)</f>
        <v>14083.23</v>
      </c>
      <c r="AI56" s="125">
        <f t="shared" si="2"/>
        <v>530960.4582999998</v>
      </c>
      <c r="AJ56" s="125">
        <f>Valores!$C$31</f>
        <v>0</v>
      </c>
      <c r="AK56" s="125">
        <f>Valores!$C$89</f>
        <v>0</v>
      </c>
      <c r="AL56" s="125">
        <f>Valores!C$38*B56</f>
        <v>0</v>
      </c>
      <c r="AM56" s="125">
        <f>IF($F$3="NO",0,Valores!$C$56)</f>
        <v>0</v>
      </c>
      <c r="AN56" s="125">
        <f t="shared" si="3"/>
        <v>0</v>
      </c>
      <c r="AO56" s="125">
        <f>AI56*Valores!$C$71</f>
        <v>-58405.65041299998</v>
      </c>
      <c r="AP56" s="125">
        <f>AI56*Valores!$C$72</f>
        <v>-10619.209165999997</v>
      </c>
      <c r="AQ56" s="125">
        <f>AI56*-Valores!$C$73</f>
        <v>0</v>
      </c>
      <c r="AR56" s="125">
        <f>AI56*Valores!$C$74</f>
        <v>-29202.82520649999</v>
      </c>
      <c r="AS56" s="125">
        <f>Valores!$C$101</f>
        <v>-1270</v>
      </c>
      <c r="AT56" s="125">
        <f>IF($F$5=0,Valores!$C$102,(Valores!$C$102+$F$5*(Valores!$C$102)))</f>
        <v>-3700</v>
      </c>
      <c r="AU56" s="125">
        <f t="shared" si="6"/>
        <v>427762.7735144999</v>
      </c>
      <c r="AV56" s="125">
        <f t="shared" si="4"/>
        <v>-58405.65041299998</v>
      </c>
      <c r="AW56" s="125">
        <f t="shared" si="10"/>
        <v>-10619.209165999997</v>
      </c>
      <c r="AX56" s="125">
        <f>AI56*Valores!$C$75</f>
        <v>-14335.932374099995</v>
      </c>
      <c r="AY56" s="125">
        <f>AI56*Valores!$C$76</f>
        <v>-1592.8813748999994</v>
      </c>
      <c r="AZ56" s="125">
        <f t="shared" si="5"/>
        <v>446006.7849719998</v>
      </c>
      <c r="BA56" s="125">
        <f>AI56*Valores!$C$78</f>
        <v>84953.67332799998</v>
      </c>
      <c r="BB56" s="125">
        <f>AI56*Valores!$C$79</f>
        <v>37167.232080999995</v>
      </c>
      <c r="BC56" s="125">
        <f>AI56*Valores!$C$80</f>
        <v>5309.6045829999985</v>
      </c>
      <c r="BD56" s="125">
        <f>AI56*Valores!$C$82</f>
        <v>18583.616040499997</v>
      </c>
      <c r="BE56" s="125">
        <f>AI56*Valores!$C$84</f>
        <v>28671.86474819999</v>
      </c>
      <c r="BF56" s="125">
        <f>AI56*Valores!$C$83</f>
        <v>3185.762749799999</v>
      </c>
      <c r="BG56" s="126"/>
      <c r="BH56" s="126">
        <v>25</v>
      </c>
      <c r="BI56" s="123" t="s">
        <v>4</v>
      </c>
    </row>
    <row r="57" spans="1:61" s="110" customFormat="1" ht="11.25" customHeight="1">
      <c r="A57" s="123" t="s">
        <v>206</v>
      </c>
      <c r="B57" s="123">
        <v>1</v>
      </c>
      <c r="C57" s="126">
        <v>50</v>
      </c>
      <c r="D57" s="124" t="s">
        <v>207</v>
      </c>
      <c r="E57" s="192">
        <v>93</v>
      </c>
      <c r="F57" s="125">
        <f>ROUND(E57*Valores!$C$2,2)</f>
        <v>5479.59</v>
      </c>
      <c r="G57" s="192">
        <v>2547</v>
      </c>
      <c r="H57" s="125">
        <f>ROUND(G57*Valores!$C$2,2)</f>
        <v>150070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51416.86</v>
      </c>
      <c r="N57" s="125">
        <f t="shared" si="0"/>
        <v>0</v>
      </c>
      <c r="O57" s="125">
        <f>Valores!$C$9</f>
        <v>74035.73</v>
      </c>
      <c r="P57" s="125">
        <f>Valores!$D$5</f>
        <v>30120.06</v>
      </c>
      <c r="Q57" s="125">
        <f>Valores!$C$22</f>
        <v>26870.16</v>
      </c>
      <c r="R57" s="125">
        <f>IF($F$4="NO",Valores!$C$45,Valores!$C$45/2)</f>
        <v>22092.48</v>
      </c>
      <c r="S57" s="125">
        <f>Valores!$C$19</f>
        <v>28025.371999999996</v>
      </c>
      <c r="T57" s="125">
        <f t="shared" si="7"/>
        <v>28025.37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Valores!$C$96</f>
        <v>49491.35</v>
      </c>
      <c r="AA57" s="125">
        <f>Valores!$C$25</f>
        <v>1231.85</v>
      </c>
      <c r="AB57" s="214">
        <v>0</v>
      </c>
      <c r="AC57" s="125">
        <f t="shared" si="1"/>
        <v>0</v>
      </c>
      <c r="AD57" s="125">
        <f>Valores!$C$26</f>
        <v>1231.85</v>
      </c>
      <c r="AE57" s="192">
        <v>0</v>
      </c>
      <c r="AF57" s="125">
        <f>ROUND(AE57*Valores!$C$2,2)</f>
        <v>0</v>
      </c>
      <c r="AG57" s="125">
        <f>SUM(F57,H57,J57,L57,M57,N57,O57,P57,Q57,R57,T57,U57,V57,X57,Y57,Z57,AA57,AC57,AD57,AF57,AH57)*Valores!$C$69</f>
        <v>58585.16036999998</v>
      </c>
      <c r="AH57" s="125">
        <f>ROUND(IF($F$4="NO",Valores!$C$63,Valores!$C$63/2),2)</f>
        <v>14083.23</v>
      </c>
      <c r="AI57" s="125">
        <f t="shared" si="2"/>
        <v>512733.69036999985</v>
      </c>
      <c r="AJ57" s="125">
        <f>Valores!$C$31</f>
        <v>0</v>
      </c>
      <c r="AK57" s="125">
        <f>Valores!$C$89</f>
        <v>0</v>
      </c>
      <c r="AL57" s="125">
        <f>Valores!C$38*B57</f>
        <v>0</v>
      </c>
      <c r="AM57" s="125">
        <f>IF($F$3="NO",0,Valores!$C$56)</f>
        <v>0</v>
      </c>
      <c r="AN57" s="125">
        <f t="shared" si="3"/>
        <v>0</v>
      </c>
      <c r="AO57" s="125">
        <f>AI57*Valores!$C$71</f>
        <v>-56400.70594069998</v>
      </c>
      <c r="AP57" s="125">
        <f>AI57*Valores!$C$72</f>
        <v>-10254.673807399997</v>
      </c>
      <c r="AQ57" s="125">
        <f>AI57*-Valores!$C$73</f>
        <v>0</v>
      </c>
      <c r="AR57" s="125">
        <f>AI57*Valores!$C$74</f>
        <v>-28200.35297034999</v>
      </c>
      <c r="AS57" s="125">
        <f>Valores!$C$101</f>
        <v>-1270</v>
      </c>
      <c r="AT57" s="125">
        <f>IF($F$5=0,Valores!$C$102,(Valores!$C$102+$F$5*(Valores!$C$102)))</f>
        <v>-3700</v>
      </c>
      <c r="AU57" s="125">
        <f t="shared" si="6"/>
        <v>412907.9576515499</v>
      </c>
      <c r="AV57" s="125">
        <f t="shared" si="4"/>
        <v>-56400.70594069998</v>
      </c>
      <c r="AW57" s="125">
        <f t="shared" si="10"/>
        <v>-10254.673807399997</v>
      </c>
      <c r="AX57" s="125">
        <f>AI57*Valores!$C$75</f>
        <v>-13843.809639989995</v>
      </c>
      <c r="AY57" s="125">
        <f>AI57*Valores!$C$76</f>
        <v>-1538.2010711099995</v>
      </c>
      <c r="AZ57" s="125">
        <f t="shared" si="5"/>
        <v>430696.2999107999</v>
      </c>
      <c r="BA57" s="125">
        <f>AI57*Valores!$C$78</f>
        <v>82037.39045919997</v>
      </c>
      <c r="BB57" s="125">
        <f>AI57*Valores!$C$79</f>
        <v>35891.35832589999</v>
      </c>
      <c r="BC57" s="125">
        <f>AI57*Valores!$C$80</f>
        <v>5127.336903699998</v>
      </c>
      <c r="BD57" s="125">
        <f>AI57*Valores!$C$82</f>
        <v>17945.679162949997</v>
      </c>
      <c r="BE57" s="125">
        <f>AI57*Valores!$C$84</f>
        <v>27687.61927997999</v>
      </c>
      <c r="BF57" s="125">
        <f>AI57*Valores!$C$83</f>
        <v>3076.402142219999</v>
      </c>
      <c r="BG57" s="126"/>
      <c r="BH57" s="126">
        <v>30</v>
      </c>
      <c r="BI57" s="123" t="s">
        <v>4</v>
      </c>
    </row>
    <row r="58" spans="1:61" s="110" customFormat="1" ht="11.25" customHeight="1">
      <c r="A58" s="123" t="s">
        <v>208</v>
      </c>
      <c r="B58" s="123">
        <v>1</v>
      </c>
      <c r="C58" s="126">
        <v>51</v>
      </c>
      <c r="D58" s="124" t="s">
        <v>209</v>
      </c>
      <c r="E58" s="192">
        <v>89</v>
      </c>
      <c r="F58" s="125">
        <f>ROUND(E58*Valores!$C$2,2)</f>
        <v>5243.91</v>
      </c>
      <c r="G58" s="192">
        <v>2551</v>
      </c>
      <c r="H58" s="125">
        <f>ROUND(G58*Valores!$C$2,2)</f>
        <v>150305.69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51416.86</v>
      </c>
      <c r="N58" s="125">
        <f t="shared" si="0"/>
        <v>0</v>
      </c>
      <c r="O58" s="125">
        <f>Valores!$C$9</f>
        <v>74035.73</v>
      </c>
      <c r="P58" s="125">
        <f>Valores!$D$5</f>
        <v>30120.06</v>
      </c>
      <c r="Q58" s="125">
        <f>Valores!$C$22</f>
        <v>26870.16</v>
      </c>
      <c r="R58" s="125">
        <f>IF($F$4="NO",Valores!$C$45,Valores!$C$45/2)</f>
        <v>22092.48</v>
      </c>
      <c r="S58" s="125">
        <f>Valores!$C$19</f>
        <v>28025.371999999996</v>
      </c>
      <c r="T58" s="125">
        <f t="shared" si="7"/>
        <v>28025.37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Valores!$C$96</f>
        <v>49491.35</v>
      </c>
      <c r="AA58" s="125">
        <f>Valores!$C$25</f>
        <v>1231.85</v>
      </c>
      <c r="AB58" s="214">
        <v>0</v>
      </c>
      <c r="AC58" s="125">
        <f t="shared" si="1"/>
        <v>0</v>
      </c>
      <c r="AD58" s="125">
        <f>Valores!$C$26</f>
        <v>1231.85</v>
      </c>
      <c r="AE58" s="192">
        <v>94</v>
      </c>
      <c r="AF58" s="125">
        <f>ROUND(AE58*Valores!$C$2,2)</f>
        <v>5538.51</v>
      </c>
      <c r="AG58" s="125">
        <f>SUM(F58,H58,J58,L58,M58,N58,O58,P58,Q58,R58,T58,U58,V58,X58,Y58,Z58,AA58,AC58,AD58,AF58,AH58)*Valores!$C$69</f>
        <v>59299.629449999986</v>
      </c>
      <c r="AH58" s="125">
        <f>ROUND(IF($F$4="NO",Valores!$C$63,Valores!$C$63/2),2)</f>
        <v>14083.23</v>
      </c>
      <c r="AI58" s="125">
        <f t="shared" si="2"/>
        <v>518986.6794499999</v>
      </c>
      <c r="AJ58" s="125">
        <f>Valores!$C$31</f>
        <v>0</v>
      </c>
      <c r="AK58" s="125">
        <f>Valores!$C$89</f>
        <v>0</v>
      </c>
      <c r="AL58" s="125">
        <f>Valores!C$38*B58</f>
        <v>0</v>
      </c>
      <c r="AM58" s="125">
        <f>IF($F$3="NO",0,Valores!$C$56)</f>
        <v>0</v>
      </c>
      <c r="AN58" s="125">
        <f t="shared" si="3"/>
        <v>0</v>
      </c>
      <c r="AO58" s="125">
        <f>AI58*Valores!$C$71</f>
        <v>-57088.534739499984</v>
      </c>
      <c r="AP58" s="125">
        <f>AI58*Valores!$C$72</f>
        <v>-10379.733588999998</v>
      </c>
      <c r="AQ58" s="125">
        <f>AI58*-Valores!$C$73</f>
        <v>0</v>
      </c>
      <c r="AR58" s="125">
        <f>AI58*Valores!$C$74</f>
        <v>-28544.267369749992</v>
      </c>
      <c r="AS58" s="125">
        <f>Valores!$C$101</f>
        <v>-1270</v>
      </c>
      <c r="AT58" s="125">
        <f>IF($F$5=0,Valores!$C$102,(Valores!$C$102+$F$5*(Valores!$C$102)))</f>
        <v>-3700</v>
      </c>
      <c r="AU58" s="125">
        <f t="shared" si="6"/>
        <v>418004.1437517499</v>
      </c>
      <c r="AV58" s="125">
        <f t="shared" si="4"/>
        <v>-57088.534739499984</v>
      </c>
      <c r="AW58" s="125">
        <f t="shared" si="10"/>
        <v>-10379.733588999998</v>
      </c>
      <c r="AX58" s="125">
        <f>AI58*Valores!$C$75</f>
        <v>-14012.640345149997</v>
      </c>
      <c r="AY58" s="125">
        <f>AI58*Valores!$C$76</f>
        <v>-1556.9600383499996</v>
      </c>
      <c r="AZ58" s="125">
        <f t="shared" si="5"/>
        <v>435948.8107379999</v>
      </c>
      <c r="BA58" s="125">
        <f>AI58*Valores!$C$78</f>
        <v>83037.86871199998</v>
      </c>
      <c r="BB58" s="125">
        <f>AI58*Valores!$C$79</f>
        <v>36329.06756149999</v>
      </c>
      <c r="BC58" s="125">
        <f>AI58*Valores!$C$80</f>
        <v>5189.866794499999</v>
      </c>
      <c r="BD58" s="125">
        <f>AI58*Valores!$C$82</f>
        <v>18164.533780749996</v>
      </c>
      <c r="BE58" s="125">
        <f>AI58*Valores!$C$84</f>
        <v>28025.280690299995</v>
      </c>
      <c r="BF58" s="125">
        <f>AI58*Valores!$C$83</f>
        <v>3113.9200766999993</v>
      </c>
      <c r="BG58" s="126"/>
      <c r="BH58" s="126">
        <v>25</v>
      </c>
      <c r="BI58" s="123" t="s">
        <v>4</v>
      </c>
    </row>
    <row r="59" spans="1:61" s="110" customFormat="1" ht="11.25" customHeight="1">
      <c r="A59" s="123" t="s">
        <v>210</v>
      </c>
      <c r="B59" s="123">
        <v>1</v>
      </c>
      <c r="C59" s="126">
        <v>52</v>
      </c>
      <c r="D59" s="124" t="s">
        <v>211</v>
      </c>
      <c r="E59" s="192">
        <v>89</v>
      </c>
      <c r="F59" s="125">
        <f>ROUND(E59*Valores!$C$2,2)</f>
        <v>5243.91</v>
      </c>
      <c r="G59" s="192">
        <v>2251</v>
      </c>
      <c r="H59" s="125">
        <f>ROUND(G59*Valores!$C$2,2)</f>
        <v>132629.6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46997.84</v>
      </c>
      <c r="N59" s="125">
        <f t="shared" si="0"/>
        <v>0</v>
      </c>
      <c r="O59" s="125">
        <f>Valores!$C$9</f>
        <v>74035.73</v>
      </c>
      <c r="P59" s="125">
        <f>Valores!$D$5</f>
        <v>30120.06</v>
      </c>
      <c r="Q59" s="125">
        <f>Valores!$C$22</f>
        <v>26870.16</v>
      </c>
      <c r="R59" s="125">
        <f>IF($F$4="NO",Valores!$C$45,Valores!$C$45/2)</f>
        <v>22092.48</v>
      </c>
      <c r="S59" s="125">
        <f>Valores!$C$19</f>
        <v>28025.371999999996</v>
      </c>
      <c r="T59" s="125">
        <f t="shared" si="7"/>
        <v>28025.37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Valores!$C$96</f>
        <v>49491.35</v>
      </c>
      <c r="AA59" s="125">
        <f>Valores!$C$25</f>
        <v>1231.85</v>
      </c>
      <c r="AB59" s="214">
        <v>0</v>
      </c>
      <c r="AC59" s="125">
        <f t="shared" si="1"/>
        <v>0</v>
      </c>
      <c r="AD59" s="125">
        <f>Valores!$C$26</f>
        <v>1231.85</v>
      </c>
      <c r="AE59" s="192">
        <v>0</v>
      </c>
      <c r="AF59" s="125">
        <f>ROUND(AE59*Valores!$C$2,2)</f>
        <v>0</v>
      </c>
      <c r="AG59" s="125">
        <f>SUM(F59,H59,J59,L59,M59,N59,O59,P59,Q59,R59,T59,U59,V59,X59,Y59,Z59,AA59,AC59,AD59,AF59,AH59)*Valores!$C$69</f>
        <v>55734.892469999984</v>
      </c>
      <c r="AH59" s="125">
        <f>ROUND(IF($F$4="NO",Valores!$C$63,Valores!$C$63/2),2)</f>
        <v>14083.23</v>
      </c>
      <c r="AI59" s="125">
        <f t="shared" si="2"/>
        <v>487788.32246999984</v>
      </c>
      <c r="AJ59" s="125">
        <f>Valores!$C$31</f>
        <v>0</v>
      </c>
      <c r="AK59" s="125">
        <f>Valores!$C$89</f>
        <v>0</v>
      </c>
      <c r="AL59" s="125">
        <f>Valores!C$38*B59</f>
        <v>0</v>
      </c>
      <c r="AM59" s="125">
        <f>IF($F$3="NO",0,Valores!$C$56)</f>
        <v>0</v>
      </c>
      <c r="AN59" s="125">
        <f t="shared" si="3"/>
        <v>0</v>
      </c>
      <c r="AO59" s="125">
        <f>AI59*Valores!$C$71</f>
        <v>-53656.71547169998</v>
      </c>
      <c r="AP59" s="125">
        <f>AI59*Valores!$C$72</f>
        <v>-9755.766449399996</v>
      </c>
      <c r="AQ59" s="125">
        <f>AI59*-Valores!$C$73</f>
        <v>0</v>
      </c>
      <c r="AR59" s="125">
        <f>AI59*Valores!$C$74</f>
        <v>-26828.35773584999</v>
      </c>
      <c r="AS59" s="125">
        <f>Valores!$C$101</f>
        <v>-1270</v>
      </c>
      <c r="AT59" s="125">
        <f>IF($F$5=0,Valores!$C$102,(Valores!$C$102+$F$5*(Valores!$C$102)))</f>
        <v>-3700</v>
      </c>
      <c r="AU59" s="125">
        <f t="shared" si="6"/>
        <v>392577.48281304986</v>
      </c>
      <c r="AV59" s="125">
        <f t="shared" si="4"/>
        <v>-53656.71547169998</v>
      </c>
      <c r="AW59" s="125">
        <f t="shared" si="10"/>
        <v>-9755.766449399996</v>
      </c>
      <c r="AX59" s="125">
        <f>AI59*Valores!$C$75</f>
        <v>-13170.284706689996</v>
      </c>
      <c r="AY59" s="125">
        <f>AI59*Valores!$C$76</f>
        <v>-1463.3649674099995</v>
      </c>
      <c r="AZ59" s="125">
        <f t="shared" si="5"/>
        <v>409742.19087479985</v>
      </c>
      <c r="BA59" s="125">
        <f>AI59*Valores!$C$78</f>
        <v>78046.13159519997</v>
      </c>
      <c r="BB59" s="125">
        <f>AI59*Valores!$C$79</f>
        <v>34145.18257289999</v>
      </c>
      <c r="BC59" s="125">
        <f>AI59*Valores!$C$80</f>
        <v>4877.883224699998</v>
      </c>
      <c r="BD59" s="125">
        <f>AI59*Valores!$C$82</f>
        <v>17072.591286449995</v>
      </c>
      <c r="BE59" s="125">
        <f>AI59*Valores!$C$84</f>
        <v>26340.56941337999</v>
      </c>
      <c r="BF59" s="125">
        <f>AI59*Valores!$C$83</f>
        <v>2926.729934819999</v>
      </c>
      <c r="BG59" s="126"/>
      <c r="BH59" s="126">
        <v>30</v>
      </c>
      <c r="BI59" s="123" t="s">
        <v>4</v>
      </c>
    </row>
    <row r="60" spans="1:61" s="110" customFormat="1" ht="11.25" customHeight="1">
      <c r="A60" s="123" t="s">
        <v>212</v>
      </c>
      <c r="B60" s="123">
        <v>1</v>
      </c>
      <c r="C60" s="126">
        <v>53</v>
      </c>
      <c r="D60" s="124" t="s">
        <v>213</v>
      </c>
      <c r="E60" s="192">
        <v>85</v>
      </c>
      <c r="F60" s="125">
        <f>ROUND(E60*Valores!$C$2,2)</f>
        <v>5008.23</v>
      </c>
      <c r="G60" s="192">
        <v>2255</v>
      </c>
      <c r="H60" s="125">
        <f>ROUND(G60*Valores!$C$2,2)</f>
        <v>132865.28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46997.84</v>
      </c>
      <c r="N60" s="125">
        <f t="shared" si="0"/>
        <v>0</v>
      </c>
      <c r="O60" s="125">
        <f>Valores!$C$9</f>
        <v>74035.73</v>
      </c>
      <c r="P60" s="125">
        <f>Valores!$D$5</f>
        <v>30120.06</v>
      </c>
      <c r="Q60" s="125">
        <f>Valores!$C$22</f>
        <v>26870.16</v>
      </c>
      <c r="R60" s="125">
        <f>IF($F$4="NO",Valores!$C$45,Valores!$C$45/2)</f>
        <v>22092.48</v>
      </c>
      <c r="S60" s="125">
        <f>Valores!$C$19</f>
        <v>28025.371999999996</v>
      </c>
      <c r="T60" s="125">
        <f t="shared" si="7"/>
        <v>28025.37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Valores!$C$96</f>
        <v>49491.35</v>
      </c>
      <c r="AA60" s="125">
        <f>Valores!$C$25</f>
        <v>1231.85</v>
      </c>
      <c r="AB60" s="214">
        <v>0</v>
      </c>
      <c r="AC60" s="125">
        <f t="shared" si="1"/>
        <v>0</v>
      </c>
      <c r="AD60" s="125">
        <f>Valores!$C$26</f>
        <v>1231.85</v>
      </c>
      <c r="AE60" s="192">
        <v>94</v>
      </c>
      <c r="AF60" s="125">
        <f>ROUND(AE60*Valores!$C$2,2)</f>
        <v>5538.51</v>
      </c>
      <c r="AG60" s="125">
        <f>SUM(F60,H60,J60,L60,M60,N60,O60,P60,Q60,R60,T60,U60,V60,X60,Y60,Z60,AA60,AC60,AD60,AF60,AH60)*Valores!$C$69</f>
        <v>56449.36025999999</v>
      </c>
      <c r="AH60" s="125">
        <f>ROUND(IF($F$4="NO",Valores!$C$63,Valores!$C$63/2),2)</f>
        <v>14083.23</v>
      </c>
      <c r="AI60" s="125">
        <f t="shared" si="2"/>
        <v>494041.3002599999</v>
      </c>
      <c r="AJ60" s="125">
        <f>Valores!$C$31</f>
        <v>0</v>
      </c>
      <c r="AK60" s="125">
        <f>Valores!$C$89</f>
        <v>0</v>
      </c>
      <c r="AL60" s="125">
        <f>Valores!C$38*B60</f>
        <v>0</v>
      </c>
      <c r="AM60" s="125">
        <f>IF($F$3="NO",0,Valores!$C$56)</f>
        <v>0</v>
      </c>
      <c r="AN60" s="125">
        <f t="shared" si="3"/>
        <v>0</v>
      </c>
      <c r="AO60" s="125">
        <f>AI60*Valores!$C$71</f>
        <v>-54344.54302859998</v>
      </c>
      <c r="AP60" s="125">
        <f>AI60*Valores!$C$72</f>
        <v>-9880.826005199997</v>
      </c>
      <c r="AQ60" s="125">
        <f>AI60*-Valores!$C$73</f>
        <v>0</v>
      </c>
      <c r="AR60" s="125">
        <f>AI60*Valores!$C$74</f>
        <v>-27172.27151429999</v>
      </c>
      <c r="AS60" s="125">
        <f>Valores!$C$101</f>
        <v>-1270</v>
      </c>
      <c r="AT60" s="125">
        <f>IF($F$5=0,Valores!$C$102,(Valores!$C$102+$F$5*(Valores!$C$102)))</f>
        <v>-3700</v>
      </c>
      <c r="AU60" s="125">
        <f t="shared" si="6"/>
        <v>397673.65971189993</v>
      </c>
      <c r="AV60" s="125">
        <f t="shared" si="4"/>
        <v>-54344.54302859998</v>
      </c>
      <c r="AW60" s="125">
        <f t="shared" si="10"/>
        <v>-9880.826005199997</v>
      </c>
      <c r="AX60" s="125">
        <f>AI60*Valores!$C$75</f>
        <v>-13339.115107019996</v>
      </c>
      <c r="AY60" s="125">
        <f>AI60*Valores!$C$76</f>
        <v>-1482.1239007799998</v>
      </c>
      <c r="AZ60" s="125">
        <f t="shared" si="5"/>
        <v>414994.6922183999</v>
      </c>
      <c r="BA60" s="125">
        <f>AI60*Valores!$C$78</f>
        <v>79046.60804159997</v>
      </c>
      <c r="BB60" s="125">
        <f>AI60*Valores!$C$79</f>
        <v>34582.891018199996</v>
      </c>
      <c r="BC60" s="125">
        <f>AI60*Valores!$C$80</f>
        <v>4940.413002599998</v>
      </c>
      <c r="BD60" s="125">
        <f>AI60*Valores!$C$82</f>
        <v>17291.445509099998</v>
      </c>
      <c r="BE60" s="125">
        <f>AI60*Valores!$C$84</f>
        <v>26678.23021403999</v>
      </c>
      <c r="BF60" s="125">
        <f>AI60*Valores!$C$83</f>
        <v>2964.2478015599995</v>
      </c>
      <c r="BG60" s="126"/>
      <c r="BH60" s="126">
        <v>25</v>
      </c>
      <c r="BI60" s="123" t="s">
        <v>4</v>
      </c>
    </row>
    <row r="61" spans="1:61" s="110" customFormat="1" ht="11.25" customHeight="1">
      <c r="A61" s="123" t="s">
        <v>214</v>
      </c>
      <c r="B61" s="123">
        <v>1</v>
      </c>
      <c r="C61" s="126">
        <v>54</v>
      </c>
      <c r="D61" s="124" t="s">
        <v>215</v>
      </c>
      <c r="E61" s="192">
        <v>100</v>
      </c>
      <c r="F61" s="125">
        <f>ROUND(E61*Valores!$C$2,2)</f>
        <v>5892.03</v>
      </c>
      <c r="G61" s="192">
        <v>3180</v>
      </c>
      <c r="H61" s="125">
        <f>ROUND(G61*Valores!$C$2,2)</f>
        <v>187366.55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62022.66</v>
      </c>
      <c r="N61" s="125">
        <f t="shared" si="0"/>
        <v>0</v>
      </c>
      <c r="O61" s="125">
        <f>Valores!$C$9</f>
        <v>74035.73</v>
      </c>
      <c r="P61" s="125">
        <f>Valores!$D$5</f>
        <v>30120.06</v>
      </c>
      <c r="Q61" s="125">
        <f>Valores!$C$22</f>
        <v>26870.16</v>
      </c>
      <c r="R61" s="125">
        <f>IF($F$4="NO",Valores!$C$48,Valores!$C$48/2)</f>
        <v>26806.69</v>
      </c>
      <c r="S61" s="125">
        <f>Valores!$C$19</f>
        <v>28025.371999999996</v>
      </c>
      <c r="T61" s="125">
        <f t="shared" si="7"/>
        <v>28025.37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Valores!$C$96</f>
        <v>49491.35</v>
      </c>
      <c r="AA61" s="125">
        <f>Valores!$C$25</f>
        <v>1231.85</v>
      </c>
      <c r="AB61" s="214">
        <v>0</v>
      </c>
      <c r="AC61" s="125">
        <f t="shared" si="1"/>
        <v>0</v>
      </c>
      <c r="AD61" s="125">
        <f>Valores!$C$26</f>
        <v>1231.85</v>
      </c>
      <c r="AE61" s="192">
        <v>0</v>
      </c>
      <c r="AF61" s="125">
        <f>ROUND(AE61*Valores!$C$2,2)</f>
        <v>0</v>
      </c>
      <c r="AG61" s="125">
        <f>SUM(F61,H61,J61,L61,M61,N61,O61,P61,Q61,R61,T61,U61,V61,X61,Y61,Z61,AA61,AC61,AD61,AF61,AH61)*Valores!$C$69</f>
        <v>65425.901369999985</v>
      </c>
      <c r="AH61" s="125">
        <f>ROUND(IF($F$4="NO",Valores!$C$63,Valores!$C$63/2),2)</f>
        <v>14083.23</v>
      </c>
      <c r="AI61" s="125">
        <f t="shared" si="2"/>
        <v>572603.4313699999</v>
      </c>
      <c r="AJ61" s="125">
        <f>Valores!$C$31</f>
        <v>0</v>
      </c>
      <c r="AK61" s="125">
        <f>Valores!$C$89</f>
        <v>0</v>
      </c>
      <c r="AL61" s="125">
        <f>Valores!C$38*B61</f>
        <v>0</v>
      </c>
      <c r="AM61" s="125">
        <f>IF($F$3="NO",0,Valores!$C$56)</f>
        <v>0</v>
      </c>
      <c r="AN61" s="125">
        <f t="shared" si="3"/>
        <v>0</v>
      </c>
      <c r="AO61" s="125">
        <f>AI61*Valores!$C$71</f>
        <v>-62986.37745069999</v>
      </c>
      <c r="AP61" s="125">
        <f>AI61*Valores!$C$72</f>
        <v>-11452.068627399998</v>
      </c>
      <c r="AQ61" s="125">
        <f>AI61*-Valores!$C$73</f>
        <v>0</v>
      </c>
      <c r="AR61" s="125">
        <f>AI61*Valores!$C$74</f>
        <v>-31493.188725349995</v>
      </c>
      <c r="AS61" s="125">
        <f>Valores!$C$101</f>
        <v>-1270</v>
      </c>
      <c r="AT61" s="125">
        <f>IF($F$5=0,Valores!$C$102,(Valores!$C$102+$F$5*(Valores!$C$102)))</f>
        <v>-3700</v>
      </c>
      <c r="AU61" s="125">
        <f t="shared" si="6"/>
        <v>461701.7965665499</v>
      </c>
      <c r="AV61" s="125">
        <f t="shared" si="4"/>
        <v>-62986.37745069999</v>
      </c>
      <c r="AW61" s="125">
        <f t="shared" si="10"/>
        <v>-11452.068627399998</v>
      </c>
      <c r="AX61" s="125">
        <f>AI61*Valores!$C$75</f>
        <v>-15460.292646989998</v>
      </c>
      <c r="AY61" s="125">
        <f>AI61*Valores!$C$76</f>
        <v>-1717.8102941099996</v>
      </c>
      <c r="AZ61" s="125">
        <f t="shared" si="5"/>
        <v>480986.8823507999</v>
      </c>
      <c r="BA61" s="125">
        <f>AI61*Valores!$C$78</f>
        <v>91616.54901919999</v>
      </c>
      <c r="BB61" s="125">
        <f>AI61*Valores!$C$79</f>
        <v>40082.2401959</v>
      </c>
      <c r="BC61" s="125">
        <f>AI61*Valores!$C$80</f>
        <v>5726.034313699999</v>
      </c>
      <c r="BD61" s="125">
        <f>AI61*Valores!$C$82</f>
        <v>20041.12009795</v>
      </c>
      <c r="BE61" s="125">
        <f>AI61*Valores!$C$84</f>
        <v>30920.585293979995</v>
      </c>
      <c r="BF61" s="125">
        <f>AI61*Valores!$C$83</f>
        <v>3435.6205882199993</v>
      </c>
      <c r="BG61" s="126"/>
      <c r="BH61" s="126"/>
      <c r="BI61" s="123" t="s">
        <v>4</v>
      </c>
    </row>
    <row r="62" spans="1:61" s="110" customFormat="1" ht="11.25" customHeight="1">
      <c r="A62" s="123" t="s">
        <v>216</v>
      </c>
      <c r="B62" s="123">
        <v>1</v>
      </c>
      <c r="C62" s="126">
        <v>55</v>
      </c>
      <c r="D62" s="124" t="s">
        <v>217</v>
      </c>
      <c r="E62" s="192">
        <v>83</v>
      </c>
      <c r="F62" s="125">
        <f>ROUND(E62*Valores!$C$2,2)</f>
        <v>4890.38</v>
      </c>
      <c r="G62" s="192">
        <v>2352</v>
      </c>
      <c r="H62" s="125">
        <f>ROUND(G62*Valores!$C$2,2)</f>
        <v>138580.55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48397.2</v>
      </c>
      <c r="N62" s="125">
        <f t="shared" si="0"/>
        <v>0</v>
      </c>
      <c r="O62" s="125">
        <f>Valores!$C$9</f>
        <v>74035.73</v>
      </c>
      <c r="P62" s="125">
        <f>Valores!$D$5</f>
        <v>30120.06</v>
      </c>
      <c r="Q62" s="125">
        <f>Valores!$C$22</f>
        <v>26870.16</v>
      </c>
      <c r="R62" s="125">
        <f>IF($F$4="NO",Valores!$C$45,Valores!$C$45/2)</f>
        <v>22092.48</v>
      </c>
      <c r="S62" s="125">
        <f>Valores!$C$19</f>
        <v>28025.371999999996</v>
      </c>
      <c r="T62" s="125">
        <f t="shared" si="7"/>
        <v>28025.37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Valores!$C$96</f>
        <v>49491.35</v>
      </c>
      <c r="AA62" s="125">
        <f>Valores!$C$25</f>
        <v>1231.85</v>
      </c>
      <c r="AB62" s="214">
        <v>0</v>
      </c>
      <c r="AC62" s="125">
        <f t="shared" si="1"/>
        <v>0</v>
      </c>
      <c r="AD62" s="125">
        <f>Valores!$C$26</f>
        <v>1231.85</v>
      </c>
      <c r="AE62" s="192">
        <v>0</v>
      </c>
      <c r="AF62" s="125">
        <f>ROUND(AE62*Valores!$C$2,2)</f>
        <v>0</v>
      </c>
      <c r="AG62" s="125">
        <f>SUM(F62,H62,J62,L62,M62,N62,O62,P62,Q62,R62,T62,U62,V62,X62,Y62,Z62,AA62,AC62,AD62,AF62,AH62)*Valores!$C$69</f>
        <v>56637.47708999998</v>
      </c>
      <c r="AH62" s="125">
        <f>ROUND(IF($F$4="NO",Valores!$C$63,Valores!$C$63/2),2)</f>
        <v>14083.23</v>
      </c>
      <c r="AI62" s="125">
        <f t="shared" si="2"/>
        <v>495687.68708999985</v>
      </c>
      <c r="AJ62" s="125">
        <f>Valores!$C$31</f>
        <v>0</v>
      </c>
      <c r="AK62" s="125">
        <f>Valores!$C$89</f>
        <v>0</v>
      </c>
      <c r="AL62" s="125">
        <f>Valores!C$38*B62</f>
        <v>0</v>
      </c>
      <c r="AM62" s="125">
        <f>IF($F$3="NO",0,Valores!$C$56)</f>
        <v>0</v>
      </c>
      <c r="AN62" s="125">
        <f t="shared" si="3"/>
        <v>0</v>
      </c>
      <c r="AO62" s="125">
        <f>AI62*Valores!$C$71</f>
        <v>-54525.64557989998</v>
      </c>
      <c r="AP62" s="125">
        <f>AI62*Valores!$C$72</f>
        <v>-9913.753741799997</v>
      </c>
      <c r="AQ62" s="125">
        <f>AI62*-Valores!$C$73</f>
        <v>0</v>
      </c>
      <c r="AR62" s="125">
        <f>AI62*Valores!$C$74</f>
        <v>-27262.82278994999</v>
      </c>
      <c r="AS62" s="125">
        <f>Valores!$C$101</f>
        <v>-1270</v>
      </c>
      <c r="AT62" s="125">
        <f>IF($F$5=0,Valores!$C$102,(Valores!$C$102+$F$5*(Valores!$C$102)))</f>
        <v>-3700</v>
      </c>
      <c r="AU62" s="125">
        <f t="shared" si="6"/>
        <v>399015.46497834986</v>
      </c>
      <c r="AV62" s="125">
        <f t="shared" si="4"/>
        <v>-54525.64557989998</v>
      </c>
      <c r="AW62" s="125">
        <f t="shared" si="10"/>
        <v>-9913.753741799997</v>
      </c>
      <c r="AX62" s="125">
        <f>AI62*Valores!$C$75</f>
        <v>-13383.567551429996</v>
      </c>
      <c r="AY62" s="125">
        <f>AI62*Valores!$C$76</f>
        <v>-1487.0630612699995</v>
      </c>
      <c r="AZ62" s="125">
        <f t="shared" si="5"/>
        <v>416377.65715559985</v>
      </c>
      <c r="BA62" s="125">
        <f>AI62*Valores!$C$78</f>
        <v>79310.02993439998</v>
      </c>
      <c r="BB62" s="125">
        <f>AI62*Valores!$C$79</f>
        <v>34698.13809629999</v>
      </c>
      <c r="BC62" s="125">
        <f>AI62*Valores!$C$80</f>
        <v>4956.876870899999</v>
      </c>
      <c r="BD62" s="125">
        <f>AI62*Valores!$C$82</f>
        <v>17349.069048149995</v>
      </c>
      <c r="BE62" s="125">
        <f>AI62*Valores!$C$84</f>
        <v>26767.135102859993</v>
      </c>
      <c r="BF62" s="125">
        <f>AI62*Valores!$C$83</f>
        <v>2974.126122539999</v>
      </c>
      <c r="BG62" s="126"/>
      <c r="BH62" s="126">
        <v>30</v>
      </c>
      <c r="BI62" s="123" t="s">
        <v>4</v>
      </c>
    </row>
    <row r="63" spans="1:61" s="110" customFormat="1" ht="11.25" customHeight="1">
      <c r="A63" s="123" t="s">
        <v>218</v>
      </c>
      <c r="B63" s="123">
        <v>1</v>
      </c>
      <c r="C63" s="126">
        <v>56</v>
      </c>
      <c r="D63" s="124" t="s">
        <v>219</v>
      </c>
      <c r="E63" s="192">
        <v>81</v>
      </c>
      <c r="F63" s="125">
        <f>ROUND(E63*Valores!$C$2,2)</f>
        <v>4772.54</v>
      </c>
      <c r="G63" s="192">
        <v>2354</v>
      </c>
      <c r="H63" s="125">
        <f>ROUND(G63*Valores!$C$2,2)</f>
        <v>138698.39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48397.2</v>
      </c>
      <c r="N63" s="125">
        <f t="shared" si="0"/>
        <v>0</v>
      </c>
      <c r="O63" s="125">
        <f>Valores!$C$9</f>
        <v>74035.73</v>
      </c>
      <c r="P63" s="125">
        <f>Valores!$D$5</f>
        <v>30120.06</v>
      </c>
      <c r="Q63" s="125">
        <f>Valores!$C$22</f>
        <v>26870.16</v>
      </c>
      <c r="R63" s="125">
        <f>IF($F$4="NO",Valores!$C$45,Valores!$C$45/2)</f>
        <v>22092.48</v>
      </c>
      <c r="S63" s="125">
        <f>Valores!$C$19</f>
        <v>28025.371999999996</v>
      </c>
      <c r="T63" s="125">
        <f t="shared" si="7"/>
        <v>28025.37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Valores!$C$96</f>
        <v>49491.35</v>
      </c>
      <c r="AA63" s="125">
        <f>Valores!$C$25</f>
        <v>1231.85</v>
      </c>
      <c r="AB63" s="214">
        <v>0</v>
      </c>
      <c r="AC63" s="125">
        <f t="shared" si="1"/>
        <v>0</v>
      </c>
      <c r="AD63" s="125">
        <f>Valores!$C$26</f>
        <v>1231.85</v>
      </c>
      <c r="AE63" s="192">
        <v>94</v>
      </c>
      <c r="AF63" s="125">
        <f>ROUND(AE63*Valores!$C$2,2)</f>
        <v>5538.51</v>
      </c>
      <c r="AG63" s="125">
        <f>SUM(F63,H63,J63,L63,M63,N63,O63,P63,Q63,R63,T63,U63,V63,X63,Y63,Z63,AA63,AC63,AD63,AF63,AH63)*Valores!$C$69</f>
        <v>57351.94487999998</v>
      </c>
      <c r="AH63" s="125">
        <f>ROUND(IF($F$4="NO",Valores!$C$63,Valores!$C$63/2),2)</f>
        <v>14083.23</v>
      </c>
      <c r="AI63" s="125">
        <f t="shared" si="2"/>
        <v>501940.6648799998</v>
      </c>
      <c r="AJ63" s="125">
        <f>Valores!$C$31</f>
        <v>0</v>
      </c>
      <c r="AK63" s="125">
        <f>Valores!$C$89</f>
        <v>0</v>
      </c>
      <c r="AL63" s="125">
        <f>Valores!C$38*B63</f>
        <v>0</v>
      </c>
      <c r="AM63" s="125">
        <f>IF($F$3="NO",0,Valores!$C$56)</f>
        <v>0</v>
      </c>
      <c r="AN63" s="125">
        <f t="shared" si="3"/>
        <v>0</v>
      </c>
      <c r="AO63" s="125">
        <f>AI63*Valores!$C$71</f>
        <v>-55213.47313679998</v>
      </c>
      <c r="AP63" s="125">
        <f>AI63*Valores!$C$72</f>
        <v>-10038.813297599996</v>
      </c>
      <c r="AQ63" s="125">
        <f>AI63*-Valores!$C$73</f>
        <v>0</v>
      </c>
      <c r="AR63" s="125">
        <f>AI63*Valores!$C$74</f>
        <v>-27606.73656839999</v>
      </c>
      <c r="AS63" s="125">
        <f>Valores!$C$101</f>
        <v>-1270</v>
      </c>
      <c r="AT63" s="125">
        <f>IF($F$5=0,Valores!$C$102,(Valores!$C$102+$F$5*(Valores!$C$102)))</f>
        <v>-3700</v>
      </c>
      <c r="AU63" s="125">
        <f t="shared" si="6"/>
        <v>404111.6418771999</v>
      </c>
      <c r="AV63" s="125">
        <f t="shared" si="4"/>
        <v>-55213.47313679998</v>
      </c>
      <c r="AW63" s="125">
        <f t="shared" si="10"/>
        <v>-10038.813297599996</v>
      </c>
      <c r="AX63" s="125">
        <f>AI63*Valores!$C$75</f>
        <v>-13552.397951759995</v>
      </c>
      <c r="AY63" s="125">
        <f>AI63*Valores!$C$76</f>
        <v>-1505.8219946399995</v>
      </c>
      <c r="AZ63" s="125">
        <f t="shared" si="5"/>
        <v>421630.15849919984</v>
      </c>
      <c r="BA63" s="125">
        <f>AI63*Valores!$C$78</f>
        <v>80310.50638079997</v>
      </c>
      <c r="BB63" s="125">
        <f>AI63*Valores!$C$79</f>
        <v>35135.84654159999</v>
      </c>
      <c r="BC63" s="125">
        <f>AI63*Valores!$C$80</f>
        <v>5019.406648799998</v>
      </c>
      <c r="BD63" s="125">
        <f>AI63*Valores!$C$82</f>
        <v>17567.923270799994</v>
      </c>
      <c r="BE63" s="125">
        <f>AI63*Valores!$C$84</f>
        <v>27104.79590351999</v>
      </c>
      <c r="BF63" s="125">
        <f>AI63*Valores!$C$83</f>
        <v>3011.643989279999</v>
      </c>
      <c r="BG63" s="126"/>
      <c r="BH63" s="126">
        <v>25</v>
      </c>
      <c r="BI63" s="123" t="s">
        <v>4</v>
      </c>
    </row>
    <row r="64" spans="1:61" s="110" customFormat="1" ht="11.25" customHeight="1">
      <c r="A64" s="123" t="s">
        <v>220</v>
      </c>
      <c r="B64" s="123">
        <v>1</v>
      </c>
      <c r="C64" s="126">
        <v>57</v>
      </c>
      <c r="D64" s="124" t="s">
        <v>221</v>
      </c>
      <c r="E64" s="192">
        <v>81</v>
      </c>
      <c r="F64" s="125">
        <f>ROUND(E64*Valores!$C$2,2)</f>
        <v>4772.54</v>
      </c>
      <c r="G64" s="192">
        <v>2094</v>
      </c>
      <c r="H64" s="125">
        <f>ROUND(G64*Valores!$C$2,2)</f>
        <v>123379.11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44567.38</v>
      </c>
      <c r="N64" s="125">
        <f t="shared" si="0"/>
        <v>0</v>
      </c>
      <c r="O64" s="125">
        <f>Valores!$C$9</f>
        <v>74035.73</v>
      </c>
      <c r="P64" s="125">
        <f>Valores!$D$5</f>
        <v>30120.06</v>
      </c>
      <c r="Q64" s="125">
        <f>Valores!$C$22</f>
        <v>26870.16</v>
      </c>
      <c r="R64" s="125">
        <f>IF($F$4="NO",Valores!$C$45,Valores!$C$45/2)</f>
        <v>22092.48</v>
      </c>
      <c r="S64" s="125">
        <f>Valores!$C$19</f>
        <v>28025.371999999996</v>
      </c>
      <c r="T64" s="125">
        <f t="shared" si="7"/>
        <v>28025.37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Valores!$C$96</f>
        <v>49491.35</v>
      </c>
      <c r="AA64" s="125">
        <f>Valores!$C$25</f>
        <v>1231.85</v>
      </c>
      <c r="AB64" s="214">
        <v>0</v>
      </c>
      <c r="AC64" s="125">
        <f t="shared" si="1"/>
        <v>0</v>
      </c>
      <c r="AD64" s="125">
        <f>Valores!$C$26</f>
        <v>1231.85</v>
      </c>
      <c r="AE64" s="192">
        <v>0</v>
      </c>
      <c r="AF64" s="125">
        <f>ROUND(AE64*Valores!$C$2,2)</f>
        <v>0</v>
      </c>
      <c r="AG64" s="125">
        <f>SUM(F64,H64,J64,L64,M64,N64,O64,P64,Q64,R64,T64,U64,V64,X64,Y64,Z64,AA64,AC64,AD64,AF64,AH64)*Valores!$C$69</f>
        <v>54167.24318999999</v>
      </c>
      <c r="AH64" s="125">
        <f>ROUND(IF($F$4="NO",Valores!$C$63,Valores!$C$63/2),2)</f>
        <v>14083.23</v>
      </c>
      <c r="AI64" s="125">
        <f t="shared" si="2"/>
        <v>474068.3531899999</v>
      </c>
      <c r="AJ64" s="125">
        <f>Valores!$C$31</f>
        <v>0</v>
      </c>
      <c r="AK64" s="125">
        <f>Valores!$C$89</f>
        <v>0</v>
      </c>
      <c r="AL64" s="125">
        <f>Valores!C$38*B64</f>
        <v>0</v>
      </c>
      <c r="AM64" s="125">
        <f>IF($F$3="NO",0,Valores!$C$56)</f>
        <v>0</v>
      </c>
      <c r="AN64" s="125">
        <f t="shared" si="3"/>
        <v>0</v>
      </c>
      <c r="AO64" s="125">
        <f>AI64*Valores!$C$71</f>
        <v>-52147.518850899985</v>
      </c>
      <c r="AP64" s="125">
        <f>AI64*Valores!$C$72</f>
        <v>-9481.367063799999</v>
      </c>
      <c r="AQ64" s="125">
        <f>AI64*-Valores!$C$73</f>
        <v>0</v>
      </c>
      <c r="AR64" s="125">
        <f>AI64*Valores!$C$74</f>
        <v>-26073.759425449993</v>
      </c>
      <c r="AS64" s="125">
        <f>Valores!$C$101</f>
        <v>-1270</v>
      </c>
      <c r="AT64" s="125">
        <f>IF($F$5=0,Valores!$C$102,(Valores!$C$102+$F$5*(Valores!$C$102)))</f>
        <v>-3700</v>
      </c>
      <c r="AU64" s="125">
        <f t="shared" si="6"/>
        <v>381395.7078498499</v>
      </c>
      <c r="AV64" s="125">
        <f t="shared" si="4"/>
        <v>-52147.518850899985</v>
      </c>
      <c r="AW64" s="125">
        <f t="shared" si="10"/>
        <v>-9481.367063799999</v>
      </c>
      <c r="AX64" s="125">
        <f>AI64*Valores!$C$75</f>
        <v>-12799.845536129997</v>
      </c>
      <c r="AY64" s="125">
        <f>AI64*Valores!$C$76</f>
        <v>-1422.2050595699998</v>
      </c>
      <c r="AZ64" s="125">
        <f t="shared" si="5"/>
        <v>398217.4166795999</v>
      </c>
      <c r="BA64" s="125">
        <f>AI64*Valores!$C$78</f>
        <v>75850.93651039999</v>
      </c>
      <c r="BB64" s="125">
        <f>AI64*Valores!$C$79</f>
        <v>33184.78472329999</v>
      </c>
      <c r="BC64" s="125">
        <f>AI64*Valores!$C$80</f>
        <v>4740.683531899999</v>
      </c>
      <c r="BD64" s="125">
        <f>AI64*Valores!$C$82</f>
        <v>16592.392361649996</v>
      </c>
      <c r="BE64" s="125">
        <f>AI64*Valores!$C$84</f>
        <v>25599.691072259993</v>
      </c>
      <c r="BF64" s="125">
        <f>AI64*Valores!$C$83</f>
        <v>2844.4101191399996</v>
      </c>
      <c r="BG64" s="126"/>
      <c r="BH64" s="126">
        <v>30</v>
      </c>
      <c r="BI64" s="123" t="s">
        <v>4</v>
      </c>
    </row>
    <row r="65" spans="1:61" s="110" customFormat="1" ht="11.25" customHeight="1">
      <c r="A65" s="123" t="s">
        <v>222</v>
      </c>
      <c r="B65" s="123">
        <v>1</v>
      </c>
      <c r="C65" s="126">
        <v>58</v>
      </c>
      <c r="D65" s="124" t="s">
        <v>223</v>
      </c>
      <c r="E65" s="192">
        <v>80</v>
      </c>
      <c r="F65" s="125">
        <f>ROUND(E65*Valores!$C$2,2)</f>
        <v>4713.62</v>
      </c>
      <c r="G65" s="192">
        <v>2095</v>
      </c>
      <c r="H65" s="125">
        <f>ROUND(G65*Valores!$C$2,2)</f>
        <v>123438.03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44567.38</v>
      </c>
      <c r="N65" s="125">
        <f t="shared" si="0"/>
        <v>0</v>
      </c>
      <c r="O65" s="125">
        <f>Valores!$C$9</f>
        <v>74035.73</v>
      </c>
      <c r="P65" s="125">
        <f>Valores!$D$5</f>
        <v>30120.06</v>
      </c>
      <c r="Q65" s="125">
        <f>Valores!$C$22</f>
        <v>26870.16</v>
      </c>
      <c r="R65" s="125">
        <f>IF($F$4="NO",Valores!$C$45,Valores!$C$45/2)</f>
        <v>22092.48</v>
      </c>
      <c r="S65" s="125">
        <f>Valores!$C$19</f>
        <v>28025.371999999996</v>
      </c>
      <c r="T65" s="125">
        <f t="shared" si="7"/>
        <v>28025.37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Valores!$C$96</f>
        <v>49491.35</v>
      </c>
      <c r="AA65" s="125">
        <f>Valores!$C$25</f>
        <v>1231.85</v>
      </c>
      <c r="AB65" s="214">
        <v>0</v>
      </c>
      <c r="AC65" s="125">
        <f t="shared" si="1"/>
        <v>0</v>
      </c>
      <c r="AD65" s="125">
        <f>Valores!$C$26</f>
        <v>1231.85</v>
      </c>
      <c r="AE65" s="192">
        <v>94</v>
      </c>
      <c r="AF65" s="125">
        <f>ROUND(AE65*Valores!$C$2,2)</f>
        <v>5538.51</v>
      </c>
      <c r="AG65" s="125">
        <f>SUM(F65,H65,J65,L65,M65,N65,O65,P65,Q65,R65,T65,U65,V65,X65,Y65,Z65,AA65,AC65,AD65,AF65,AH65)*Valores!$C$69</f>
        <v>54881.71097999999</v>
      </c>
      <c r="AH65" s="125">
        <f>ROUND(IF($F$4="NO",Valores!$C$63,Valores!$C$63/2),2)</f>
        <v>14083.23</v>
      </c>
      <c r="AI65" s="125">
        <f t="shared" si="2"/>
        <v>480321.33097999985</v>
      </c>
      <c r="AJ65" s="125">
        <f>Valores!$C$31</f>
        <v>0</v>
      </c>
      <c r="AK65" s="125">
        <f>Valores!$C$89</f>
        <v>0</v>
      </c>
      <c r="AL65" s="125">
        <f>Valores!C$38*B65</f>
        <v>0</v>
      </c>
      <c r="AM65" s="125">
        <f>IF($F$3="NO",0,Valores!$C$56)</f>
        <v>0</v>
      </c>
      <c r="AN65" s="125">
        <f t="shared" si="3"/>
        <v>0</v>
      </c>
      <c r="AO65" s="125">
        <f>AI65*Valores!$C$71</f>
        <v>-52835.34640779998</v>
      </c>
      <c r="AP65" s="125">
        <f>AI65*Valores!$C$72</f>
        <v>-9606.426619599997</v>
      </c>
      <c r="AQ65" s="125">
        <f>AI65*-Valores!$C$73</f>
        <v>0</v>
      </c>
      <c r="AR65" s="125">
        <f>AI65*Valores!$C$74</f>
        <v>-26417.67320389999</v>
      </c>
      <c r="AS65" s="125">
        <f>Valores!$C$101</f>
        <v>-1270</v>
      </c>
      <c r="AT65" s="125">
        <f>IF($F$5=0,Valores!$C$102,(Valores!$C$102+$F$5*(Valores!$C$102)))</f>
        <v>-3700</v>
      </c>
      <c r="AU65" s="125">
        <f t="shared" si="6"/>
        <v>386491.8847486999</v>
      </c>
      <c r="AV65" s="125">
        <f t="shared" si="4"/>
        <v>-52835.34640779998</v>
      </c>
      <c r="AW65" s="125">
        <f t="shared" si="10"/>
        <v>-9606.426619599997</v>
      </c>
      <c r="AX65" s="125">
        <f>AI65*Valores!$C$75</f>
        <v>-12968.675936459997</v>
      </c>
      <c r="AY65" s="125">
        <f>AI65*Valores!$C$76</f>
        <v>-1440.9639929399996</v>
      </c>
      <c r="AZ65" s="125">
        <f t="shared" si="5"/>
        <v>403469.9180231999</v>
      </c>
      <c r="BA65" s="125">
        <f>AI65*Valores!$C$78</f>
        <v>76851.41295679998</v>
      </c>
      <c r="BB65" s="125">
        <f>AI65*Valores!$C$79</f>
        <v>33622.49316859999</v>
      </c>
      <c r="BC65" s="125">
        <f>AI65*Valores!$C$80</f>
        <v>4803.213309799999</v>
      </c>
      <c r="BD65" s="125">
        <f>AI65*Valores!$C$82</f>
        <v>16811.246584299995</v>
      </c>
      <c r="BE65" s="125">
        <f>AI65*Valores!$C$84</f>
        <v>25937.351872919993</v>
      </c>
      <c r="BF65" s="125">
        <f>AI65*Valores!$C$83</f>
        <v>2881.927985879999</v>
      </c>
      <c r="BG65" s="126"/>
      <c r="BH65" s="126">
        <v>25</v>
      </c>
      <c r="BI65" s="123" t="s">
        <v>4</v>
      </c>
    </row>
    <row r="66" spans="1:61" s="110" customFormat="1" ht="11.25" customHeight="1">
      <c r="A66" s="123" t="s">
        <v>224</v>
      </c>
      <c r="B66" s="123">
        <v>1</v>
      </c>
      <c r="C66" s="126">
        <v>59</v>
      </c>
      <c r="D66" s="124" t="s">
        <v>225</v>
      </c>
      <c r="E66" s="192">
        <v>79</v>
      </c>
      <c r="F66" s="125">
        <f>ROUND(E66*Valores!$C$2,2)</f>
        <v>4654.7</v>
      </c>
      <c r="G66" s="192">
        <v>1944</v>
      </c>
      <c r="H66" s="125">
        <f>ROUND(G66*Valores!$C$2,2)</f>
        <v>114541.06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42328.4</v>
      </c>
      <c r="N66" s="125">
        <f t="shared" si="0"/>
        <v>0</v>
      </c>
      <c r="O66" s="125">
        <f>Valores!$C$9</f>
        <v>74035.73</v>
      </c>
      <c r="P66" s="125">
        <f>Valores!$D$5</f>
        <v>30120.06</v>
      </c>
      <c r="Q66" s="125">
        <f>Valores!$C$22</f>
        <v>26870.16</v>
      </c>
      <c r="R66" s="125">
        <f>IF($F$4="NO",Valores!$C$45,Valores!$C$45/2)</f>
        <v>22092.48</v>
      </c>
      <c r="S66" s="125">
        <f>Valores!$C$19</f>
        <v>28025.371999999996</v>
      </c>
      <c r="T66" s="125">
        <f t="shared" si="7"/>
        <v>28025.37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Valores!$C$96</f>
        <v>49491.35</v>
      </c>
      <c r="AA66" s="125">
        <f>Valores!$C$25</f>
        <v>1231.85</v>
      </c>
      <c r="AB66" s="214">
        <v>0</v>
      </c>
      <c r="AC66" s="125">
        <f t="shared" si="1"/>
        <v>0</v>
      </c>
      <c r="AD66" s="125">
        <f>Valores!$C$26</f>
        <v>1231.85</v>
      </c>
      <c r="AE66" s="192">
        <v>0</v>
      </c>
      <c r="AF66" s="125">
        <f>ROUND(AE66*Valores!$C$2,2)</f>
        <v>0</v>
      </c>
      <c r="AG66" s="125">
        <f>SUM(F66,H66,J66,L66,M66,N66,O66,P66,Q66,R66,T66,U66,V66,X66,Y66,Z66,AA66,AC66,AD66,AF66,AH66)*Valores!$C$69</f>
        <v>52723.10495999998</v>
      </c>
      <c r="AH66" s="125">
        <f>ROUND(IF($F$4="NO",Valores!$C$63,Valores!$C$63/2),2)</f>
        <v>14083.23</v>
      </c>
      <c r="AI66" s="125">
        <f t="shared" si="2"/>
        <v>461429.34495999984</v>
      </c>
      <c r="AJ66" s="125">
        <f>Valores!$C$31</f>
        <v>0</v>
      </c>
      <c r="AK66" s="125">
        <f>Valores!$C$89</f>
        <v>0</v>
      </c>
      <c r="AL66" s="125">
        <f>Valores!C$38*B66</f>
        <v>0</v>
      </c>
      <c r="AM66" s="125">
        <f>IF($F$3="NO",0,Valores!$C$56)</f>
        <v>0</v>
      </c>
      <c r="AN66" s="125">
        <f t="shared" si="3"/>
        <v>0</v>
      </c>
      <c r="AO66" s="125">
        <f>AI66*Valores!$C$71</f>
        <v>-50757.22794559998</v>
      </c>
      <c r="AP66" s="125">
        <f>AI66*Valores!$C$72</f>
        <v>-9228.586899199998</v>
      </c>
      <c r="AQ66" s="125">
        <f>AI66*-Valores!$C$73</f>
        <v>0</v>
      </c>
      <c r="AR66" s="125">
        <f>AI66*Valores!$C$74</f>
        <v>-25378.61397279999</v>
      </c>
      <c r="AS66" s="125">
        <f>Valores!$C$101</f>
        <v>-1270</v>
      </c>
      <c r="AT66" s="125">
        <f>IF($F$5=0,Valores!$C$102,(Valores!$C$102+$F$5*(Valores!$C$102)))</f>
        <v>-3700</v>
      </c>
      <c r="AU66" s="125">
        <f t="shared" si="6"/>
        <v>371094.9161423999</v>
      </c>
      <c r="AV66" s="125">
        <f t="shared" si="4"/>
        <v>-50757.22794559998</v>
      </c>
      <c r="AW66" s="125">
        <f t="shared" si="10"/>
        <v>-9228.586899199998</v>
      </c>
      <c r="AX66" s="125">
        <f>AI66*Valores!$C$75</f>
        <v>-12458.592313919995</v>
      </c>
      <c r="AY66" s="125">
        <f>AI66*Valores!$C$76</f>
        <v>-1384.2880348799995</v>
      </c>
      <c r="AZ66" s="125">
        <f t="shared" si="5"/>
        <v>387600.6497663999</v>
      </c>
      <c r="BA66" s="125">
        <f>AI66*Valores!$C$78</f>
        <v>73828.69519359998</v>
      </c>
      <c r="BB66" s="125">
        <f>AI66*Valores!$C$79</f>
        <v>32300.054147199993</v>
      </c>
      <c r="BC66" s="125">
        <f>AI66*Valores!$C$80</f>
        <v>4614.293449599999</v>
      </c>
      <c r="BD66" s="125">
        <f>AI66*Valores!$C$82</f>
        <v>16150.027073599997</v>
      </c>
      <c r="BE66" s="125">
        <f>AI66*Valores!$C$84</f>
        <v>24917.18462783999</v>
      </c>
      <c r="BF66" s="125">
        <f>AI66*Valores!$C$83</f>
        <v>2768.576069759999</v>
      </c>
      <c r="BG66" s="126"/>
      <c r="BH66" s="126">
        <v>30</v>
      </c>
      <c r="BI66" s="123" t="s">
        <v>4</v>
      </c>
    </row>
    <row r="67" spans="1:61" s="110" customFormat="1" ht="11.25" customHeight="1">
      <c r="A67" s="123" t="s">
        <v>226</v>
      </c>
      <c r="B67" s="123">
        <v>1</v>
      </c>
      <c r="C67" s="126">
        <v>60</v>
      </c>
      <c r="D67" s="124" t="s">
        <v>227</v>
      </c>
      <c r="E67" s="192">
        <v>79</v>
      </c>
      <c r="F67" s="125">
        <f>ROUND(E67*Valores!$C$2,2)</f>
        <v>4654.7</v>
      </c>
      <c r="G67" s="192">
        <v>1944</v>
      </c>
      <c r="H67" s="125">
        <f>ROUND(G67*Valores!$C$2,2)</f>
        <v>114541.06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42328.4</v>
      </c>
      <c r="N67" s="125">
        <f t="shared" si="0"/>
        <v>0</v>
      </c>
      <c r="O67" s="125">
        <f>Valores!$C$9</f>
        <v>74035.73</v>
      </c>
      <c r="P67" s="125">
        <f>Valores!$D$5</f>
        <v>30120.06</v>
      </c>
      <c r="Q67" s="125">
        <f>Valores!$C$22</f>
        <v>26870.16</v>
      </c>
      <c r="R67" s="125">
        <f>IF($F$4="NO",Valores!$C$45,Valores!$C$45/2)</f>
        <v>22092.48</v>
      </c>
      <c r="S67" s="125">
        <f>Valores!$C$19</f>
        <v>28025.371999999996</v>
      </c>
      <c r="T67" s="125">
        <f t="shared" si="7"/>
        <v>28025.37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Valores!$C$96</f>
        <v>49491.35</v>
      </c>
      <c r="AA67" s="125">
        <f>Valores!$C$25</f>
        <v>1231.85</v>
      </c>
      <c r="AB67" s="214">
        <v>0</v>
      </c>
      <c r="AC67" s="125">
        <f t="shared" si="1"/>
        <v>0</v>
      </c>
      <c r="AD67" s="125">
        <f>Valores!$C$26</f>
        <v>1231.85</v>
      </c>
      <c r="AE67" s="192">
        <v>94</v>
      </c>
      <c r="AF67" s="125">
        <f>ROUND(AE67*Valores!$C$2,2)</f>
        <v>5538.51</v>
      </c>
      <c r="AG67" s="125">
        <f>SUM(F67,H67,J67,L67,M67,N67,O67,P67,Q67,R67,T67,U67,V67,X67,Y67,Z67,AA67,AC67,AD67,AF67,AH67)*Valores!$C$69</f>
        <v>53437.572749999985</v>
      </c>
      <c r="AH67" s="125">
        <f>ROUND(IF($F$4="NO",Valores!$C$63,Valores!$C$63/2),2)</f>
        <v>14083.23</v>
      </c>
      <c r="AI67" s="125">
        <f t="shared" si="2"/>
        <v>467682.3227499999</v>
      </c>
      <c r="AJ67" s="125">
        <f>Valores!$C$31</f>
        <v>0</v>
      </c>
      <c r="AK67" s="125">
        <f>Valores!$C$89</f>
        <v>0</v>
      </c>
      <c r="AL67" s="125">
        <f>Valores!C$38*B67</f>
        <v>0</v>
      </c>
      <c r="AM67" s="125">
        <f>IF($F$3="NO",0,Valores!$C$56)</f>
        <v>0</v>
      </c>
      <c r="AN67" s="125">
        <f t="shared" si="3"/>
        <v>0</v>
      </c>
      <c r="AO67" s="125">
        <f>AI67*Valores!$C$71</f>
        <v>-51445.055502499985</v>
      </c>
      <c r="AP67" s="125">
        <f>AI67*Valores!$C$72</f>
        <v>-9353.646454999998</v>
      </c>
      <c r="AQ67" s="125">
        <f>AI67*-Valores!$C$73</f>
        <v>0</v>
      </c>
      <c r="AR67" s="125">
        <f>AI67*Valores!$C$74</f>
        <v>-25722.527751249992</v>
      </c>
      <c r="AS67" s="125">
        <f>Valores!$C$101</f>
        <v>-1270</v>
      </c>
      <c r="AT67" s="125">
        <f>IF($F$5=0,Valores!$C$102,(Valores!$C$102+$F$5*(Valores!$C$102)))</f>
        <v>-3700</v>
      </c>
      <c r="AU67" s="125">
        <f t="shared" si="6"/>
        <v>376191.0930412499</v>
      </c>
      <c r="AV67" s="125">
        <f t="shared" si="4"/>
        <v>-51445.055502499985</v>
      </c>
      <c r="AW67" s="125">
        <f t="shared" si="10"/>
        <v>-9353.646454999998</v>
      </c>
      <c r="AX67" s="125">
        <f>AI67*Valores!$C$75</f>
        <v>-12627.422714249997</v>
      </c>
      <c r="AY67" s="125">
        <f>AI67*Valores!$C$76</f>
        <v>-1403.0469682499997</v>
      </c>
      <c r="AZ67" s="125">
        <f t="shared" si="5"/>
        <v>392853.15110999986</v>
      </c>
      <c r="BA67" s="125">
        <f>AI67*Valores!$C$78</f>
        <v>74829.17163999999</v>
      </c>
      <c r="BB67" s="125">
        <f>AI67*Valores!$C$79</f>
        <v>32737.762592499996</v>
      </c>
      <c r="BC67" s="125">
        <f>AI67*Valores!$C$80</f>
        <v>4676.823227499999</v>
      </c>
      <c r="BD67" s="125">
        <f>AI67*Valores!$C$82</f>
        <v>16368.881296249998</v>
      </c>
      <c r="BE67" s="125">
        <f>AI67*Valores!$C$84</f>
        <v>25254.845428499993</v>
      </c>
      <c r="BF67" s="125">
        <f>AI67*Valores!$C$83</f>
        <v>2806.0939364999995</v>
      </c>
      <c r="BG67" s="126"/>
      <c r="BH67" s="126">
        <v>25</v>
      </c>
      <c r="BI67" s="123" t="s">
        <v>8</v>
      </c>
    </row>
    <row r="68" spans="1:61" s="110" customFormat="1" ht="11.25" customHeight="1">
      <c r="A68" s="123" t="s">
        <v>228</v>
      </c>
      <c r="B68" s="123">
        <v>1</v>
      </c>
      <c r="C68" s="126">
        <v>61</v>
      </c>
      <c r="D68" s="124" t="s">
        <v>229</v>
      </c>
      <c r="E68" s="192">
        <v>100</v>
      </c>
      <c r="F68" s="125">
        <f>ROUND(E68*Valores!$C$2,2)</f>
        <v>5892.03</v>
      </c>
      <c r="G68" s="192">
        <v>2864</v>
      </c>
      <c r="H68" s="125">
        <f>ROUND(G68*Valores!$C$2,2)</f>
        <v>168747.74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55896.98</v>
      </c>
      <c r="N68" s="125">
        <f t="shared" si="0"/>
        <v>0</v>
      </c>
      <c r="O68" s="125">
        <f>Valores!$C$9</f>
        <v>74035.73</v>
      </c>
      <c r="P68" s="125">
        <f>Valores!$D$5</f>
        <v>30120.06</v>
      </c>
      <c r="Q68" s="125">
        <v>0</v>
      </c>
      <c r="R68" s="125">
        <f>IF($F$4="NO",Valores!$C$44,Valores!$C$44/2)</f>
        <v>20922.76</v>
      </c>
      <c r="S68" s="125">
        <f>Valores!$C$19</f>
        <v>28025.371999999996</v>
      </c>
      <c r="T68" s="125">
        <f t="shared" si="7"/>
        <v>28025.37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Valores!$C$95</f>
        <v>41242.8</v>
      </c>
      <c r="AA68" s="125">
        <f>Valores!$C$25</f>
        <v>1231.85</v>
      </c>
      <c r="AB68" s="214">
        <v>0</v>
      </c>
      <c r="AC68" s="125">
        <f t="shared" si="1"/>
        <v>0</v>
      </c>
      <c r="AD68" s="125">
        <f>Valores!$C$26</f>
        <v>1231.85</v>
      </c>
      <c r="AE68" s="192">
        <v>0</v>
      </c>
      <c r="AF68" s="125">
        <f>ROUND(AE68*Valores!$C$2,2)</f>
        <v>0</v>
      </c>
      <c r="AG68" s="125">
        <f>SUM(F68,H68,J68,L68,M68,N68,O68,P68,Q68,R68,T68,U68,V68,X68,Y68,Z68,AA68,AC68,AD68,AF68,AH68)*Valores!$C$69</f>
        <v>56944.52159999999</v>
      </c>
      <c r="AH68" s="125">
        <f>ROUND(IF($F$4="NO",Valores!$C$63,Valores!$C$63/2),2)</f>
        <v>14083.23</v>
      </c>
      <c r="AI68" s="125">
        <f t="shared" si="2"/>
        <v>498374.9215999999</v>
      </c>
      <c r="AJ68" s="125">
        <f>Valores!$C$31</f>
        <v>0</v>
      </c>
      <c r="AK68" s="125">
        <f>Valores!$C$88</f>
        <v>0</v>
      </c>
      <c r="AL68" s="125">
        <f>Valores!C$38*B68</f>
        <v>0</v>
      </c>
      <c r="AM68" s="125">
        <f>IF($F$3="NO",0,Valores!$C$55)</f>
        <v>0</v>
      </c>
      <c r="AN68" s="125">
        <f t="shared" si="3"/>
        <v>0</v>
      </c>
      <c r="AO68" s="125">
        <f>AI68*Valores!$C$71</f>
        <v>-54821.24137599999</v>
      </c>
      <c r="AP68" s="125">
        <f>AI68*Valores!$C$72</f>
        <v>-9967.498431999999</v>
      </c>
      <c r="AQ68" s="125">
        <f>AI68*-Valores!$C$73</f>
        <v>0</v>
      </c>
      <c r="AR68" s="125">
        <f>AI68*Valores!$C$74</f>
        <v>-27410.620687999995</v>
      </c>
      <c r="AS68" s="125">
        <f>Valores!$C$101</f>
        <v>-1270</v>
      </c>
      <c r="AT68" s="125">
        <f>IF($F$5=0,Valores!$C$102,(Valores!$C$102+$F$5*(Valores!$C$102)))</f>
        <v>-3700</v>
      </c>
      <c r="AU68" s="125">
        <f t="shared" si="6"/>
        <v>401205.5611039999</v>
      </c>
      <c r="AV68" s="125">
        <f t="shared" si="4"/>
        <v>-54821.24137599999</v>
      </c>
      <c r="AW68" s="125">
        <f t="shared" si="10"/>
        <v>-9967.498431999999</v>
      </c>
      <c r="AX68" s="125">
        <f>AI68*Valores!$C$75</f>
        <v>-13456.122883199996</v>
      </c>
      <c r="AY68" s="125">
        <f>AI68*Valores!$C$76</f>
        <v>-1495.1247647999996</v>
      </c>
      <c r="AZ68" s="125">
        <f t="shared" si="5"/>
        <v>418634.9341439999</v>
      </c>
      <c r="BA68" s="125">
        <f>AI68*Valores!$C$78</f>
        <v>79739.98745599999</v>
      </c>
      <c r="BB68" s="125">
        <f>AI68*Valores!$C$79</f>
        <v>34886.244512</v>
      </c>
      <c r="BC68" s="125">
        <f>AI68*Valores!$C$80</f>
        <v>4983.749215999999</v>
      </c>
      <c r="BD68" s="125">
        <f>AI68*Valores!$C$82</f>
        <v>17443.122256</v>
      </c>
      <c r="BE68" s="125">
        <f>AI68*Valores!$C$84</f>
        <v>26912.245766399992</v>
      </c>
      <c r="BF68" s="125">
        <f>AI68*Valores!$C$83</f>
        <v>2990.2495295999993</v>
      </c>
      <c r="BG68" s="126"/>
      <c r="BH68" s="126"/>
      <c r="BI68" s="123" t="s">
        <v>4</v>
      </c>
    </row>
    <row r="69" spans="1:61" s="110" customFormat="1" ht="11.25" customHeight="1">
      <c r="A69" s="123" t="s">
        <v>230</v>
      </c>
      <c r="B69" s="123">
        <v>1</v>
      </c>
      <c r="C69" s="126">
        <v>62</v>
      </c>
      <c r="D69" s="124" t="s">
        <v>231</v>
      </c>
      <c r="E69" s="192">
        <v>79</v>
      </c>
      <c r="F69" s="125">
        <f>ROUND(E69*Valores!$C$2,2)</f>
        <v>4654.7</v>
      </c>
      <c r="G69" s="192">
        <v>2161</v>
      </c>
      <c r="H69" s="125">
        <f>ROUND(G69*Valores!$C$2,2)</f>
        <v>127326.77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45524.83</v>
      </c>
      <c r="N69" s="125">
        <f t="shared" si="0"/>
        <v>0</v>
      </c>
      <c r="O69" s="125">
        <f>Valores!$C$9</f>
        <v>74035.73</v>
      </c>
      <c r="P69" s="125">
        <f>Valores!$D$5</f>
        <v>30120.06</v>
      </c>
      <c r="Q69" s="125">
        <f>Valores!$C$22</f>
        <v>26870.16</v>
      </c>
      <c r="R69" s="125">
        <f>IF($F$4="NO",Valores!$C$45,Valores!$C$45/2)</f>
        <v>22092.48</v>
      </c>
      <c r="S69" s="125">
        <f>Valores!$C$19</f>
        <v>28025.371999999996</v>
      </c>
      <c r="T69" s="125">
        <f t="shared" si="7"/>
        <v>28025.37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Valores!$C$96</f>
        <v>49491.35</v>
      </c>
      <c r="AA69" s="125">
        <f>Valores!$C$25</f>
        <v>1231.85</v>
      </c>
      <c r="AB69" s="214">
        <v>0</v>
      </c>
      <c r="AC69" s="125">
        <f t="shared" si="1"/>
        <v>0</v>
      </c>
      <c r="AD69" s="125">
        <f>Valores!$C$26</f>
        <v>1231.85</v>
      </c>
      <c r="AE69" s="192">
        <v>0</v>
      </c>
      <c r="AF69" s="125">
        <f>ROUND(AE69*Valores!$C$2,2)</f>
        <v>0</v>
      </c>
      <c r="AG69" s="125">
        <f>SUM(F69,H69,J69,L69,M69,N69,O69,P69,Q69,R69,T69,U69,V69,X69,Y69,Z69,AA69,AC69,AD69,AF69,AH69)*Valores!$C$69</f>
        <v>54784.80101999998</v>
      </c>
      <c r="AH69" s="125">
        <f>ROUND(IF($F$4="NO",Valores!$C$63,Valores!$C$63/2),2)</f>
        <v>14083.23</v>
      </c>
      <c r="AI69" s="125">
        <f t="shared" si="2"/>
        <v>479473.1810199998</v>
      </c>
      <c r="AJ69" s="125">
        <f>Valores!$C$31</f>
        <v>0</v>
      </c>
      <c r="AK69" s="125">
        <f>Valores!$C$89</f>
        <v>0</v>
      </c>
      <c r="AL69" s="125">
        <f>Valores!C$38*B69</f>
        <v>0</v>
      </c>
      <c r="AM69" s="125">
        <f>IF($F$3="NO",0,Valores!$C$56)</f>
        <v>0</v>
      </c>
      <c r="AN69" s="125">
        <f t="shared" si="3"/>
        <v>0</v>
      </c>
      <c r="AO69" s="125">
        <f>AI69*Valores!$C$71</f>
        <v>-52742.049912199975</v>
      </c>
      <c r="AP69" s="125">
        <f>AI69*Valores!$C$72</f>
        <v>-9589.463620399996</v>
      </c>
      <c r="AQ69" s="125">
        <f>AI69*-Valores!$C$73</f>
        <v>0</v>
      </c>
      <c r="AR69" s="125">
        <f>AI69*Valores!$C$74</f>
        <v>-26371.024956099987</v>
      </c>
      <c r="AS69" s="125">
        <f>Valores!$C$101</f>
        <v>-1270</v>
      </c>
      <c r="AT69" s="125">
        <f>IF($F$5=0,Valores!$C$102,(Valores!$C$102+$F$5*(Valores!$C$102)))</f>
        <v>-3700</v>
      </c>
      <c r="AU69" s="125">
        <f t="shared" si="6"/>
        <v>385800.64253129985</v>
      </c>
      <c r="AV69" s="125">
        <f t="shared" si="4"/>
        <v>-52742.049912199975</v>
      </c>
      <c r="AW69" s="125">
        <f t="shared" si="10"/>
        <v>-9589.463620399996</v>
      </c>
      <c r="AX69" s="125">
        <f>AI69*Valores!$C$75</f>
        <v>-12945.775887539994</v>
      </c>
      <c r="AY69" s="125">
        <f>AI69*Valores!$C$76</f>
        <v>-1438.4195430599993</v>
      </c>
      <c r="AZ69" s="125">
        <f t="shared" si="5"/>
        <v>402757.4720567998</v>
      </c>
      <c r="BA69" s="125">
        <f>AI69*Valores!$C$78</f>
        <v>76715.70896319997</v>
      </c>
      <c r="BB69" s="125">
        <f>AI69*Valores!$C$79</f>
        <v>33563.122671399986</v>
      </c>
      <c r="BC69" s="125">
        <f>AI69*Valores!$C$80</f>
        <v>4794.731810199998</v>
      </c>
      <c r="BD69" s="125">
        <f>AI69*Valores!$C$82</f>
        <v>16781.561335699993</v>
      </c>
      <c r="BE69" s="125">
        <f>AI69*Valores!$C$84</f>
        <v>25891.551775079988</v>
      </c>
      <c r="BF69" s="125">
        <f>AI69*Valores!$C$83</f>
        <v>2876.8390861199987</v>
      </c>
      <c r="BG69" s="126"/>
      <c r="BH69" s="126">
        <v>30</v>
      </c>
      <c r="BI69" s="123" t="s">
        <v>4</v>
      </c>
    </row>
    <row r="70" spans="1:61" s="110" customFormat="1" ht="11.25" customHeight="1">
      <c r="A70" s="123" t="s">
        <v>232</v>
      </c>
      <c r="B70" s="123">
        <v>1</v>
      </c>
      <c r="C70" s="126">
        <v>63</v>
      </c>
      <c r="D70" s="124" t="s">
        <v>233</v>
      </c>
      <c r="E70" s="192">
        <v>90</v>
      </c>
      <c r="F70" s="125">
        <f>ROUND(E70*Valores!$C$2,2)</f>
        <v>5302.83</v>
      </c>
      <c r="G70" s="192">
        <v>3010</v>
      </c>
      <c r="H70" s="125">
        <f>ROUND(G70*Valores!$C$2,2)</f>
        <v>177350.1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59371.25</v>
      </c>
      <c r="N70" s="125">
        <f t="shared" si="0"/>
        <v>0</v>
      </c>
      <c r="O70" s="125">
        <f>Valores!$C$9</f>
        <v>74035.73</v>
      </c>
      <c r="P70" s="125">
        <f>Valores!$D$5</f>
        <v>30120.06</v>
      </c>
      <c r="Q70" s="125">
        <f>Valores!$C$22</f>
        <v>26870.16</v>
      </c>
      <c r="R70" s="125">
        <f>IF($F$4="NO",Valores!$C$48,Valores!$C$48/2)</f>
        <v>26806.69</v>
      </c>
      <c r="S70" s="125">
        <f>Valores!$C$19</f>
        <v>28025.371999999996</v>
      </c>
      <c r="T70" s="125">
        <f t="shared" si="7"/>
        <v>28025.37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Valores!$C$96</f>
        <v>49491.35</v>
      </c>
      <c r="AA70" s="125">
        <f>Valores!$C$25</f>
        <v>1231.85</v>
      </c>
      <c r="AB70" s="214">
        <v>0</v>
      </c>
      <c r="AC70" s="125">
        <f t="shared" si="1"/>
        <v>0</v>
      </c>
      <c r="AD70" s="125">
        <f>Valores!$C$26</f>
        <v>1231.85</v>
      </c>
      <c r="AE70" s="192">
        <v>0</v>
      </c>
      <c r="AF70" s="125">
        <f>ROUND(AE70*Valores!$C$2,2)</f>
        <v>0</v>
      </c>
      <c r="AG70" s="125">
        <f>SUM(F70,H70,J70,L70,M70,N70,O70,P70,Q70,R70,T70,U70,V70,X70,Y70,Z70,AA70,AC70,AD70,AF70,AH70)*Valores!$C$69</f>
        <v>63715.740629999986</v>
      </c>
      <c r="AH70" s="125">
        <f>ROUND(IF($F$4="NO",Valores!$C$63,Valores!$C$63/2),2)</f>
        <v>14083.23</v>
      </c>
      <c r="AI70" s="125">
        <f t="shared" si="2"/>
        <v>557636.2106299999</v>
      </c>
      <c r="AJ70" s="125">
        <f>Valores!$C$31</f>
        <v>0</v>
      </c>
      <c r="AK70" s="125">
        <f>Valores!$C$89</f>
        <v>0</v>
      </c>
      <c r="AL70" s="125">
        <f>Valores!C$38*B70</f>
        <v>0</v>
      </c>
      <c r="AM70" s="125">
        <f>IF($F$3="NO",0,Valores!$C$56)</f>
        <v>0</v>
      </c>
      <c r="AN70" s="125">
        <f t="shared" si="3"/>
        <v>0</v>
      </c>
      <c r="AO70" s="125">
        <f>AI70*Valores!$C$71</f>
        <v>-61339.98316929999</v>
      </c>
      <c r="AP70" s="125">
        <f>AI70*Valores!$C$72</f>
        <v>-11152.724212599998</v>
      </c>
      <c r="AQ70" s="125">
        <f>AI70*-Valores!$C$73</f>
        <v>0</v>
      </c>
      <c r="AR70" s="125">
        <f>AI70*Valores!$C$74</f>
        <v>-30669.991584649993</v>
      </c>
      <c r="AS70" s="125">
        <f>Valores!$C$101</f>
        <v>-1270</v>
      </c>
      <c r="AT70" s="125">
        <f>IF($F$5=0,Valores!$C$102,(Valores!$C$102+$F$5*(Valores!$C$102)))</f>
        <v>-3700</v>
      </c>
      <c r="AU70" s="125">
        <f t="shared" si="6"/>
        <v>449503.51166344987</v>
      </c>
      <c r="AV70" s="125">
        <f t="shared" si="4"/>
        <v>-61339.98316929999</v>
      </c>
      <c r="AW70" s="125">
        <f t="shared" si="10"/>
        <v>-11152.724212599998</v>
      </c>
      <c r="AX70" s="125">
        <f>AI70*Valores!$C$75</f>
        <v>-15056.177687009997</v>
      </c>
      <c r="AY70" s="125">
        <f>AI70*Valores!$C$76</f>
        <v>-1672.9086318899997</v>
      </c>
      <c r="AZ70" s="125">
        <f t="shared" si="5"/>
        <v>468414.4169291999</v>
      </c>
      <c r="BA70" s="125">
        <f>AI70*Valores!$C$78</f>
        <v>89221.79370079999</v>
      </c>
      <c r="BB70" s="125">
        <f>AI70*Valores!$C$79</f>
        <v>39034.5347441</v>
      </c>
      <c r="BC70" s="125">
        <f>AI70*Valores!$C$80</f>
        <v>5576.362106299999</v>
      </c>
      <c r="BD70" s="125">
        <f>AI70*Valores!$C$82</f>
        <v>19517.26737205</v>
      </c>
      <c r="BE70" s="125">
        <f>AI70*Valores!$C$84</f>
        <v>30112.355374019993</v>
      </c>
      <c r="BF70" s="125">
        <f>AI70*Valores!$C$83</f>
        <v>3345.8172637799994</v>
      </c>
      <c r="BG70" s="126"/>
      <c r="BH70" s="126"/>
      <c r="BI70" s="123" t="s">
        <v>4</v>
      </c>
    </row>
    <row r="71" spans="1:61" s="110" customFormat="1" ht="11.25" customHeight="1">
      <c r="A71" s="123" t="s">
        <v>234</v>
      </c>
      <c r="B71" s="123">
        <v>1</v>
      </c>
      <c r="C71" s="126">
        <v>64</v>
      </c>
      <c r="D71" s="124" t="s">
        <v>235</v>
      </c>
      <c r="E71" s="192">
        <v>78</v>
      </c>
      <c r="F71" s="125">
        <f>ROUND(E71*Valores!$C$2,2)</f>
        <v>4595.78</v>
      </c>
      <c r="G71" s="192">
        <v>2162</v>
      </c>
      <c r="H71" s="125">
        <f>ROUND(G71*Valores!$C$2,2)</f>
        <v>127385.69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45524.83</v>
      </c>
      <c r="N71" s="125">
        <f t="shared" si="0"/>
        <v>0</v>
      </c>
      <c r="O71" s="125">
        <f>Valores!$C$9</f>
        <v>74035.73</v>
      </c>
      <c r="P71" s="125">
        <f>Valores!$D$5</f>
        <v>30120.06</v>
      </c>
      <c r="Q71" s="125">
        <f>Valores!$C$22</f>
        <v>26870.16</v>
      </c>
      <c r="R71" s="125">
        <f>IF($F$4="NO",Valores!$C$45,Valores!$C$45/2)</f>
        <v>22092.48</v>
      </c>
      <c r="S71" s="125">
        <f>Valores!$C$19</f>
        <v>28025.371999999996</v>
      </c>
      <c r="T71" s="125">
        <f t="shared" si="7"/>
        <v>28025.37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Valores!$C$96</f>
        <v>49491.35</v>
      </c>
      <c r="AA71" s="125">
        <f>Valores!$C$25</f>
        <v>1231.85</v>
      </c>
      <c r="AB71" s="214">
        <v>0</v>
      </c>
      <c r="AC71" s="125">
        <f t="shared" si="1"/>
        <v>0</v>
      </c>
      <c r="AD71" s="125">
        <f>Valores!$C$26</f>
        <v>1231.85</v>
      </c>
      <c r="AE71" s="192">
        <v>0</v>
      </c>
      <c r="AF71" s="125">
        <f>ROUND(AE71*Valores!$C$2,2)</f>
        <v>0</v>
      </c>
      <c r="AG71" s="125">
        <f>SUM(F71,H71,J71,L71,M71,N71,O71,P71,Q71,R71,T71,U71,V71,X71,Y71,Z71,AA71,AC71,AD71,AF71,AH71)*Valores!$C$69</f>
        <v>54784.80101999998</v>
      </c>
      <c r="AH71" s="125">
        <f>ROUND(IF($F$4="NO",Valores!$C$63,Valores!$C$63/2),2)</f>
        <v>14083.23</v>
      </c>
      <c r="AI71" s="125">
        <f t="shared" si="2"/>
        <v>479473.1810199998</v>
      </c>
      <c r="AJ71" s="125">
        <f>Valores!$C$31</f>
        <v>0</v>
      </c>
      <c r="AK71" s="125">
        <f>Valores!$C$89</f>
        <v>0</v>
      </c>
      <c r="AL71" s="125">
        <f>Valores!C$38*B71</f>
        <v>0</v>
      </c>
      <c r="AM71" s="125">
        <f>IF($F$3="NO",0,Valores!$C$56)</f>
        <v>0</v>
      </c>
      <c r="AN71" s="125">
        <f t="shared" si="3"/>
        <v>0</v>
      </c>
      <c r="AO71" s="125">
        <f>AI71*Valores!$C$71</f>
        <v>-52742.049912199975</v>
      </c>
      <c r="AP71" s="125">
        <f>AI71*Valores!$C$72</f>
        <v>-9589.463620399996</v>
      </c>
      <c r="AQ71" s="125">
        <f>AI71*-Valores!$C$73</f>
        <v>0</v>
      </c>
      <c r="AR71" s="125">
        <f>AI71*Valores!$C$74</f>
        <v>-26371.024956099987</v>
      </c>
      <c r="AS71" s="125">
        <f>Valores!$C$101</f>
        <v>-1270</v>
      </c>
      <c r="AT71" s="125">
        <f>IF($F$5=0,Valores!$C$102,(Valores!$C$102+$F$5*(Valores!$C$102)))</f>
        <v>-3700</v>
      </c>
      <c r="AU71" s="125">
        <f t="shared" si="6"/>
        <v>385800.64253129985</v>
      </c>
      <c r="AV71" s="125">
        <f aca="true" t="shared" si="11" ref="AV71:AV133">AO71</f>
        <v>-52742.049912199975</v>
      </c>
      <c r="AW71" s="125">
        <f t="shared" si="10"/>
        <v>-9589.463620399996</v>
      </c>
      <c r="AX71" s="125">
        <f>AI71*Valores!$C$75</f>
        <v>-12945.775887539994</v>
      </c>
      <c r="AY71" s="125">
        <f>AI71*Valores!$C$76</f>
        <v>-1438.4195430599993</v>
      </c>
      <c r="AZ71" s="125">
        <f t="shared" si="5"/>
        <v>402757.4720567998</v>
      </c>
      <c r="BA71" s="125">
        <f>AI71*Valores!$C$78</f>
        <v>76715.70896319997</v>
      </c>
      <c r="BB71" s="125">
        <f>AI71*Valores!$C$79</f>
        <v>33563.122671399986</v>
      </c>
      <c r="BC71" s="125">
        <f>AI71*Valores!$C$80</f>
        <v>4794.731810199998</v>
      </c>
      <c r="BD71" s="125">
        <f>AI71*Valores!$C$82</f>
        <v>16781.561335699993</v>
      </c>
      <c r="BE71" s="125">
        <f>AI71*Valores!$C$84</f>
        <v>25891.551775079988</v>
      </c>
      <c r="BF71" s="125">
        <f>AI71*Valores!$C$83</f>
        <v>2876.8390861199987</v>
      </c>
      <c r="BG71" s="126"/>
      <c r="BH71" s="126">
        <v>25</v>
      </c>
      <c r="BI71" s="123" t="s">
        <v>4</v>
      </c>
    </row>
    <row r="72" spans="1:61" s="110" customFormat="1" ht="11.25" customHeight="1">
      <c r="A72" s="123" t="s">
        <v>236</v>
      </c>
      <c r="B72" s="123">
        <v>1</v>
      </c>
      <c r="C72" s="126">
        <v>65</v>
      </c>
      <c r="D72" s="124" t="s">
        <v>237</v>
      </c>
      <c r="E72" s="192">
        <v>90</v>
      </c>
      <c r="F72" s="125">
        <f>ROUND(E72*Valores!$C$2,2)</f>
        <v>5302.83</v>
      </c>
      <c r="G72" s="192">
        <v>2800</v>
      </c>
      <c r="H72" s="125">
        <f>ROUND(G72*Valores!$C$2,2)</f>
        <v>164976.84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56277.93</v>
      </c>
      <c r="N72" s="125">
        <f aca="true" t="shared" si="12" ref="N72:N135">ROUND(SUM(F72,H72,J72,L72,X72,R72)*$H$2,2)</f>
        <v>0</v>
      </c>
      <c r="O72" s="125">
        <f>Valores!$C$9</f>
        <v>74035.73</v>
      </c>
      <c r="P72" s="125">
        <f>Valores!$D$5</f>
        <v>30120.06</v>
      </c>
      <c r="Q72" s="125">
        <v>0</v>
      </c>
      <c r="R72" s="125">
        <f>IF($F$4="NO",Valores!$C$48,Valores!$C$48/2)</f>
        <v>26806.69</v>
      </c>
      <c r="S72" s="125">
        <f>Valores!$C$19</f>
        <v>28025.371999999996</v>
      </c>
      <c r="T72" s="125">
        <f t="shared" si="7"/>
        <v>28025.37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Valores!$C$96</f>
        <v>49491.35</v>
      </c>
      <c r="AA72" s="125">
        <f>Valores!$C$25</f>
        <v>1231.85</v>
      </c>
      <c r="AB72" s="214">
        <v>0</v>
      </c>
      <c r="AC72" s="125">
        <f aca="true" t="shared" si="13" ref="AC72:AC135">ROUND(SUM(F72,H72,J72,X72,R72)*AB72,2)</f>
        <v>0</v>
      </c>
      <c r="AD72" s="125">
        <f>Valores!$C$26</f>
        <v>1231.85</v>
      </c>
      <c r="AE72" s="192">
        <v>0</v>
      </c>
      <c r="AF72" s="125">
        <f>ROUND(AE72*Valores!$C$2,2)</f>
        <v>0</v>
      </c>
      <c r="AG72" s="125">
        <f>SUM(F72,H72,J72,L72,M72,N72,O72,P72,Q72,R72,T72,U72,V72,X72,Y72,Z72,AA72,AC72,AD72,AF72,AH72)*Valores!$C$69</f>
        <v>58254.301169999984</v>
      </c>
      <c r="AH72" s="125">
        <f>ROUND(IF($F$4="NO",Valores!$C$63,Valores!$C$63/2),2)</f>
        <v>14083.23</v>
      </c>
      <c r="AI72" s="125">
        <f aca="true" t="shared" si="14" ref="AI72:AI91">SUM(F72,H72,J72,L72,M72,N72,O72,P72,Q72,R72,T72,U72,V72,X72,Y72,Z72,AA72,AC72,AD72,AF72,AG72,AH72)</f>
        <v>509838.03116999986</v>
      </c>
      <c r="AJ72" s="125">
        <f>Valores!$C$31</f>
        <v>0</v>
      </c>
      <c r="AK72" s="125">
        <f>Valores!$C$89</f>
        <v>0</v>
      </c>
      <c r="AL72" s="125">
        <f>Valores!C$38*B72</f>
        <v>0</v>
      </c>
      <c r="AM72" s="125">
        <f>IF($F$3="NO",0,Valores!$C$56)</f>
        <v>0</v>
      </c>
      <c r="AN72" s="125">
        <f aca="true" t="shared" si="15" ref="AN72:AN135">SUM(AJ72:AM72)</f>
        <v>0</v>
      </c>
      <c r="AO72" s="125">
        <f>AI72*Valores!$C$71</f>
        <v>-56082.18342869999</v>
      </c>
      <c r="AP72" s="125">
        <f>AI72*Valores!$C$72</f>
        <v>-10196.760623399998</v>
      </c>
      <c r="AQ72" s="125">
        <f>AI72*-Valores!$C$73</f>
        <v>0</v>
      </c>
      <c r="AR72" s="125">
        <f>AI72*Valores!$C$74</f>
        <v>-28041.091714349994</v>
      </c>
      <c r="AS72" s="125">
        <f>Valores!$C$101</f>
        <v>-1270</v>
      </c>
      <c r="AT72" s="125">
        <f>IF($F$5=0,Valores!$C$102,(Valores!$C$102+$F$5*(Valores!$C$102)))</f>
        <v>-3700</v>
      </c>
      <c r="AU72" s="125">
        <f t="shared" si="6"/>
        <v>410547.99540354987</v>
      </c>
      <c r="AV72" s="125">
        <f t="shared" si="11"/>
        <v>-56082.18342869999</v>
      </c>
      <c r="AW72" s="125">
        <f t="shared" si="10"/>
        <v>-10196.760623399998</v>
      </c>
      <c r="AX72" s="125">
        <f>AI72*Valores!$C$75</f>
        <v>-13765.626841589996</v>
      </c>
      <c r="AY72" s="125">
        <f>AI72*Valores!$C$76</f>
        <v>-1529.5140935099996</v>
      </c>
      <c r="AZ72" s="125">
        <f aca="true" t="shared" si="16" ref="AZ72:AZ135">AI72+AN72+SUM(AV72:AY72)</f>
        <v>428263.9461827999</v>
      </c>
      <c r="BA72" s="125">
        <f>AI72*Valores!$C$78</f>
        <v>81574.08498719998</v>
      </c>
      <c r="BB72" s="125">
        <f>AI72*Valores!$C$79</f>
        <v>35688.66218189999</v>
      </c>
      <c r="BC72" s="125">
        <f>AI72*Valores!$C$80</f>
        <v>5098.380311699999</v>
      </c>
      <c r="BD72" s="125">
        <f>AI72*Valores!$C$82</f>
        <v>17844.331090949996</v>
      </c>
      <c r="BE72" s="125">
        <f>AI72*Valores!$C$84</f>
        <v>27531.25368317999</v>
      </c>
      <c r="BF72" s="125">
        <f>AI72*Valores!$C$83</f>
        <v>3059.028187019999</v>
      </c>
      <c r="BG72" s="126"/>
      <c r="BH72" s="126"/>
      <c r="BI72" s="123" t="s">
        <v>8</v>
      </c>
    </row>
    <row r="73" spans="1:61" s="110" customFormat="1" ht="11.25" customHeight="1">
      <c r="A73" s="123" t="s">
        <v>238</v>
      </c>
      <c r="B73" s="123">
        <v>1</v>
      </c>
      <c r="C73" s="126">
        <v>66</v>
      </c>
      <c r="D73" s="124" t="s">
        <v>239</v>
      </c>
      <c r="E73" s="192">
        <v>79</v>
      </c>
      <c r="F73" s="125">
        <f>ROUND(E73*Valores!$C$2,2)</f>
        <v>4654.7</v>
      </c>
      <c r="G73" s="192">
        <v>2161</v>
      </c>
      <c r="H73" s="125">
        <f>ROUND(G73*Valores!$C$2,2)</f>
        <v>127326.77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45524.83</v>
      </c>
      <c r="N73" s="125">
        <f t="shared" si="12"/>
        <v>0</v>
      </c>
      <c r="O73" s="125">
        <f>Valores!$C$9</f>
        <v>74035.73</v>
      </c>
      <c r="P73" s="125">
        <f>Valores!$D$5</f>
        <v>30120.06</v>
      </c>
      <c r="Q73" s="125">
        <f>Valores!$C$22</f>
        <v>26870.16</v>
      </c>
      <c r="R73" s="125">
        <f>IF($F$4="NO",Valores!$C$45,Valores!$C$45/2)</f>
        <v>22092.48</v>
      </c>
      <c r="S73" s="125">
        <f>Valores!$C$19</f>
        <v>28025.371999999996</v>
      </c>
      <c r="T73" s="125">
        <f t="shared" si="7"/>
        <v>28025.37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Valores!$C$96</f>
        <v>49491.35</v>
      </c>
      <c r="AA73" s="125">
        <f>Valores!$C$25</f>
        <v>1231.85</v>
      </c>
      <c r="AB73" s="214">
        <v>0</v>
      </c>
      <c r="AC73" s="125">
        <f t="shared" si="13"/>
        <v>0</v>
      </c>
      <c r="AD73" s="125">
        <f>Valores!$C$26</f>
        <v>1231.85</v>
      </c>
      <c r="AE73" s="192">
        <v>0</v>
      </c>
      <c r="AF73" s="125">
        <f>ROUND(AE73*Valores!$C$2,2)</f>
        <v>0</v>
      </c>
      <c r="AG73" s="125">
        <f>SUM(F73,H73,J73,L73,M73,N73,O73,P73,Q73,R73,T73,U73,V73,X73,Y73,Z73,AA73,AC73,AD73,AF73,AH73)*Valores!$C$69</f>
        <v>54784.80101999998</v>
      </c>
      <c r="AH73" s="125">
        <f>ROUND(IF($F$4="NO",Valores!$C$63,Valores!$C$63/2),2)</f>
        <v>14083.23</v>
      </c>
      <c r="AI73" s="125">
        <f t="shared" si="14"/>
        <v>479473.1810199998</v>
      </c>
      <c r="AJ73" s="125">
        <f>Valores!$C$31</f>
        <v>0</v>
      </c>
      <c r="AK73" s="125">
        <f>Valores!$C$89</f>
        <v>0</v>
      </c>
      <c r="AL73" s="125">
        <f>Valores!C$38*B73</f>
        <v>0</v>
      </c>
      <c r="AM73" s="125">
        <f>IF($F$3="NO",0,Valores!$C$56)</f>
        <v>0</v>
      </c>
      <c r="AN73" s="125">
        <f t="shared" si="15"/>
        <v>0</v>
      </c>
      <c r="AO73" s="125">
        <f>AI73*Valores!$C$71</f>
        <v>-52742.049912199975</v>
      </c>
      <c r="AP73" s="125">
        <f>AI73*Valores!$C$72</f>
        <v>-9589.463620399996</v>
      </c>
      <c r="AQ73" s="125">
        <f>AI73*-Valores!$C$73</f>
        <v>0</v>
      </c>
      <c r="AR73" s="125">
        <f>AI73*Valores!$C$74</f>
        <v>-26371.024956099987</v>
      </c>
      <c r="AS73" s="125">
        <f>Valores!$C$101</f>
        <v>-1270</v>
      </c>
      <c r="AT73" s="125">
        <f>IF($F$5=0,Valores!$C$102,(Valores!$C$102+$F$5*(Valores!$C$102)))</f>
        <v>-3700</v>
      </c>
      <c r="AU73" s="125">
        <f aca="true" t="shared" si="17" ref="AU73:AU136">AI73+SUM(AN73:AT73)</f>
        <v>385800.64253129985</v>
      </c>
      <c r="AV73" s="125">
        <f t="shared" si="11"/>
        <v>-52742.049912199975</v>
      </c>
      <c r="AW73" s="125">
        <f t="shared" si="10"/>
        <v>-9589.463620399996</v>
      </c>
      <c r="AX73" s="125">
        <f>AI73*Valores!$C$75</f>
        <v>-12945.775887539994</v>
      </c>
      <c r="AY73" s="125">
        <f>AI73*Valores!$C$76</f>
        <v>-1438.4195430599993</v>
      </c>
      <c r="AZ73" s="125">
        <f t="shared" si="16"/>
        <v>402757.4720567998</v>
      </c>
      <c r="BA73" s="125">
        <f>AI73*Valores!$C$78</f>
        <v>76715.70896319997</v>
      </c>
      <c r="BB73" s="125">
        <f>AI73*Valores!$C$79</f>
        <v>33563.122671399986</v>
      </c>
      <c r="BC73" s="125">
        <f>AI73*Valores!$C$80</f>
        <v>4794.731810199998</v>
      </c>
      <c r="BD73" s="125">
        <f>AI73*Valores!$C$82</f>
        <v>16781.561335699993</v>
      </c>
      <c r="BE73" s="125">
        <f>AI73*Valores!$C$84</f>
        <v>25891.551775079988</v>
      </c>
      <c r="BF73" s="125">
        <f>AI73*Valores!$C$83</f>
        <v>2876.8390861199987</v>
      </c>
      <c r="BG73" s="126"/>
      <c r="BH73" s="126">
        <v>30</v>
      </c>
      <c r="BI73" s="123" t="s">
        <v>4</v>
      </c>
    </row>
    <row r="74" spans="1:61" s="110" customFormat="1" ht="11.25" customHeight="1">
      <c r="A74" s="123" t="s">
        <v>240</v>
      </c>
      <c r="B74" s="123">
        <v>1</v>
      </c>
      <c r="C74" s="126">
        <v>67</v>
      </c>
      <c r="D74" s="124" t="s">
        <v>241</v>
      </c>
      <c r="E74" s="192">
        <v>90</v>
      </c>
      <c r="F74" s="125">
        <f>ROUND(E74*Valores!$C$2,2)</f>
        <v>5302.83</v>
      </c>
      <c r="G74" s="192">
        <v>2720</v>
      </c>
      <c r="H74" s="125">
        <f>ROUND(G74*Valores!$C$2,2)</f>
        <v>160263.22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55099.53</v>
      </c>
      <c r="N74" s="125">
        <f t="shared" si="12"/>
        <v>0</v>
      </c>
      <c r="O74" s="125">
        <f>Valores!$C$9</f>
        <v>74035.73</v>
      </c>
      <c r="P74" s="125">
        <f>Valores!$D$5</f>
        <v>30120.06</v>
      </c>
      <c r="Q74" s="125">
        <v>0</v>
      </c>
      <c r="R74" s="125">
        <f>IF($F$4="NO",Valores!$C$48,Valores!$C$477/2)</f>
        <v>26806.69</v>
      </c>
      <c r="S74" s="125">
        <f>Valores!$C$19</f>
        <v>28025.371999999996</v>
      </c>
      <c r="T74" s="125">
        <f t="shared" si="7"/>
        <v>28025.37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Valores!$C$96</f>
        <v>49491.35</v>
      </c>
      <c r="AA74" s="125">
        <f>Valores!$C$25</f>
        <v>1231.85</v>
      </c>
      <c r="AB74" s="214">
        <v>0</v>
      </c>
      <c r="AC74" s="125">
        <f t="shared" si="13"/>
        <v>0</v>
      </c>
      <c r="AD74" s="125">
        <f>Valores!$C$26</f>
        <v>1231.85</v>
      </c>
      <c r="AE74" s="192">
        <v>0</v>
      </c>
      <c r="AF74" s="125">
        <f>ROUND(AE74*Valores!$C$2,2)</f>
        <v>0</v>
      </c>
      <c r="AG74" s="125">
        <f>SUM(F74,H74,J74,L74,M74,N74,O74,P74,Q74,R74,T74,U74,V74,X74,Y74,Z74,AA74,AC74,AD74,AF74,AH74)*Valores!$C$69</f>
        <v>57494.23058999999</v>
      </c>
      <c r="AH74" s="125">
        <f>ROUND(IF($F$4="NO",Valores!$C$63,Valores!$C$63/2),2)</f>
        <v>14083.23</v>
      </c>
      <c r="AI74" s="125">
        <f t="shared" si="14"/>
        <v>503185.9405899999</v>
      </c>
      <c r="AJ74" s="125">
        <f>Valores!$C$31</f>
        <v>0</v>
      </c>
      <c r="AK74" s="125">
        <f>Valores!$C$89</f>
        <v>0</v>
      </c>
      <c r="AL74" s="125">
        <f>Valores!C$38*B74</f>
        <v>0</v>
      </c>
      <c r="AM74" s="125">
        <f>IF($F$3="NO",0,Valores!$C$56)</f>
        <v>0</v>
      </c>
      <c r="AN74" s="125">
        <f t="shared" si="15"/>
        <v>0</v>
      </c>
      <c r="AO74" s="125">
        <f>AI74*Valores!$C$71</f>
        <v>-55350.45346489999</v>
      </c>
      <c r="AP74" s="125">
        <f>AI74*Valores!$C$72</f>
        <v>-10063.718811799998</v>
      </c>
      <c r="AQ74" s="125">
        <f>AI74*-Valores!$C$73</f>
        <v>0</v>
      </c>
      <c r="AR74" s="125">
        <f>AI74*Valores!$C$74</f>
        <v>-27675.226732449995</v>
      </c>
      <c r="AS74" s="125">
        <f>Valores!$C$101</f>
        <v>-1270</v>
      </c>
      <c r="AT74" s="125">
        <f>IF($F$5=0,Valores!$C$102,(Valores!$C$102+$F$5*(Valores!$C$102)))</f>
        <v>-3700</v>
      </c>
      <c r="AU74" s="125">
        <f t="shared" si="17"/>
        <v>405126.5415808499</v>
      </c>
      <c r="AV74" s="125">
        <f t="shared" si="11"/>
        <v>-55350.45346489999</v>
      </c>
      <c r="AW74" s="125">
        <f t="shared" si="10"/>
        <v>-10063.718811799998</v>
      </c>
      <c r="AX74" s="125">
        <f>AI74*Valores!$C$75</f>
        <v>-13586.020395929998</v>
      </c>
      <c r="AY74" s="125">
        <f>AI74*Valores!$C$76</f>
        <v>-1509.5578217699997</v>
      </c>
      <c r="AZ74" s="125">
        <f t="shared" si="16"/>
        <v>422676.1900955999</v>
      </c>
      <c r="BA74" s="125">
        <f>AI74*Valores!$C$78</f>
        <v>80509.75049439998</v>
      </c>
      <c r="BB74" s="125">
        <f>AI74*Valores!$C$79</f>
        <v>35223.015841299995</v>
      </c>
      <c r="BC74" s="125">
        <f>AI74*Valores!$C$80</f>
        <v>5031.859405899999</v>
      </c>
      <c r="BD74" s="125">
        <f>AI74*Valores!$C$82</f>
        <v>17611.507920649998</v>
      </c>
      <c r="BE74" s="125">
        <f>AI74*Valores!$C$84</f>
        <v>27172.040791859996</v>
      </c>
      <c r="BF74" s="125">
        <f>AI74*Valores!$C$83</f>
        <v>3019.1156435399994</v>
      </c>
      <c r="BG74" s="126"/>
      <c r="BH74" s="126"/>
      <c r="BI74" s="123" t="s">
        <v>8</v>
      </c>
    </row>
    <row r="75" spans="1:61" s="110" customFormat="1" ht="11.25" customHeight="1">
      <c r="A75" s="123" t="s">
        <v>242</v>
      </c>
      <c r="B75" s="123">
        <v>1</v>
      </c>
      <c r="C75" s="126">
        <v>68</v>
      </c>
      <c r="D75" s="124" t="s">
        <v>243</v>
      </c>
      <c r="E75" s="192">
        <v>78</v>
      </c>
      <c r="F75" s="125">
        <f>ROUND(E75*Valores!$C$2,2)</f>
        <v>4595.78</v>
      </c>
      <c r="G75" s="192">
        <v>1284</v>
      </c>
      <c r="H75" s="125">
        <f>ROUND(G75*Valores!$C$2,2)</f>
        <v>75653.67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32227.76</v>
      </c>
      <c r="N75" s="125">
        <f t="shared" si="12"/>
        <v>0</v>
      </c>
      <c r="O75" s="125">
        <f>Valores!$C$8</f>
        <v>73844.92</v>
      </c>
      <c r="P75" s="125">
        <f>Valores!$D$5</f>
        <v>30120.06</v>
      </c>
      <c r="Q75" s="125">
        <f>Valores!$C$22</f>
        <v>26870.16</v>
      </c>
      <c r="R75" s="125">
        <f>IF($F$4="NO",Valores!$C$44,Valores!$C$44/2)</f>
        <v>20922.76</v>
      </c>
      <c r="S75" s="125">
        <f>Valores!$C$20</f>
        <v>27738.840000000004</v>
      </c>
      <c r="T75" s="125">
        <f aca="true" t="shared" si="18" ref="T75:T138">ROUND(S75*(1+$H$2),2)</f>
        <v>27738.84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Valores!$C$95</f>
        <v>41242.8</v>
      </c>
      <c r="AA75" s="125">
        <f>Valores!$C$25</f>
        <v>1231.85</v>
      </c>
      <c r="AB75" s="214">
        <v>0</v>
      </c>
      <c r="AC75" s="125">
        <f t="shared" si="13"/>
        <v>0</v>
      </c>
      <c r="AD75" s="125">
        <f>Valores!$C$26</f>
        <v>1231.85</v>
      </c>
      <c r="AE75" s="192">
        <v>0</v>
      </c>
      <c r="AF75" s="125">
        <f>ROUND(AE75*Valores!$C$2,2)</f>
        <v>0</v>
      </c>
      <c r="AG75" s="125">
        <f>SUM(F75,H75,J75,L75,M75,N75,O75,P75,Q75,R75,T75,U75,V75,X75,Y75,Z75,AA75,AC75,AD75,AF75,AH75)*Valores!$C$69</f>
        <v>45119.51471999999</v>
      </c>
      <c r="AH75" s="125">
        <f>ROUND(IF($F$4="NO",Valores!$C$63,Valores!$C$63/2),2)</f>
        <v>14083.23</v>
      </c>
      <c r="AI75" s="125">
        <f t="shared" si="14"/>
        <v>394883.1947199999</v>
      </c>
      <c r="AJ75" s="125">
        <f>Valores!$C$31</f>
        <v>0</v>
      </c>
      <c r="AK75" s="125">
        <f>Valores!$C$88</f>
        <v>0</v>
      </c>
      <c r="AL75" s="125">
        <f>Valores!C$38*B75</f>
        <v>0</v>
      </c>
      <c r="AM75" s="125">
        <f>IF($F$3="NO",0,Valores!$C$56)</f>
        <v>0</v>
      </c>
      <c r="AN75" s="125">
        <f t="shared" si="15"/>
        <v>0</v>
      </c>
      <c r="AO75" s="125">
        <f>AI75*Valores!$C$71</f>
        <v>-43437.15141919999</v>
      </c>
      <c r="AP75" s="125">
        <f>AI75*Valores!$C$72</f>
        <v>-7897.663894399999</v>
      </c>
      <c r="AQ75" s="125">
        <f>AI75*-Valores!$C$73</f>
        <v>0</v>
      </c>
      <c r="AR75" s="125">
        <f>AI75*Valores!$C$74</f>
        <v>-21718.575709599994</v>
      </c>
      <c r="AS75" s="125">
        <f>Valores!$C$101</f>
        <v>-1270</v>
      </c>
      <c r="AT75" s="125">
        <f>IF($F$5=0,Valores!$C$102,(Valores!$C$102+$F$5*(Valores!$C$102)))</f>
        <v>-3700</v>
      </c>
      <c r="AU75" s="125">
        <f t="shared" si="17"/>
        <v>316859.8036967999</v>
      </c>
      <c r="AV75" s="125">
        <f t="shared" si="11"/>
        <v>-43437.15141919999</v>
      </c>
      <c r="AW75" s="125">
        <f t="shared" si="10"/>
        <v>-7897.663894399999</v>
      </c>
      <c r="AX75" s="125">
        <f>AI75*Valores!$C$75</f>
        <v>-10661.846257439998</v>
      </c>
      <c r="AY75" s="125">
        <f>AI75*Valores!$C$76</f>
        <v>-1184.6495841599997</v>
      </c>
      <c r="AZ75" s="125">
        <f t="shared" si="16"/>
        <v>331701.8835647999</v>
      </c>
      <c r="BA75" s="125">
        <f>AI75*Valores!$C$78</f>
        <v>63181.31115519999</v>
      </c>
      <c r="BB75" s="125">
        <f>AI75*Valores!$C$79</f>
        <v>27641.823630399995</v>
      </c>
      <c r="BC75" s="125">
        <f>AI75*Valores!$C$80</f>
        <v>3948.8319471999994</v>
      </c>
      <c r="BD75" s="125">
        <f>AI75*Valores!$C$82</f>
        <v>13820.911815199997</v>
      </c>
      <c r="BE75" s="125">
        <f>AI75*Valores!$C$84</f>
        <v>21323.692514879996</v>
      </c>
      <c r="BF75" s="125">
        <f>AI75*Valores!$C$83</f>
        <v>2369.2991683199994</v>
      </c>
      <c r="BG75" s="126"/>
      <c r="BH75" s="126">
        <v>30</v>
      </c>
      <c r="BI75" s="123" t="s">
        <v>4</v>
      </c>
    </row>
    <row r="76" spans="1:61" s="110" customFormat="1" ht="11.25" customHeight="1">
      <c r="A76" s="123" t="s">
        <v>244</v>
      </c>
      <c r="B76" s="123">
        <v>1</v>
      </c>
      <c r="C76" s="126">
        <v>69</v>
      </c>
      <c r="D76" s="124" t="s">
        <v>245</v>
      </c>
      <c r="E76" s="192">
        <v>78</v>
      </c>
      <c r="F76" s="125">
        <f>ROUND(E76*Valores!$C$2,2)</f>
        <v>4595.78</v>
      </c>
      <c r="G76" s="192">
        <v>1284</v>
      </c>
      <c r="H76" s="125">
        <f>ROUND(G76*Valores!$C$2,2)</f>
        <v>75653.67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32227.76</v>
      </c>
      <c r="N76" s="125">
        <f t="shared" si="12"/>
        <v>0</v>
      </c>
      <c r="O76" s="125">
        <f>Valores!$C$8</f>
        <v>73844.92</v>
      </c>
      <c r="P76" s="125">
        <f>Valores!$D$5</f>
        <v>30120.06</v>
      </c>
      <c r="Q76" s="125">
        <f>Valores!$C$22</f>
        <v>26870.16</v>
      </c>
      <c r="R76" s="125">
        <f>IF($F$4="NO",Valores!$C$44,Valores!$C$44/2)</f>
        <v>20922.76</v>
      </c>
      <c r="S76" s="125">
        <f>Valores!$C$20</f>
        <v>27738.840000000004</v>
      </c>
      <c r="T76" s="125">
        <f t="shared" si="18"/>
        <v>27738.84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Valores!$C$95</f>
        <v>41242.8</v>
      </c>
      <c r="AA76" s="125">
        <f>Valores!$C$25</f>
        <v>1231.85</v>
      </c>
      <c r="AB76" s="214">
        <v>0</v>
      </c>
      <c r="AC76" s="125">
        <f t="shared" si="13"/>
        <v>0</v>
      </c>
      <c r="AD76" s="125">
        <f>Valores!$C$26</f>
        <v>1231.85</v>
      </c>
      <c r="AE76" s="192">
        <v>0</v>
      </c>
      <c r="AF76" s="125">
        <f>ROUND(AE76*Valores!$C$2,2)</f>
        <v>0</v>
      </c>
      <c r="AG76" s="125">
        <f>SUM(F76,H76,J76,L76,M76,N76,O76,P76,Q76,R76,T76,U76,V76,X76,Y76,Z76,AA76,AC76,AD76,AF76,AH76)*Valores!$C$69</f>
        <v>45119.51471999999</v>
      </c>
      <c r="AH76" s="125">
        <f>ROUND(IF($F$4="NO",Valores!$C$63,Valores!$C$63/2),2)</f>
        <v>14083.23</v>
      </c>
      <c r="AI76" s="125">
        <f t="shared" si="14"/>
        <v>394883.1947199999</v>
      </c>
      <c r="AJ76" s="125">
        <f>Valores!$C$31</f>
        <v>0</v>
      </c>
      <c r="AK76" s="125">
        <f>Valores!$C$88</f>
        <v>0</v>
      </c>
      <c r="AL76" s="125">
        <f>Valores!C$38*B76</f>
        <v>0</v>
      </c>
      <c r="AM76" s="125">
        <v>0</v>
      </c>
      <c r="AN76" s="125">
        <f t="shared" si="15"/>
        <v>0</v>
      </c>
      <c r="AO76" s="125">
        <f>AI76*Valores!$C$71</f>
        <v>-43437.15141919999</v>
      </c>
      <c r="AP76" s="125">
        <f>AI76*Valores!$C$72</f>
        <v>-7897.663894399999</v>
      </c>
      <c r="AQ76" s="125">
        <f>AI76*-Valores!$C$73</f>
        <v>0</v>
      </c>
      <c r="AR76" s="125">
        <f>AI76*Valores!$C$74</f>
        <v>-21718.575709599994</v>
      </c>
      <c r="AS76" s="125">
        <f>Valores!$C$101</f>
        <v>-1270</v>
      </c>
      <c r="AT76" s="125">
        <f>IF($F$5=0,Valores!$C$102,(Valores!$C$102+$F$5*(Valores!$C$102)))</f>
        <v>-3700</v>
      </c>
      <c r="AU76" s="125">
        <f t="shared" si="17"/>
        <v>316859.8036967999</v>
      </c>
      <c r="AV76" s="125">
        <f t="shared" si="11"/>
        <v>-43437.15141919999</v>
      </c>
      <c r="AW76" s="125">
        <f aca="true" t="shared" si="19" ref="AW76:AW139">AP76</f>
        <v>-7897.663894399999</v>
      </c>
      <c r="AX76" s="125">
        <f>AI76*Valores!$C$75</f>
        <v>-10661.846257439998</v>
      </c>
      <c r="AY76" s="125">
        <f>AI76*Valores!$C$76</f>
        <v>-1184.6495841599997</v>
      </c>
      <c r="AZ76" s="125">
        <f t="shared" si="16"/>
        <v>331701.8835647999</v>
      </c>
      <c r="BA76" s="125">
        <f>AI76*Valores!$C$78</f>
        <v>63181.31115519999</v>
      </c>
      <c r="BB76" s="125">
        <f>AI76*Valores!$C$79</f>
        <v>27641.823630399995</v>
      </c>
      <c r="BC76" s="125">
        <f>AI76*Valores!$C$80</f>
        <v>3948.8319471999994</v>
      </c>
      <c r="BD76" s="125">
        <f>AI76*Valores!$C$82</f>
        <v>13820.911815199997</v>
      </c>
      <c r="BE76" s="125">
        <f>AI76*Valores!$C$84</f>
        <v>21323.692514879996</v>
      </c>
      <c r="BF76" s="125">
        <f>AI76*Valores!$C$83</f>
        <v>2369.2991683199994</v>
      </c>
      <c r="BG76" s="126"/>
      <c r="BH76" s="126"/>
      <c r="BI76" s="123" t="s">
        <v>8</v>
      </c>
    </row>
    <row r="77" spans="1:61" s="110" customFormat="1" ht="11.25" customHeight="1">
      <c r="A77" s="123" t="s">
        <v>246</v>
      </c>
      <c r="B77" s="123">
        <v>1</v>
      </c>
      <c r="C77" s="126">
        <v>70</v>
      </c>
      <c r="D77" s="124" t="s">
        <v>247</v>
      </c>
      <c r="E77" s="192">
        <v>78</v>
      </c>
      <c r="F77" s="125">
        <f>ROUND(E77*Valores!$C$2,2)</f>
        <v>4595.78</v>
      </c>
      <c r="G77" s="192">
        <v>1284</v>
      </c>
      <c r="H77" s="125">
        <f>ROUND(G77*Valores!$C$2,2)</f>
        <v>75653.67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25293.05</v>
      </c>
      <c r="N77" s="125">
        <f t="shared" si="12"/>
        <v>0</v>
      </c>
      <c r="O77" s="125">
        <f>Valores!$C$14</f>
        <v>58668.94</v>
      </c>
      <c r="P77" s="125">
        <f>Valores!$D$5</f>
        <v>30120.06</v>
      </c>
      <c r="Q77" s="125">
        <f>Valores!$C$22</f>
        <v>26870.16</v>
      </c>
      <c r="R77" s="125">
        <f>IF($F$4="NO",Valores!$C$44,Valores!$C$44/2)</f>
        <v>20922.76</v>
      </c>
      <c r="S77" s="125">
        <v>0</v>
      </c>
      <c r="T77" s="125">
        <f t="shared" si="18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Valores!$C$95</f>
        <v>41242.8</v>
      </c>
      <c r="AA77" s="125">
        <f>Valores!$C$25</f>
        <v>1231.85</v>
      </c>
      <c r="AB77" s="214">
        <v>0</v>
      </c>
      <c r="AC77" s="125">
        <f t="shared" si="13"/>
        <v>0</v>
      </c>
      <c r="AD77" s="125">
        <f>Valores!$C$26</f>
        <v>1231.85</v>
      </c>
      <c r="AE77" s="192">
        <v>0</v>
      </c>
      <c r="AF77" s="125">
        <f>ROUND(AE77*Valores!$C$2,2)</f>
        <v>0</v>
      </c>
      <c r="AG77" s="125">
        <f>SUM(F77,H77,J77,L77,M77,N77,O77,P77,Q77,R77,T77,U77,V77,X77,Y77,Z77,AA77,AC77,AD77,AF77,AH77)*Valores!$C$69</f>
        <v>38688.92535</v>
      </c>
      <c r="AH77" s="125">
        <f>ROUND(IF($F$4="NO",Valores!$C$63,Valores!$C$63/2),2)</f>
        <v>14083.23</v>
      </c>
      <c r="AI77" s="125">
        <f t="shared" si="14"/>
        <v>338603.07534999994</v>
      </c>
      <c r="AJ77" s="125">
        <f>Valores!$C$31</f>
        <v>0</v>
      </c>
      <c r="AK77" s="125">
        <f>Valores!$C$88</f>
        <v>0</v>
      </c>
      <c r="AL77" s="125">
        <f>Valores!C$38*B77</f>
        <v>0</v>
      </c>
      <c r="AM77" s="125">
        <v>0</v>
      </c>
      <c r="AN77" s="125">
        <f t="shared" si="15"/>
        <v>0</v>
      </c>
      <c r="AO77" s="125">
        <f>AI77*Valores!$C$71</f>
        <v>-37246.338288499996</v>
      </c>
      <c r="AP77" s="125">
        <f>AI77*Valores!$C$72</f>
        <v>-6772.0615069999985</v>
      </c>
      <c r="AQ77" s="125">
        <f>AI77*-Valores!$C$73</f>
        <v>0</v>
      </c>
      <c r="AR77" s="125">
        <f>AI77*Valores!$C$74</f>
        <v>-18623.169144249998</v>
      </c>
      <c r="AS77" s="125">
        <f>Valores!$C$101</f>
        <v>-1270</v>
      </c>
      <c r="AT77" s="125">
        <f>IF($F$5=0,Valores!$C$102,(Valores!$C$102+$F$5*(Valores!$C$102)))</f>
        <v>-3700</v>
      </c>
      <c r="AU77" s="125">
        <f t="shared" si="17"/>
        <v>270991.50641025</v>
      </c>
      <c r="AV77" s="125">
        <f t="shared" si="11"/>
        <v>-37246.338288499996</v>
      </c>
      <c r="AW77" s="125">
        <f t="shared" si="19"/>
        <v>-6772.0615069999985</v>
      </c>
      <c r="AX77" s="125">
        <f>AI77*Valores!$C$75</f>
        <v>-9142.283034449998</v>
      </c>
      <c r="AY77" s="125">
        <f>AI77*Valores!$C$76</f>
        <v>-1015.8092260499999</v>
      </c>
      <c r="AZ77" s="125">
        <f t="shared" si="16"/>
        <v>284426.58329399995</v>
      </c>
      <c r="BA77" s="125">
        <f>AI77*Valores!$C$78</f>
        <v>54176.49205599999</v>
      </c>
      <c r="BB77" s="125">
        <f>AI77*Valores!$C$79</f>
        <v>23702.2152745</v>
      </c>
      <c r="BC77" s="125">
        <f>AI77*Valores!$C$80</f>
        <v>3386.0307534999993</v>
      </c>
      <c r="BD77" s="125">
        <f>AI77*Valores!$C$82</f>
        <v>11851.10763725</v>
      </c>
      <c r="BE77" s="125">
        <f>AI77*Valores!$C$84</f>
        <v>18284.566068899996</v>
      </c>
      <c r="BF77" s="125">
        <f>AI77*Valores!$C$83</f>
        <v>2031.6184520999998</v>
      </c>
      <c r="BG77" s="126"/>
      <c r="BH77" s="126"/>
      <c r="BI77" s="123" t="s">
        <v>8</v>
      </c>
    </row>
    <row r="78" spans="1:61" s="110" customFormat="1" ht="11.25" customHeight="1">
      <c r="A78" s="123" t="s">
        <v>248</v>
      </c>
      <c r="B78" s="123">
        <v>1</v>
      </c>
      <c r="C78" s="126">
        <v>71</v>
      </c>
      <c r="D78" s="124" t="s">
        <v>249</v>
      </c>
      <c r="E78" s="192">
        <v>82</v>
      </c>
      <c r="F78" s="125">
        <f>ROUND(E78*Valores!$C$2,2)</f>
        <v>4831.46</v>
      </c>
      <c r="G78" s="192">
        <v>2038</v>
      </c>
      <c r="H78" s="125">
        <f>ROUND(G78*Valores!$C$2,2)</f>
        <v>120079.57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43464.79</v>
      </c>
      <c r="N78" s="125">
        <f t="shared" si="12"/>
        <v>0</v>
      </c>
      <c r="O78" s="125">
        <f>Valores!$C$9</f>
        <v>74035.73</v>
      </c>
      <c r="P78" s="125">
        <f>Valores!$D$5</f>
        <v>30120.06</v>
      </c>
      <c r="Q78" s="125">
        <f>Valores!$C$22</f>
        <v>26870.16</v>
      </c>
      <c r="R78" s="125">
        <f>IF($F$4="NO",Valores!$C$44,Valores!$C$44/2)</f>
        <v>20922.76</v>
      </c>
      <c r="S78" s="125">
        <f>Valores!$C$19</f>
        <v>28025.371999999996</v>
      </c>
      <c r="T78" s="125">
        <f t="shared" si="18"/>
        <v>28025.37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Valores!$C$95</f>
        <v>41242.8</v>
      </c>
      <c r="AA78" s="125">
        <f>Valores!$C$25</f>
        <v>1231.85</v>
      </c>
      <c r="AB78" s="214">
        <v>0</v>
      </c>
      <c r="AC78" s="125">
        <f t="shared" si="13"/>
        <v>0</v>
      </c>
      <c r="AD78" s="125">
        <f>Valores!$C$26</f>
        <v>1231.85</v>
      </c>
      <c r="AE78" s="192">
        <v>0</v>
      </c>
      <c r="AF78" s="125">
        <f>ROUND(AE78*Valores!$C$2,2)</f>
        <v>0</v>
      </c>
      <c r="AG78" s="125">
        <f>SUM(F78,H78,J78,L78,M78,N78,O78,P78,Q78,R78,T78,U78,V78,X78,Y78,Z78,AA78,AC78,AD78,AF78,AH78)*Valores!$C$69</f>
        <v>52392.012269999985</v>
      </c>
      <c r="AH78" s="125">
        <f>ROUND(IF($F$4="NO",Valores!$C$63,Valores!$C$63/2),2)</f>
        <v>14083.23</v>
      </c>
      <c r="AI78" s="125">
        <f t="shared" si="14"/>
        <v>458531.6422699999</v>
      </c>
      <c r="AJ78" s="125">
        <f>Valores!$C$31</f>
        <v>0</v>
      </c>
      <c r="AK78" s="125">
        <f>Valores!$C$88</f>
        <v>0</v>
      </c>
      <c r="AL78" s="125">
        <f>Valores!C$38*B78</f>
        <v>0</v>
      </c>
      <c r="AM78" s="125">
        <f>IF($F$3="NO",0,Valores!$C$56)</f>
        <v>0</v>
      </c>
      <c r="AN78" s="125">
        <f t="shared" si="15"/>
        <v>0</v>
      </c>
      <c r="AO78" s="125">
        <f>AI78*Valores!$C$71</f>
        <v>-50438.48064969999</v>
      </c>
      <c r="AP78" s="125">
        <f>AI78*Valores!$C$72</f>
        <v>-9170.632845399998</v>
      </c>
      <c r="AQ78" s="125">
        <f>AI78*-Valores!$C$73</f>
        <v>0</v>
      </c>
      <c r="AR78" s="125">
        <f>AI78*Valores!$C$74</f>
        <v>-25219.240324849994</v>
      </c>
      <c r="AS78" s="125">
        <f>Valores!$C$101</f>
        <v>-1270</v>
      </c>
      <c r="AT78" s="125">
        <f>IF($F$5=0,Valores!$C$102,(Valores!$C$102+$F$5*(Valores!$C$102)))</f>
        <v>-3700</v>
      </c>
      <c r="AU78" s="125">
        <f t="shared" si="17"/>
        <v>368733.28845004993</v>
      </c>
      <c r="AV78" s="125">
        <f t="shared" si="11"/>
        <v>-50438.48064969999</v>
      </c>
      <c r="AW78" s="125">
        <f t="shared" si="19"/>
        <v>-9170.632845399998</v>
      </c>
      <c r="AX78" s="125">
        <f>AI78*Valores!$C$75</f>
        <v>-12380.354341289996</v>
      </c>
      <c r="AY78" s="125">
        <f>AI78*Valores!$C$76</f>
        <v>-1375.5949268099996</v>
      </c>
      <c r="AZ78" s="125">
        <f t="shared" si="16"/>
        <v>385166.5795067999</v>
      </c>
      <c r="BA78" s="125">
        <f>AI78*Valores!$C$78</f>
        <v>73365.06276319998</v>
      </c>
      <c r="BB78" s="125">
        <f>AI78*Valores!$C$79</f>
        <v>32097.214958899996</v>
      </c>
      <c r="BC78" s="125">
        <f>AI78*Valores!$C$80</f>
        <v>4585.316422699999</v>
      </c>
      <c r="BD78" s="125">
        <f>AI78*Valores!$C$82</f>
        <v>16048.607479449998</v>
      </c>
      <c r="BE78" s="125">
        <f>AI78*Valores!$C$84</f>
        <v>24760.708682579992</v>
      </c>
      <c r="BF78" s="125">
        <f>AI78*Valores!$C$83</f>
        <v>2751.189853619999</v>
      </c>
      <c r="BG78" s="126"/>
      <c r="BH78" s="126">
        <v>25</v>
      </c>
      <c r="BI78" s="123" t="s">
        <v>4</v>
      </c>
    </row>
    <row r="79" spans="1:61" s="110" customFormat="1" ht="11.25" customHeight="1">
      <c r="A79" s="123" t="s">
        <v>250</v>
      </c>
      <c r="B79" s="123">
        <v>1</v>
      </c>
      <c r="C79" s="126">
        <v>72</v>
      </c>
      <c r="D79" s="124" t="s">
        <v>251</v>
      </c>
      <c r="E79" s="192">
        <v>78</v>
      </c>
      <c r="F79" s="125">
        <f>ROUND(E79*Valores!$C$2,2)</f>
        <v>4595.78</v>
      </c>
      <c r="G79" s="192">
        <v>2072</v>
      </c>
      <c r="H79" s="125">
        <f>ROUND(G79*Valores!$C$2,2)</f>
        <v>122082.86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44199.12</v>
      </c>
      <c r="N79" s="125">
        <f t="shared" si="12"/>
        <v>0</v>
      </c>
      <c r="O79" s="125">
        <f>Valores!$C$9</f>
        <v>74035.73</v>
      </c>
      <c r="P79" s="125">
        <f>Valores!$D$5</f>
        <v>30120.06</v>
      </c>
      <c r="Q79" s="125">
        <f>Valores!$C$22</f>
        <v>26870.16</v>
      </c>
      <c r="R79" s="125">
        <f>IF($F$4="NO",Valores!$C$45,Valores!$C$45/2)</f>
        <v>22092.48</v>
      </c>
      <c r="S79" s="125">
        <f>Valores!$C$19</f>
        <v>28025.371999999996</v>
      </c>
      <c r="T79" s="125">
        <f t="shared" si="18"/>
        <v>28025.37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Valores!$C$96</f>
        <v>49491.35</v>
      </c>
      <c r="AA79" s="125">
        <f>Valores!$C$25</f>
        <v>1231.85</v>
      </c>
      <c r="AB79" s="214">
        <v>0</v>
      </c>
      <c r="AC79" s="125">
        <f t="shared" si="13"/>
        <v>0</v>
      </c>
      <c r="AD79" s="125">
        <f>Valores!$C$26</f>
        <v>1231.85</v>
      </c>
      <c r="AE79" s="192">
        <v>0</v>
      </c>
      <c r="AF79" s="125">
        <f>ROUND(AE79*Valores!$C$2,2)</f>
        <v>0</v>
      </c>
      <c r="AG79" s="125">
        <f>SUM(F79,H79,J79,L79,M79,N79,O79,P79,Q79,R79,T79,U79,V79,X79,Y79,Z79,AA79,AC79,AD79,AF79,AH79)*Valores!$C$69</f>
        <v>53929.71935999998</v>
      </c>
      <c r="AH79" s="125">
        <f>ROUND(IF($F$4="NO",Valores!$C$63,Valores!$C$63/2),2)</f>
        <v>14083.23</v>
      </c>
      <c r="AI79" s="125">
        <f t="shared" si="14"/>
        <v>471989.55935999984</v>
      </c>
      <c r="AJ79" s="125">
        <f>Valores!$C$31</f>
        <v>0</v>
      </c>
      <c r="AK79" s="125">
        <f>Valores!$C$89</f>
        <v>0</v>
      </c>
      <c r="AL79" s="125">
        <f>Valores!C$38*B79</f>
        <v>0</v>
      </c>
      <c r="AM79" s="125">
        <f>IF($F$3="NO",0,Valores!$C$56)</f>
        <v>0</v>
      </c>
      <c r="AN79" s="125">
        <f t="shared" si="15"/>
        <v>0</v>
      </c>
      <c r="AO79" s="125">
        <f>AI79*Valores!$C$71</f>
        <v>-51918.85152959998</v>
      </c>
      <c r="AP79" s="125">
        <f>AI79*Valores!$C$72</f>
        <v>-9439.791187199997</v>
      </c>
      <c r="AQ79" s="125">
        <f>AI79*-Valores!$C$73</f>
        <v>0</v>
      </c>
      <c r="AR79" s="125">
        <f>AI79*Valores!$C$74</f>
        <v>-25959.42576479999</v>
      </c>
      <c r="AS79" s="125">
        <f>Valores!$C$101</f>
        <v>-1270</v>
      </c>
      <c r="AT79" s="125">
        <f>IF($F$5=0,Valores!$C$102,(Valores!$C$102+$F$5*(Valores!$C$102)))</f>
        <v>-3700</v>
      </c>
      <c r="AU79" s="125">
        <f t="shared" si="17"/>
        <v>379701.49087839987</v>
      </c>
      <c r="AV79" s="125">
        <f t="shared" si="11"/>
        <v>-51918.85152959998</v>
      </c>
      <c r="AW79" s="125">
        <f t="shared" si="19"/>
        <v>-9439.791187199997</v>
      </c>
      <c r="AX79" s="125">
        <f>AI79*Valores!$C$75</f>
        <v>-12743.718102719995</v>
      </c>
      <c r="AY79" s="125">
        <f>AI79*Valores!$C$76</f>
        <v>-1415.9686780799996</v>
      </c>
      <c r="AZ79" s="125">
        <f t="shared" si="16"/>
        <v>396471.22986239986</v>
      </c>
      <c r="BA79" s="125">
        <f>AI79*Valores!$C$78</f>
        <v>75518.32949759997</v>
      </c>
      <c r="BB79" s="125">
        <f>AI79*Valores!$C$79</f>
        <v>33039.26915519999</v>
      </c>
      <c r="BC79" s="125">
        <f>AI79*Valores!$C$80</f>
        <v>4719.895593599998</v>
      </c>
      <c r="BD79" s="125">
        <f>AI79*Valores!$C$82</f>
        <v>16519.634577599994</v>
      </c>
      <c r="BE79" s="125">
        <f>AI79*Valores!$C$84</f>
        <v>25487.43620543999</v>
      </c>
      <c r="BF79" s="125">
        <f>AI79*Valores!$C$83</f>
        <v>2831.937356159999</v>
      </c>
      <c r="BG79" s="126"/>
      <c r="BH79" s="126">
        <v>30</v>
      </c>
      <c r="BI79" s="123" t="s">
        <v>4</v>
      </c>
    </row>
    <row r="80" spans="1:61" s="110" customFormat="1" ht="11.25" customHeight="1">
      <c r="A80" s="123" t="s">
        <v>252</v>
      </c>
      <c r="B80" s="123">
        <v>1</v>
      </c>
      <c r="C80" s="126">
        <v>73</v>
      </c>
      <c r="D80" s="124" t="s">
        <v>253</v>
      </c>
      <c r="E80" s="192">
        <v>78</v>
      </c>
      <c r="F80" s="125">
        <f>ROUND(E80*Valores!$C$2,2)</f>
        <v>4595.78</v>
      </c>
      <c r="G80" s="192">
        <v>1770</v>
      </c>
      <c r="H80" s="125">
        <f>ROUND(G80*Valores!$C$2,2)</f>
        <v>104288.93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39750.64</v>
      </c>
      <c r="N80" s="125">
        <f t="shared" si="12"/>
        <v>0</v>
      </c>
      <c r="O80" s="125">
        <f>Valores!$C$9</f>
        <v>74035.73</v>
      </c>
      <c r="P80" s="125">
        <f>Valores!$D$5</f>
        <v>30120.06</v>
      </c>
      <c r="Q80" s="125">
        <f>Valores!$C$22</f>
        <v>26870.16</v>
      </c>
      <c r="R80" s="125">
        <f>IF($F$4="NO",Valores!$C$45,Valores!$C$45/2)</f>
        <v>22092.48</v>
      </c>
      <c r="S80" s="125">
        <f>Valores!$C$19</f>
        <v>28025.371999999996</v>
      </c>
      <c r="T80" s="125">
        <f t="shared" si="18"/>
        <v>28025.37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Valores!$C$96</f>
        <v>49491.35</v>
      </c>
      <c r="AA80" s="125">
        <f>Valores!$C$25</f>
        <v>1231.85</v>
      </c>
      <c r="AB80" s="214">
        <v>0</v>
      </c>
      <c r="AC80" s="125">
        <f t="shared" si="13"/>
        <v>0</v>
      </c>
      <c r="AD80" s="125">
        <f>Valores!$C$26</f>
        <v>1231.85</v>
      </c>
      <c r="AE80" s="192">
        <v>0</v>
      </c>
      <c r="AF80" s="125">
        <f>ROUND(AE80*Valores!$C$2,2)</f>
        <v>0</v>
      </c>
      <c r="AG80" s="125">
        <f>SUM(F80,H80,J80,L80,M80,N80,O80,P80,Q80,R80,T80,U80,V80,X80,Y80,Z80,AA80,AC80,AD80,AF80,AH80)*Valores!$C$69</f>
        <v>51060.44846999998</v>
      </c>
      <c r="AH80" s="125">
        <f>ROUND(IF($F$4="NO",Valores!$C$63,Valores!$C$63/2),2)</f>
        <v>14083.23</v>
      </c>
      <c r="AI80" s="125">
        <f t="shared" si="14"/>
        <v>446877.8784699998</v>
      </c>
      <c r="AJ80" s="125">
        <f>Valores!$C$31</f>
        <v>0</v>
      </c>
      <c r="AK80" s="125">
        <f>Valores!$C$89</f>
        <v>0</v>
      </c>
      <c r="AL80" s="125">
        <f>Valores!C$38*B80</f>
        <v>0</v>
      </c>
      <c r="AM80" s="125">
        <f>IF($F$3="NO",0,Valores!$C$56)</f>
        <v>0</v>
      </c>
      <c r="AN80" s="125">
        <f t="shared" si="15"/>
        <v>0</v>
      </c>
      <c r="AO80" s="125">
        <f>AI80*Valores!$C$71</f>
        <v>-49156.56663169998</v>
      </c>
      <c r="AP80" s="125">
        <f>AI80*Valores!$C$72</f>
        <v>-8937.557569399996</v>
      </c>
      <c r="AQ80" s="125">
        <f>AI80*-Valores!$C$73</f>
        <v>0</v>
      </c>
      <c r="AR80" s="125">
        <f>AI80*Valores!$C$74</f>
        <v>-24578.28331584999</v>
      </c>
      <c r="AS80" s="125">
        <f>Valores!$C$101</f>
        <v>-1270</v>
      </c>
      <c r="AT80" s="125">
        <f>IF($F$5=0,Valores!$C$102,(Valores!$C$102+$F$5*(Valores!$C$102)))</f>
        <v>-3700</v>
      </c>
      <c r="AU80" s="125">
        <f t="shared" si="17"/>
        <v>359235.47095304984</v>
      </c>
      <c r="AV80" s="125">
        <f t="shared" si="11"/>
        <v>-49156.56663169998</v>
      </c>
      <c r="AW80" s="125">
        <f t="shared" si="19"/>
        <v>-8937.557569399996</v>
      </c>
      <c r="AX80" s="125">
        <f>AI80*Valores!$C$75</f>
        <v>-12065.702718689996</v>
      </c>
      <c r="AY80" s="125">
        <f>AI80*Valores!$C$76</f>
        <v>-1340.6336354099994</v>
      </c>
      <c r="AZ80" s="125">
        <f t="shared" si="16"/>
        <v>375377.4179147999</v>
      </c>
      <c r="BA80" s="125">
        <f>AI80*Valores!$C$78</f>
        <v>71500.46055519997</v>
      </c>
      <c r="BB80" s="125">
        <f>AI80*Valores!$C$79</f>
        <v>31281.45149289999</v>
      </c>
      <c r="BC80" s="125">
        <f>AI80*Valores!$C$80</f>
        <v>4468.778784699998</v>
      </c>
      <c r="BD80" s="125">
        <f>AI80*Valores!$C$82</f>
        <v>15640.725746449994</v>
      </c>
      <c r="BE80" s="125">
        <f>AI80*Valores!$C$84</f>
        <v>24131.40543737999</v>
      </c>
      <c r="BF80" s="125">
        <f>AI80*Valores!$C$83</f>
        <v>2681.267270819999</v>
      </c>
      <c r="BG80" s="126"/>
      <c r="BH80" s="126"/>
      <c r="BI80" s="123" t="s">
        <v>4</v>
      </c>
    </row>
    <row r="81" spans="1:61" s="110" customFormat="1" ht="11.25" customHeight="1">
      <c r="A81" s="123" t="s">
        <v>254</v>
      </c>
      <c r="B81" s="123">
        <v>1</v>
      </c>
      <c r="C81" s="126">
        <v>74</v>
      </c>
      <c r="D81" s="124" t="s">
        <v>255</v>
      </c>
      <c r="E81" s="192">
        <v>77</v>
      </c>
      <c r="F81" s="125">
        <f>ROUND(E81*Valores!$C$2,2)</f>
        <v>4536.86</v>
      </c>
      <c r="G81" s="192">
        <v>2073</v>
      </c>
      <c r="H81" s="125">
        <f>ROUND(G81*Valores!$C$2,2)</f>
        <v>122141.78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44199.12</v>
      </c>
      <c r="N81" s="125">
        <f t="shared" si="12"/>
        <v>0</v>
      </c>
      <c r="O81" s="125">
        <f>Valores!$C$9</f>
        <v>74035.73</v>
      </c>
      <c r="P81" s="125">
        <f>Valores!$D$5</f>
        <v>30120.06</v>
      </c>
      <c r="Q81" s="125">
        <f>Valores!$C$22</f>
        <v>26870.16</v>
      </c>
      <c r="R81" s="125">
        <f>IF($F$4="NO",Valores!$C$45,Valores!$C$45/2)</f>
        <v>22092.48</v>
      </c>
      <c r="S81" s="125">
        <f>Valores!$C$19</f>
        <v>28025.371999999996</v>
      </c>
      <c r="T81" s="125">
        <f t="shared" si="18"/>
        <v>28025.37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Valores!$C$96</f>
        <v>49491.35</v>
      </c>
      <c r="AA81" s="125">
        <f>Valores!$C$25</f>
        <v>1231.85</v>
      </c>
      <c r="AB81" s="214">
        <v>0</v>
      </c>
      <c r="AC81" s="125">
        <f t="shared" si="13"/>
        <v>0</v>
      </c>
      <c r="AD81" s="125">
        <f>Valores!$C$26</f>
        <v>1231.85</v>
      </c>
      <c r="AE81" s="192">
        <v>0</v>
      </c>
      <c r="AF81" s="125">
        <f>ROUND(AE81*Valores!$C$2,2)</f>
        <v>0</v>
      </c>
      <c r="AG81" s="125">
        <f>SUM(F81,H81,J81,L81,M81,N81,O81,P81,Q81,R81,T81,U81,V81,X81,Y81,Z81,AA81,AC81,AD81,AF81,AH81)*Valores!$C$69</f>
        <v>53929.71935999998</v>
      </c>
      <c r="AH81" s="125">
        <f>ROUND(IF($F$4="NO",Valores!$C$63,Valores!$C$63/2),2)</f>
        <v>14083.23</v>
      </c>
      <c r="AI81" s="125">
        <f t="shared" si="14"/>
        <v>471989.55935999984</v>
      </c>
      <c r="AJ81" s="125">
        <f>Valores!$C$31</f>
        <v>0</v>
      </c>
      <c r="AK81" s="125">
        <f>Valores!$C$89</f>
        <v>0</v>
      </c>
      <c r="AL81" s="125">
        <f>Valores!C$38*B81</f>
        <v>0</v>
      </c>
      <c r="AM81" s="125">
        <f>IF($F$3="NO",0,Valores!$C$56)</f>
        <v>0</v>
      </c>
      <c r="AN81" s="125">
        <f t="shared" si="15"/>
        <v>0</v>
      </c>
      <c r="AO81" s="125">
        <f>AI81*Valores!$C$71</f>
        <v>-51918.85152959998</v>
      </c>
      <c r="AP81" s="125">
        <f>AI81*Valores!$C$72</f>
        <v>-9439.791187199997</v>
      </c>
      <c r="AQ81" s="125">
        <f>AI81*-Valores!$C$73</f>
        <v>0</v>
      </c>
      <c r="AR81" s="125">
        <f>AI81*Valores!$C$74</f>
        <v>-25959.42576479999</v>
      </c>
      <c r="AS81" s="125">
        <f>Valores!$C$101</f>
        <v>-1270</v>
      </c>
      <c r="AT81" s="125">
        <f>IF($F$5=0,Valores!$C$102,(Valores!$C$102+$F$5*(Valores!$C$102)))</f>
        <v>-3700</v>
      </c>
      <c r="AU81" s="125">
        <f t="shared" si="17"/>
        <v>379701.49087839987</v>
      </c>
      <c r="AV81" s="125">
        <f t="shared" si="11"/>
        <v>-51918.85152959998</v>
      </c>
      <c r="AW81" s="125">
        <f t="shared" si="19"/>
        <v>-9439.791187199997</v>
      </c>
      <c r="AX81" s="125">
        <f>AI81*Valores!$C$75</f>
        <v>-12743.718102719995</v>
      </c>
      <c r="AY81" s="125">
        <f>AI81*Valores!$C$76</f>
        <v>-1415.9686780799996</v>
      </c>
      <c r="AZ81" s="125">
        <f t="shared" si="16"/>
        <v>396471.22986239986</v>
      </c>
      <c r="BA81" s="125">
        <f>AI81*Valores!$C$78</f>
        <v>75518.32949759997</v>
      </c>
      <c r="BB81" s="125">
        <f>AI81*Valores!$C$79</f>
        <v>33039.26915519999</v>
      </c>
      <c r="BC81" s="125">
        <f>AI81*Valores!$C$80</f>
        <v>4719.895593599998</v>
      </c>
      <c r="BD81" s="125">
        <f>AI81*Valores!$C$82</f>
        <v>16519.634577599994</v>
      </c>
      <c r="BE81" s="125">
        <f>AI81*Valores!$C$84</f>
        <v>25487.43620543999</v>
      </c>
      <c r="BF81" s="125">
        <f>AI81*Valores!$C$83</f>
        <v>2831.937356159999</v>
      </c>
      <c r="BG81" s="126"/>
      <c r="BH81" s="126">
        <v>25</v>
      </c>
      <c r="BI81" s="123" t="s">
        <v>8</v>
      </c>
    </row>
    <row r="82" spans="1:61" s="110" customFormat="1" ht="11.25" customHeight="1">
      <c r="A82" s="123" t="s">
        <v>256</v>
      </c>
      <c r="B82" s="123">
        <v>1</v>
      </c>
      <c r="C82" s="126">
        <v>75</v>
      </c>
      <c r="D82" s="124" t="s">
        <v>257</v>
      </c>
      <c r="E82" s="192">
        <v>76</v>
      </c>
      <c r="F82" s="125">
        <f>ROUND(E82*Valores!$C$2,2)</f>
        <v>4477.94</v>
      </c>
      <c r="G82" s="192">
        <v>1872</v>
      </c>
      <c r="H82" s="125">
        <f>ROUND(G82*Valores!$C$2,2)</f>
        <v>110298.8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41223.65</v>
      </c>
      <c r="N82" s="125">
        <f t="shared" si="12"/>
        <v>0</v>
      </c>
      <c r="O82" s="125">
        <f>Valores!$C$9</f>
        <v>74035.73</v>
      </c>
      <c r="P82" s="125">
        <f>Valores!$D$5</f>
        <v>30120.06</v>
      </c>
      <c r="Q82" s="125">
        <v>0</v>
      </c>
      <c r="R82" s="125">
        <f>IF($F$4="NO",Valores!$C$45,Valores!$C$45/2)</f>
        <v>22092.48</v>
      </c>
      <c r="S82" s="125">
        <f>Valores!$C$19</f>
        <v>28025.371999999996</v>
      </c>
      <c r="T82" s="125">
        <f t="shared" si="18"/>
        <v>28025.37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Valores!$C$96</f>
        <v>49491.35</v>
      </c>
      <c r="AA82" s="125">
        <f>Valores!$C$25</f>
        <v>1231.85</v>
      </c>
      <c r="AB82" s="214">
        <v>0</v>
      </c>
      <c r="AC82" s="125">
        <f t="shared" si="13"/>
        <v>0</v>
      </c>
      <c r="AD82" s="125">
        <f>Valores!$C$26</f>
        <v>1231.85</v>
      </c>
      <c r="AE82" s="192">
        <v>0</v>
      </c>
      <c r="AF82" s="125">
        <f>ROUND(AE82*Valores!$C$2,2)</f>
        <v>0</v>
      </c>
      <c r="AG82" s="125">
        <f>SUM(F82,H82,J82,L82,M82,N82,O82,P82,Q82,R82,T82,U82,V82,X82,Y82,Z82,AA82,AC82,AD82,AF82,AH82)*Valores!$C$69</f>
        <v>48544.28798999998</v>
      </c>
      <c r="AH82" s="125">
        <f>ROUND(IF($F$4="NO",Valores!$C$63,Valores!$C$63/2),2)</f>
        <v>14083.23</v>
      </c>
      <c r="AI82" s="125">
        <f t="shared" si="14"/>
        <v>424856.59798999986</v>
      </c>
      <c r="AJ82" s="125">
        <f>Valores!$C$31</f>
        <v>0</v>
      </c>
      <c r="AK82" s="125">
        <f>Valores!$C$89</f>
        <v>0</v>
      </c>
      <c r="AL82" s="125">
        <f>Valores!C$38*B82</f>
        <v>0</v>
      </c>
      <c r="AM82" s="125">
        <f>IF($F$3="NO",0,Valores!$C$56)</f>
        <v>0</v>
      </c>
      <c r="AN82" s="125">
        <f t="shared" si="15"/>
        <v>0</v>
      </c>
      <c r="AO82" s="125">
        <f>AI82*Valores!$C$71</f>
        <v>-46734.225778899985</v>
      </c>
      <c r="AP82" s="125">
        <f>AI82*Valores!$C$72</f>
        <v>-8497.131959799997</v>
      </c>
      <c r="AQ82" s="125">
        <f>AI82*-Valores!$C$73</f>
        <v>0</v>
      </c>
      <c r="AR82" s="125">
        <f>AI82*Valores!$C$74</f>
        <v>-23367.112889449993</v>
      </c>
      <c r="AS82" s="125">
        <f>Valores!$C$101</f>
        <v>-1270</v>
      </c>
      <c r="AT82" s="125">
        <f>IF($F$5=0,Valores!$C$102,(Valores!$C$102+$F$5*(Valores!$C$102)))</f>
        <v>-3700</v>
      </c>
      <c r="AU82" s="125">
        <f t="shared" si="17"/>
        <v>341288.1273618499</v>
      </c>
      <c r="AV82" s="125">
        <f t="shared" si="11"/>
        <v>-46734.225778899985</v>
      </c>
      <c r="AW82" s="125">
        <f t="shared" si="19"/>
        <v>-8497.131959799997</v>
      </c>
      <c r="AX82" s="125">
        <f>AI82*Valores!$C$75</f>
        <v>-11471.128145729996</v>
      </c>
      <c r="AY82" s="125">
        <f>AI82*Valores!$C$76</f>
        <v>-1274.5697939699996</v>
      </c>
      <c r="AZ82" s="125">
        <f t="shared" si="16"/>
        <v>356879.5423115999</v>
      </c>
      <c r="BA82" s="125">
        <f>AI82*Valores!$C$78</f>
        <v>67977.05567839998</v>
      </c>
      <c r="BB82" s="125">
        <f>AI82*Valores!$C$79</f>
        <v>29739.961859299994</v>
      </c>
      <c r="BC82" s="125">
        <f>AI82*Valores!$C$80</f>
        <v>4248.565979899999</v>
      </c>
      <c r="BD82" s="125">
        <f>AI82*Valores!$C$82</f>
        <v>14869.980929649997</v>
      </c>
      <c r="BE82" s="125">
        <f>AI82*Valores!$C$84</f>
        <v>22942.25629145999</v>
      </c>
      <c r="BF82" s="125">
        <f>AI82*Valores!$C$83</f>
        <v>2549.1395879399993</v>
      </c>
      <c r="BG82" s="126"/>
      <c r="BH82" s="126">
        <v>30</v>
      </c>
      <c r="BI82" s="123" t="s">
        <v>8</v>
      </c>
    </row>
    <row r="83" spans="1:61" s="110" customFormat="1" ht="11.25" customHeight="1">
      <c r="A83" s="123" t="s">
        <v>258</v>
      </c>
      <c r="B83" s="123">
        <v>1</v>
      </c>
      <c r="C83" s="126">
        <v>76</v>
      </c>
      <c r="D83" s="124" t="s">
        <v>259</v>
      </c>
      <c r="E83" s="192">
        <v>75</v>
      </c>
      <c r="F83" s="125">
        <f>ROUND(E83*Valores!$C$2,2)</f>
        <v>4419.02</v>
      </c>
      <c r="G83" s="192">
        <v>1873</v>
      </c>
      <c r="H83" s="125">
        <f>ROUND(G83*Valores!$C$2,2)</f>
        <v>110357.72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41223.65</v>
      </c>
      <c r="N83" s="125">
        <f t="shared" si="12"/>
        <v>0</v>
      </c>
      <c r="O83" s="125">
        <f>Valores!$C$9</f>
        <v>74035.73</v>
      </c>
      <c r="P83" s="125">
        <f>Valores!$D$5</f>
        <v>30120.06</v>
      </c>
      <c r="Q83" s="125">
        <f>Valores!$C$22</f>
        <v>26870.16</v>
      </c>
      <c r="R83" s="125">
        <f>IF($F$4="NO",Valores!$C$45,Valores!$C$45/2)</f>
        <v>22092.48</v>
      </c>
      <c r="S83" s="125">
        <f>Valores!$C$19</f>
        <v>28025.371999999996</v>
      </c>
      <c r="T83" s="125">
        <f t="shared" si="18"/>
        <v>28025.37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Valores!$C$96</f>
        <v>49491.35</v>
      </c>
      <c r="AA83" s="125">
        <f>Valores!$C$25</f>
        <v>1231.85</v>
      </c>
      <c r="AB83" s="214">
        <v>0</v>
      </c>
      <c r="AC83" s="125">
        <f t="shared" si="13"/>
        <v>0</v>
      </c>
      <c r="AD83" s="125">
        <f>Valores!$C$26</f>
        <v>1231.85</v>
      </c>
      <c r="AE83" s="192">
        <v>0</v>
      </c>
      <c r="AF83" s="125">
        <f>ROUND(AE83*Valores!$C$2,2)</f>
        <v>0</v>
      </c>
      <c r="AG83" s="125">
        <f>SUM(F83,H83,J83,L83,M83,N83,O83,P83,Q83,R83,T83,U83,V83,X83,Y83,Z83,AA83,AC83,AD83,AF83,AH83)*Valores!$C$69</f>
        <v>52010.53862999998</v>
      </c>
      <c r="AH83" s="125">
        <f>ROUND(IF($F$4="NO",Valores!$C$63,Valores!$C$63/2),2)</f>
        <v>14083.23</v>
      </c>
      <c r="AI83" s="125">
        <f t="shared" si="14"/>
        <v>455193.0086299998</v>
      </c>
      <c r="AJ83" s="125">
        <f>Valores!$C$31</f>
        <v>0</v>
      </c>
      <c r="AK83" s="125">
        <f>Valores!$C$89</f>
        <v>0</v>
      </c>
      <c r="AL83" s="125">
        <f>Valores!C$38*B83</f>
        <v>0</v>
      </c>
      <c r="AM83" s="125">
        <f>IF($F$3="NO",0,Valores!$C$56)</f>
        <v>0</v>
      </c>
      <c r="AN83" s="125">
        <f t="shared" si="15"/>
        <v>0</v>
      </c>
      <c r="AO83" s="125">
        <f>AI83*Valores!$C$71</f>
        <v>-50071.23094929998</v>
      </c>
      <c r="AP83" s="125">
        <f>AI83*Valores!$C$72</f>
        <v>-9103.860172599996</v>
      </c>
      <c r="AQ83" s="125">
        <f>AI83*-Valores!$C$73</f>
        <v>0</v>
      </c>
      <c r="AR83" s="125">
        <f>AI83*Valores!$C$74</f>
        <v>-25035.61547464999</v>
      </c>
      <c r="AS83" s="125">
        <f>Valores!$C$101</f>
        <v>-1270</v>
      </c>
      <c r="AT83" s="125">
        <f>IF($F$5=0,Valores!$C$102,(Valores!$C$102+$F$5*(Valores!$C$102)))</f>
        <v>-3700</v>
      </c>
      <c r="AU83" s="125">
        <f t="shared" si="17"/>
        <v>366012.3020334499</v>
      </c>
      <c r="AV83" s="125">
        <f t="shared" si="11"/>
        <v>-50071.23094929998</v>
      </c>
      <c r="AW83" s="125">
        <f t="shared" si="19"/>
        <v>-9103.860172599996</v>
      </c>
      <c r="AX83" s="125">
        <f>AI83*Valores!$C$75</f>
        <v>-12290.211233009995</v>
      </c>
      <c r="AY83" s="125">
        <f>AI83*Valores!$C$76</f>
        <v>-1365.5790258899995</v>
      </c>
      <c r="AZ83" s="125">
        <f t="shared" si="16"/>
        <v>382362.12724919984</v>
      </c>
      <c r="BA83" s="125">
        <f>AI83*Valores!$C$78</f>
        <v>72830.88138079997</v>
      </c>
      <c r="BB83" s="125">
        <f>AI83*Valores!$C$79</f>
        <v>31863.51060409999</v>
      </c>
      <c r="BC83" s="125">
        <f>AI83*Valores!$C$80</f>
        <v>4551.930086299998</v>
      </c>
      <c r="BD83" s="125">
        <f>AI83*Valores!$C$82</f>
        <v>15931.755302049994</v>
      </c>
      <c r="BE83" s="125">
        <f>AI83*Valores!$C$84</f>
        <v>24580.42246601999</v>
      </c>
      <c r="BF83" s="125">
        <f>AI83*Valores!$C$83</f>
        <v>2731.158051779999</v>
      </c>
      <c r="BG83" s="126"/>
      <c r="BH83" s="126">
        <v>25</v>
      </c>
      <c r="BI83" s="123" t="s">
        <v>4</v>
      </c>
    </row>
    <row r="84" spans="1:61" s="110" customFormat="1" ht="11.25" customHeight="1">
      <c r="A84" s="123" t="s">
        <v>260</v>
      </c>
      <c r="B84" s="123">
        <v>1</v>
      </c>
      <c r="C84" s="126">
        <v>77</v>
      </c>
      <c r="D84" s="124" t="s">
        <v>261</v>
      </c>
      <c r="E84" s="192">
        <v>76</v>
      </c>
      <c r="F84" s="125">
        <f>ROUND(E84*Valores!$C$2,2)</f>
        <v>4477.94</v>
      </c>
      <c r="G84" s="192">
        <v>1752</v>
      </c>
      <c r="H84" s="125">
        <f>ROUND(G84*Valores!$C$2,2)</f>
        <v>103228.37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39163.61</v>
      </c>
      <c r="N84" s="125">
        <f t="shared" si="12"/>
        <v>0</v>
      </c>
      <c r="O84" s="125">
        <f>Valores!$C$8</f>
        <v>73844.92</v>
      </c>
      <c r="P84" s="125">
        <f>Valores!$D$5</f>
        <v>30120.06</v>
      </c>
      <c r="Q84" s="125">
        <f>Valores!$C$22</f>
        <v>26870.16</v>
      </c>
      <c r="R84" s="125">
        <f>IF($F$4="NO",Valores!$C$44,Valores!$C$44/2)</f>
        <v>20922.76</v>
      </c>
      <c r="S84" s="125">
        <f>Valores!$C$19</f>
        <v>28025.371999999996</v>
      </c>
      <c r="T84" s="125">
        <f t="shared" si="18"/>
        <v>28025.37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Valores!$C$95</f>
        <v>41242.8</v>
      </c>
      <c r="AA84" s="125">
        <f>Valores!$C$25</f>
        <v>1231.85</v>
      </c>
      <c r="AB84" s="214">
        <v>0</v>
      </c>
      <c r="AC84" s="125">
        <f t="shared" si="13"/>
        <v>0</v>
      </c>
      <c r="AD84" s="125">
        <f>Valores!$C$26</f>
        <v>1231.85</v>
      </c>
      <c r="AE84" s="192">
        <v>0</v>
      </c>
      <c r="AF84" s="125">
        <f>ROUND(AE84*Valores!$C$2,2)</f>
        <v>0</v>
      </c>
      <c r="AG84" s="125">
        <f>SUM(F84,H84,J84,L84,M84,N84,O84,P84,Q84,R84,T84,U84,V84,X84,Y84,Z84,AA84,AC84,AD84,AF84,AH84)*Valores!$C$69</f>
        <v>49593.13667999998</v>
      </c>
      <c r="AH84" s="125">
        <f>ROUND(IF($F$4="NO",Valores!$C$63,Valores!$C$63/2),2)</f>
        <v>14083.23</v>
      </c>
      <c r="AI84" s="125">
        <f t="shared" si="14"/>
        <v>434036.05667999986</v>
      </c>
      <c r="AJ84" s="125">
        <f>Valores!$C$31</f>
        <v>0</v>
      </c>
      <c r="AK84" s="125">
        <f>Valores!$C$88</f>
        <v>0</v>
      </c>
      <c r="AL84" s="125">
        <f>Valores!C$38*B84</f>
        <v>0</v>
      </c>
      <c r="AM84" s="125">
        <f>IF($F$3="NO",0,Valores!$C$56)</f>
        <v>0</v>
      </c>
      <c r="AN84" s="125">
        <f t="shared" si="15"/>
        <v>0</v>
      </c>
      <c r="AO84" s="125">
        <f>AI84*Valores!$C$71</f>
        <v>-47743.966234799984</v>
      </c>
      <c r="AP84" s="125">
        <f>AI84*Valores!$C$72</f>
        <v>-8680.721133599998</v>
      </c>
      <c r="AQ84" s="125">
        <f>AI84*-Valores!$C$73</f>
        <v>0</v>
      </c>
      <c r="AR84" s="125">
        <f>AI84*Valores!$C$74</f>
        <v>-23871.983117399992</v>
      </c>
      <c r="AS84" s="125">
        <f>Valores!$C$101</f>
        <v>-1270</v>
      </c>
      <c r="AT84" s="125">
        <f>IF($F$5=0,Valores!$C$102,(Valores!$C$102+$F$5*(Valores!$C$102)))</f>
        <v>-3700</v>
      </c>
      <c r="AU84" s="125">
        <f t="shared" si="17"/>
        <v>348769.3861941999</v>
      </c>
      <c r="AV84" s="125">
        <f t="shared" si="11"/>
        <v>-47743.966234799984</v>
      </c>
      <c r="AW84" s="125">
        <f t="shared" si="19"/>
        <v>-8680.721133599998</v>
      </c>
      <c r="AX84" s="125">
        <f>AI84*Valores!$C$75</f>
        <v>-11718.973530359995</v>
      </c>
      <c r="AY84" s="125">
        <f>AI84*Valores!$C$76</f>
        <v>-1302.1081700399995</v>
      </c>
      <c r="AZ84" s="125">
        <f t="shared" si="16"/>
        <v>364590.2876111999</v>
      </c>
      <c r="BA84" s="125">
        <f>AI84*Valores!$C$78</f>
        <v>69445.76906879999</v>
      </c>
      <c r="BB84" s="125">
        <f>AI84*Valores!$C$79</f>
        <v>30382.523967599995</v>
      </c>
      <c r="BC84" s="125">
        <f>AI84*Valores!$C$80</f>
        <v>4340.360566799999</v>
      </c>
      <c r="BD84" s="125">
        <f>AI84*Valores!$C$82</f>
        <v>15191.261983799997</v>
      </c>
      <c r="BE84" s="125">
        <f>AI84*Valores!$C$84</f>
        <v>23437.94706071999</v>
      </c>
      <c r="BF84" s="125">
        <f>AI84*Valores!$C$83</f>
        <v>2604.216340079999</v>
      </c>
      <c r="BG84" s="126"/>
      <c r="BH84" s="126">
        <v>25</v>
      </c>
      <c r="BI84" s="123" t="s">
        <v>8</v>
      </c>
    </row>
    <row r="85" spans="1:61" s="110" customFormat="1" ht="11.25" customHeight="1">
      <c r="A85" s="123" t="s">
        <v>262</v>
      </c>
      <c r="B85" s="123">
        <v>1</v>
      </c>
      <c r="C85" s="126">
        <v>78</v>
      </c>
      <c r="D85" s="124" t="s">
        <v>263</v>
      </c>
      <c r="E85" s="192">
        <v>78</v>
      </c>
      <c r="F85" s="125">
        <f>ROUND(E85*Valores!$C$2,2)</f>
        <v>4595.78</v>
      </c>
      <c r="G85" s="192">
        <v>1770</v>
      </c>
      <c r="H85" s="125">
        <f>ROUND(G85*Valores!$C$2,2)</f>
        <v>104288.93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39163.5</v>
      </c>
      <c r="N85" s="125">
        <f t="shared" si="12"/>
        <v>0</v>
      </c>
      <c r="O85" s="125">
        <f>Valores!$C$10</f>
        <v>60291.6</v>
      </c>
      <c r="P85" s="125">
        <f>Valores!$D$5</f>
        <v>30120.06</v>
      </c>
      <c r="Q85" s="125">
        <f>Valores!$C$22</f>
        <v>26870.16</v>
      </c>
      <c r="R85" s="125">
        <f>IF($F$4="NO",Valores!$C$43,Valores!$C$43/2)</f>
        <v>19743.9</v>
      </c>
      <c r="S85" s="125">
        <f>Valores!$C$19</f>
        <v>28025.371999999996</v>
      </c>
      <c r="T85" s="125">
        <f t="shared" si="18"/>
        <v>28025.37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Valores!$C$95</f>
        <v>41242.8</v>
      </c>
      <c r="AA85" s="125">
        <f>Valores!$C$25</f>
        <v>1231.85</v>
      </c>
      <c r="AB85" s="214">
        <v>0</v>
      </c>
      <c r="AC85" s="125">
        <f t="shared" si="13"/>
        <v>0</v>
      </c>
      <c r="AD85" s="125">
        <f>Valores!$C$26</f>
        <v>1231.85</v>
      </c>
      <c r="AE85" s="192">
        <v>0</v>
      </c>
      <c r="AF85" s="125">
        <f>ROUND(AE85*Valores!$C$2,2)</f>
        <v>0</v>
      </c>
      <c r="AG85" s="125">
        <f>SUM(F85,H85,J85,L85,M85,N85,O85,P85,Q85,R85,T85,U85,V85,X85,Y85,Z85,AA85,AC85,AD85,AF85,AH85)*Valores!$C$69</f>
        <v>47844.68486999999</v>
      </c>
      <c r="AH85" s="125">
        <f>ROUND(IF($F$4="NO",Valores!$C$63,Valores!$C$63/2),2)</f>
        <v>14083.23</v>
      </c>
      <c r="AI85" s="125">
        <f t="shared" si="14"/>
        <v>418733.7148699999</v>
      </c>
      <c r="AJ85" s="125">
        <f>Valores!$C$31</f>
        <v>0</v>
      </c>
      <c r="AK85" s="125">
        <f>Valores!$C$88</f>
        <v>0</v>
      </c>
      <c r="AL85" s="125">
        <f>Valores!C$38*B85</f>
        <v>0</v>
      </c>
      <c r="AM85" s="125">
        <f>IF($F$3="NO",0,Valores!$C$56)</f>
        <v>0</v>
      </c>
      <c r="AN85" s="125">
        <f t="shared" si="15"/>
        <v>0</v>
      </c>
      <c r="AO85" s="125">
        <f>AI85*Valores!$C$71</f>
        <v>-46060.70863569999</v>
      </c>
      <c r="AP85" s="125">
        <f>AI85*Valores!$C$72</f>
        <v>-8374.674297399999</v>
      </c>
      <c r="AQ85" s="125">
        <f>AI85*-Valores!$C$73</f>
        <v>0</v>
      </c>
      <c r="AR85" s="125">
        <f>AI85*Valores!$C$74</f>
        <v>-23030.354317849997</v>
      </c>
      <c r="AS85" s="125">
        <f>Valores!$C$101</f>
        <v>-1270</v>
      </c>
      <c r="AT85" s="125">
        <f>IF($F$5=0,Valores!$C$102,(Valores!$C$102+$F$5*(Valores!$C$102)))</f>
        <v>-3700</v>
      </c>
      <c r="AU85" s="125">
        <f t="shared" si="17"/>
        <v>336297.97761904995</v>
      </c>
      <c r="AV85" s="125">
        <f t="shared" si="11"/>
        <v>-46060.70863569999</v>
      </c>
      <c r="AW85" s="125">
        <f t="shared" si="19"/>
        <v>-8374.674297399999</v>
      </c>
      <c r="AX85" s="125">
        <f>AI85*Valores!$C$75</f>
        <v>-11305.810301489997</v>
      </c>
      <c r="AY85" s="125">
        <f>AI85*Valores!$C$76</f>
        <v>-1256.2011446099998</v>
      </c>
      <c r="AZ85" s="125">
        <f t="shared" si="16"/>
        <v>351736.3204907999</v>
      </c>
      <c r="BA85" s="125">
        <f>AI85*Valores!$C$78</f>
        <v>66997.39437919999</v>
      </c>
      <c r="BB85" s="125">
        <f>AI85*Valores!$C$79</f>
        <v>29311.360040899996</v>
      </c>
      <c r="BC85" s="125">
        <f>AI85*Valores!$C$80</f>
        <v>4187.3371486999995</v>
      </c>
      <c r="BD85" s="125">
        <f>AI85*Valores!$C$82</f>
        <v>14655.680020449998</v>
      </c>
      <c r="BE85" s="125">
        <f>AI85*Valores!$C$84</f>
        <v>22611.620602979994</v>
      </c>
      <c r="BF85" s="125">
        <f>AI85*Valores!$C$83</f>
        <v>2512.4022892199996</v>
      </c>
      <c r="BG85" s="126"/>
      <c r="BH85" s="126">
        <v>27</v>
      </c>
      <c r="BI85" s="123" t="s">
        <v>4</v>
      </c>
    </row>
    <row r="86" spans="1:61" s="110" customFormat="1" ht="11.25" customHeight="1">
      <c r="A86" s="123" t="s">
        <v>264</v>
      </c>
      <c r="B86" s="123">
        <v>1</v>
      </c>
      <c r="C86" s="126">
        <v>79</v>
      </c>
      <c r="D86" s="124" t="s">
        <v>265</v>
      </c>
      <c r="E86" s="192">
        <v>76</v>
      </c>
      <c r="F86" s="125">
        <f>ROUND(E86*Valores!$C$2,2)</f>
        <v>4477.94</v>
      </c>
      <c r="G86" s="192">
        <v>1872</v>
      </c>
      <c r="H86" s="125">
        <f>ROUND(G86*Valores!$C$2,2)</f>
        <v>110298.8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40636.5</v>
      </c>
      <c r="N86" s="125">
        <f t="shared" si="12"/>
        <v>0</v>
      </c>
      <c r="O86" s="125">
        <f>Valores!$C$10</f>
        <v>60291.6</v>
      </c>
      <c r="P86" s="125">
        <f>Valores!$D$5</f>
        <v>30120.06</v>
      </c>
      <c r="Q86" s="125">
        <v>0</v>
      </c>
      <c r="R86" s="125">
        <f>IF($F$4="NO",Valores!$C$43,Valores!$C$43/2)</f>
        <v>19743.9</v>
      </c>
      <c r="S86" s="125">
        <f>Valores!$C$19</f>
        <v>28025.371999999996</v>
      </c>
      <c r="T86" s="125">
        <f t="shared" si="18"/>
        <v>28025.37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Valores!$C$95</f>
        <v>41242.8</v>
      </c>
      <c r="AA86" s="125">
        <f>Valores!$C$25</f>
        <v>1231.85</v>
      </c>
      <c r="AB86" s="214">
        <v>0</v>
      </c>
      <c r="AC86" s="125">
        <f t="shared" si="13"/>
        <v>0</v>
      </c>
      <c r="AD86" s="125">
        <f>Valores!$C$26</f>
        <v>1231.85</v>
      </c>
      <c r="AE86" s="192">
        <v>0</v>
      </c>
      <c r="AF86" s="125">
        <f>ROUND(AE86*Valores!$C$2,2)</f>
        <v>0</v>
      </c>
      <c r="AG86" s="125">
        <f>SUM(F86,H86,J86,L86,M86,N86,O86,P86,Q86,R86,T86,U86,V86,X86,Y86,Z86,AA86,AC86,AD86,AF86,AH86)*Valores!$C$69</f>
        <v>45328.52309999999</v>
      </c>
      <c r="AH86" s="125">
        <f>ROUND(IF($F$4="NO",Valores!$C$63,Valores!$C$63/2),2)</f>
        <v>14083.23</v>
      </c>
      <c r="AI86" s="125">
        <f t="shared" si="14"/>
        <v>396712.4230999999</v>
      </c>
      <c r="AJ86" s="125">
        <f>Valores!$C$31</f>
        <v>0</v>
      </c>
      <c r="AK86" s="125">
        <f>Valores!$C$88</f>
        <v>0</v>
      </c>
      <c r="AL86" s="125">
        <f>Valores!C$38*B86</f>
        <v>0</v>
      </c>
      <c r="AM86" s="125">
        <f>IF($F$3="NO",0,Valores!$C$56)</f>
        <v>0</v>
      </c>
      <c r="AN86" s="125">
        <f t="shared" si="15"/>
        <v>0</v>
      </c>
      <c r="AO86" s="125">
        <f>AI86*Valores!$C$71</f>
        <v>-43638.36654099999</v>
      </c>
      <c r="AP86" s="125">
        <f>AI86*Valores!$C$72</f>
        <v>-7934.248461999998</v>
      </c>
      <c r="AQ86" s="125">
        <f>AI86*-Valores!$C$73</f>
        <v>0</v>
      </c>
      <c r="AR86" s="125">
        <f>AI86*Valores!$C$74</f>
        <v>-21819.183270499994</v>
      </c>
      <c r="AS86" s="125">
        <f>Valores!$C$101</f>
        <v>-1270</v>
      </c>
      <c r="AT86" s="125">
        <f>IF($F$5=0,Valores!$C$102,(Valores!$C$102+$F$5*(Valores!$C$102)))</f>
        <v>-3700</v>
      </c>
      <c r="AU86" s="125">
        <f t="shared" si="17"/>
        <v>318350.6248264999</v>
      </c>
      <c r="AV86" s="125">
        <f t="shared" si="11"/>
        <v>-43638.36654099999</v>
      </c>
      <c r="AW86" s="125">
        <f t="shared" si="19"/>
        <v>-7934.248461999998</v>
      </c>
      <c r="AX86" s="125">
        <f>AI86*Valores!$C$75</f>
        <v>-10711.235423699996</v>
      </c>
      <c r="AY86" s="125">
        <f>AI86*Valores!$C$76</f>
        <v>-1190.1372692999996</v>
      </c>
      <c r="AZ86" s="125">
        <f t="shared" si="16"/>
        <v>333238.43540399993</v>
      </c>
      <c r="BA86" s="125">
        <f>AI86*Valores!$C$78</f>
        <v>63473.98769599998</v>
      </c>
      <c r="BB86" s="125">
        <f>AI86*Valores!$C$79</f>
        <v>27769.869616999997</v>
      </c>
      <c r="BC86" s="125">
        <f>AI86*Valores!$C$80</f>
        <v>3967.124230999999</v>
      </c>
      <c r="BD86" s="125">
        <f>AI86*Valores!$C$82</f>
        <v>13884.934808499998</v>
      </c>
      <c r="BE86" s="125">
        <f>AI86*Valores!$C$84</f>
        <v>21422.470847399993</v>
      </c>
      <c r="BF86" s="125">
        <f>AI86*Valores!$C$83</f>
        <v>2380.2745385999992</v>
      </c>
      <c r="BG86" s="126"/>
      <c r="BH86" s="126">
        <v>27</v>
      </c>
      <c r="BI86" s="123" t="s">
        <v>4</v>
      </c>
    </row>
    <row r="87" spans="1:61" s="110" customFormat="1" ht="11.25" customHeight="1">
      <c r="A87" s="123" t="s">
        <v>266</v>
      </c>
      <c r="B87" s="123">
        <v>1</v>
      </c>
      <c r="C87" s="126">
        <v>80</v>
      </c>
      <c r="D87" s="124" t="s">
        <v>267</v>
      </c>
      <c r="E87" s="192">
        <v>169</v>
      </c>
      <c r="F87" s="125">
        <f>ROUND(E87*Valores!$C$2,2)</f>
        <v>9957.53</v>
      </c>
      <c r="G87" s="192">
        <f>1997</f>
        <v>1997</v>
      </c>
      <c r="H87" s="125">
        <f>ROUND(G87*Valores!$C$2,2)</f>
        <v>117663.84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44142.38</v>
      </c>
      <c r="N87" s="125">
        <f t="shared" si="12"/>
        <v>0</v>
      </c>
      <c r="O87" s="125">
        <f>Valores!$C$9</f>
        <v>74035.73</v>
      </c>
      <c r="P87" s="125">
        <f>Valores!$D$5</f>
        <v>30120.06</v>
      </c>
      <c r="Q87" s="125">
        <f>Valores!$C$22</f>
        <v>26870.16</v>
      </c>
      <c r="R87" s="125">
        <f>IF($F$4="NO",Valores!$C$44,Valores!$C$44/2)</f>
        <v>20922.76</v>
      </c>
      <c r="S87" s="125">
        <f>Valores!$C$19</f>
        <v>28025.371999999996</v>
      </c>
      <c r="T87" s="125">
        <f t="shared" si="18"/>
        <v>28025.37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Valores!$C$95</f>
        <v>41242.8</v>
      </c>
      <c r="AA87" s="125">
        <f>Valores!$C$25</f>
        <v>1231.85</v>
      </c>
      <c r="AB87" s="214">
        <v>0</v>
      </c>
      <c r="AC87" s="125">
        <f t="shared" si="13"/>
        <v>0</v>
      </c>
      <c r="AD87" s="125">
        <f>Valores!$C$26</f>
        <v>1231.85</v>
      </c>
      <c r="AE87" s="192">
        <v>0</v>
      </c>
      <c r="AF87" s="125">
        <f>ROUND(AE87*Valores!$C$2,2)</f>
        <v>0</v>
      </c>
      <c r="AG87" s="125">
        <f>SUM(F87,H87,J87,L87,M87,N87,O87,P87,Q87,R87,T87,U87,V87,X87,Y87,Z87,AA87,AC87,AD87,AF87,AH87)*Valores!$C$69</f>
        <v>52829.05523999999</v>
      </c>
      <c r="AH87" s="125">
        <f>ROUND(IF($F$4="NO",Valores!$C$63,Valores!$C$63/2),2)</f>
        <v>14083.23</v>
      </c>
      <c r="AI87" s="125">
        <f t="shared" si="14"/>
        <v>462356.61523999984</v>
      </c>
      <c r="AJ87" s="125">
        <f>Valores!$C$31</f>
        <v>0</v>
      </c>
      <c r="AK87" s="125">
        <f>Valores!$C$88</f>
        <v>0</v>
      </c>
      <c r="AL87" s="125">
        <f>Valores!C$38*B87</f>
        <v>0</v>
      </c>
      <c r="AM87" s="125">
        <f>IF($F$3="NO",0,Valores!$C$56)</f>
        <v>0</v>
      </c>
      <c r="AN87" s="125">
        <f t="shared" si="15"/>
        <v>0</v>
      </c>
      <c r="AO87" s="125">
        <f>AI87*Valores!$C$71</f>
        <v>-50859.22767639998</v>
      </c>
      <c r="AP87" s="125">
        <f>AI87*Valores!$C$72</f>
        <v>-9247.132304799998</v>
      </c>
      <c r="AQ87" s="125">
        <f>AI87*-Valores!$C$73</f>
        <v>0</v>
      </c>
      <c r="AR87" s="125">
        <f>AI87*Valores!$C$74</f>
        <v>-25429.61383819999</v>
      </c>
      <c r="AS87" s="125">
        <f>Valores!$C$101</f>
        <v>-1270</v>
      </c>
      <c r="AT87" s="125">
        <f>IF($F$5=0,Valores!$C$102,(Valores!$C$102+$F$5*(Valores!$C$102)))</f>
        <v>-3700</v>
      </c>
      <c r="AU87" s="125">
        <f t="shared" si="17"/>
        <v>371850.6414205999</v>
      </c>
      <c r="AV87" s="125">
        <f t="shared" si="11"/>
        <v>-50859.22767639998</v>
      </c>
      <c r="AW87" s="125">
        <f t="shared" si="19"/>
        <v>-9247.132304799998</v>
      </c>
      <c r="AX87" s="125">
        <f>AI87*Valores!$C$75</f>
        <v>-12483.628611479995</v>
      </c>
      <c r="AY87" s="125">
        <f>AI87*Valores!$C$76</f>
        <v>-1387.0698457199996</v>
      </c>
      <c r="AZ87" s="125">
        <f t="shared" si="16"/>
        <v>388379.55680159986</v>
      </c>
      <c r="BA87" s="125">
        <f>AI87*Valores!$C$78</f>
        <v>73977.05843839998</v>
      </c>
      <c r="BB87" s="125">
        <f>AI87*Valores!$C$79</f>
        <v>32364.96306679999</v>
      </c>
      <c r="BC87" s="125">
        <f>AI87*Valores!$C$80</f>
        <v>4623.566152399999</v>
      </c>
      <c r="BD87" s="125">
        <f>AI87*Valores!$C$82</f>
        <v>16182.481533399996</v>
      </c>
      <c r="BE87" s="125">
        <f>AI87*Valores!$C$84</f>
        <v>24967.25722295999</v>
      </c>
      <c r="BF87" s="125">
        <f>AI87*Valores!$C$83</f>
        <v>2774.1396914399993</v>
      </c>
      <c r="BG87" s="126"/>
      <c r="BH87" s="126">
        <v>25</v>
      </c>
      <c r="BI87" s="123" t="s">
        <v>8</v>
      </c>
    </row>
    <row r="88" spans="1:61" s="110" customFormat="1" ht="11.25" customHeight="1">
      <c r="A88" s="123" t="s">
        <v>268</v>
      </c>
      <c r="B88" s="123">
        <v>1</v>
      </c>
      <c r="C88" s="126">
        <v>81</v>
      </c>
      <c r="D88" s="124" t="s">
        <v>269</v>
      </c>
      <c r="E88" s="192">
        <v>218</v>
      </c>
      <c r="F88" s="125">
        <f>ROUND(E88*Valores!$C$2,2)</f>
        <v>12844.63</v>
      </c>
      <c r="G88" s="192">
        <f>1997</f>
        <v>1997</v>
      </c>
      <c r="H88" s="125">
        <f>ROUND(G88*Valores!$C$2,2)</f>
        <v>117663.84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44864.15</v>
      </c>
      <c r="N88" s="125">
        <f t="shared" si="12"/>
        <v>0</v>
      </c>
      <c r="O88" s="125">
        <f>Valores!$C$15</f>
        <v>85129.99</v>
      </c>
      <c r="P88" s="125">
        <f>Valores!$D$5</f>
        <v>30120.06</v>
      </c>
      <c r="Q88" s="125">
        <f>Valores!$C$22</f>
        <v>26870.16</v>
      </c>
      <c r="R88" s="125">
        <f>IF($F$4="NO",Valores!$C$44,Valores!$C$44/2)</f>
        <v>20922.76</v>
      </c>
      <c r="S88" s="125">
        <f>Valores!$C$19</f>
        <v>28025.371999999996</v>
      </c>
      <c r="T88" s="125">
        <f t="shared" si="18"/>
        <v>28025.37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Valores!$C$95</f>
        <v>41242.8</v>
      </c>
      <c r="AA88" s="125">
        <f>Valores!$C$25</f>
        <v>1231.85</v>
      </c>
      <c r="AB88" s="214">
        <v>0</v>
      </c>
      <c r="AC88" s="125">
        <f t="shared" si="13"/>
        <v>0</v>
      </c>
      <c r="AD88" s="125">
        <f>Valores!$C$26</f>
        <v>1231.85</v>
      </c>
      <c r="AE88" s="192">
        <v>0</v>
      </c>
      <c r="AF88" s="125">
        <f>ROUND(AE88*Valores!$C$2,2)</f>
        <v>0</v>
      </c>
      <c r="AG88" s="125">
        <f>SUM(F88,H88,J88,L88,M88,N88,O88,P88,Q88,R88,T88,U88,V88,X88,Y88,Z88,AA88,AC88,AD88,AF88,AH88)*Valores!$C$69</f>
        <v>54725.75900999999</v>
      </c>
      <c r="AH88" s="125">
        <f>ROUND(IF($F$4="NO",Valores!$C$63,Valores!$C$63/2),2)</f>
        <v>14083.23</v>
      </c>
      <c r="AI88" s="125">
        <f t="shared" si="14"/>
        <v>478956.44900999987</v>
      </c>
      <c r="AJ88" s="125">
        <f>Valores!$C$31</f>
        <v>0</v>
      </c>
      <c r="AK88" s="125">
        <f>Valores!$C$88</f>
        <v>0</v>
      </c>
      <c r="AL88" s="125">
        <f>Valores!C$38*B88</f>
        <v>0</v>
      </c>
      <c r="AM88" s="125">
        <f>IF($F$3="NO",0,Valores!$C$56)</f>
        <v>0</v>
      </c>
      <c r="AN88" s="125">
        <f t="shared" si="15"/>
        <v>0</v>
      </c>
      <c r="AO88" s="125">
        <f>AI88*Valores!$C$71</f>
        <v>-52685.20939109998</v>
      </c>
      <c r="AP88" s="125">
        <f>AI88*Valores!$C$72</f>
        <v>-9579.128980199997</v>
      </c>
      <c r="AQ88" s="125">
        <f>AI88*-Valores!$C$73</f>
        <v>0</v>
      </c>
      <c r="AR88" s="125">
        <f>AI88*Valores!$C$74</f>
        <v>-26342.60469554999</v>
      </c>
      <c r="AS88" s="125">
        <f>Valores!$C$101</f>
        <v>-1270</v>
      </c>
      <c r="AT88" s="125">
        <f>IF($F$5=0,Valores!$C$102,(Valores!$C$102+$F$5*(Valores!$C$102)))</f>
        <v>-3700</v>
      </c>
      <c r="AU88" s="125">
        <f t="shared" si="17"/>
        <v>385379.5059431499</v>
      </c>
      <c r="AV88" s="125">
        <f t="shared" si="11"/>
        <v>-52685.20939109998</v>
      </c>
      <c r="AW88" s="125">
        <f t="shared" si="19"/>
        <v>-9579.128980199997</v>
      </c>
      <c r="AX88" s="125">
        <f>AI88*Valores!$C$75</f>
        <v>-12931.824123269997</v>
      </c>
      <c r="AY88" s="125">
        <f>AI88*Valores!$C$76</f>
        <v>-1436.8693470299995</v>
      </c>
      <c r="AZ88" s="125">
        <f t="shared" si="16"/>
        <v>402323.4171683999</v>
      </c>
      <c r="BA88" s="125">
        <f>AI88*Valores!$C$78</f>
        <v>76633.03184159998</v>
      </c>
      <c r="BB88" s="125">
        <f>AI88*Valores!$C$79</f>
        <v>33526.95143069999</v>
      </c>
      <c r="BC88" s="125">
        <f>AI88*Valores!$C$80</f>
        <v>4789.564490099999</v>
      </c>
      <c r="BD88" s="125">
        <f>AI88*Valores!$C$82</f>
        <v>16763.475715349996</v>
      </c>
      <c r="BE88" s="125">
        <f>AI88*Valores!$C$84</f>
        <v>25863.648246539993</v>
      </c>
      <c r="BF88" s="125">
        <f>AI88*Valores!$C$83</f>
        <v>2873.738694059999</v>
      </c>
      <c r="BG88" s="126"/>
      <c r="BH88" s="126">
        <v>25</v>
      </c>
      <c r="BI88" s="123" t="s">
        <v>4</v>
      </c>
    </row>
    <row r="89" spans="1:61" s="110" customFormat="1" ht="11.25" customHeight="1">
      <c r="A89" s="123" t="s">
        <v>268</v>
      </c>
      <c r="B89" s="123">
        <v>1</v>
      </c>
      <c r="C89" s="126">
        <v>82</v>
      </c>
      <c r="D89" s="124" t="s">
        <v>270</v>
      </c>
      <c r="E89" s="192">
        <v>218</v>
      </c>
      <c r="F89" s="125">
        <f>ROUND(E89*Valores!$C$2,2)</f>
        <v>12844.63</v>
      </c>
      <c r="G89" s="192">
        <f>1997</f>
        <v>1997</v>
      </c>
      <c r="H89" s="125">
        <f>ROUND(G89*Valores!$C$2,2)</f>
        <v>117663.84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44864.15</v>
      </c>
      <c r="N89" s="125">
        <f t="shared" si="12"/>
        <v>0</v>
      </c>
      <c r="O89" s="125">
        <f>Valores!$C$15</f>
        <v>85129.99</v>
      </c>
      <c r="P89" s="125">
        <f>Valores!$D$5</f>
        <v>30120.06</v>
      </c>
      <c r="Q89" s="125">
        <f>Valores!$C$22</f>
        <v>26870.16</v>
      </c>
      <c r="R89" s="125">
        <f>IF($F$4="NO",Valores!$C$44,Valores!$C$44/2)</f>
        <v>20922.76</v>
      </c>
      <c r="S89" s="125">
        <f>Valores!$C$19</f>
        <v>28025.371999999996</v>
      </c>
      <c r="T89" s="125">
        <f t="shared" si="18"/>
        <v>28025.37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Valores!$C$95</f>
        <v>41242.8</v>
      </c>
      <c r="AA89" s="125">
        <f>Valores!$C$25</f>
        <v>1231.85</v>
      </c>
      <c r="AB89" s="214">
        <v>0</v>
      </c>
      <c r="AC89" s="125">
        <f t="shared" si="13"/>
        <v>0</v>
      </c>
      <c r="AD89" s="125">
        <f>Valores!$C$26</f>
        <v>1231.85</v>
      </c>
      <c r="AE89" s="192">
        <v>19</v>
      </c>
      <c r="AF89" s="125">
        <f>ROUND(AE89*Valores!$C$2,2)</f>
        <v>1119.49</v>
      </c>
      <c r="AG89" s="125">
        <f>SUM(F89,H89,J89,L89,M89,N89,O89,P89,Q89,R89,T89,U89,V89,X89,Y89,Z89,AA89,AC89,AD89,AF89,AH89)*Valores!$C$69</f>
        <v>54870.17321999998</v>
      </c>
      <c r="AH89" s="125">
        <f>ROUND(IF($F$4="NO",Valores!$C$63,Valores!$C$63/2),2)</f>
        <v>14083.23</v>
      </c>
      <c r="AI89" s="125">
        <f t="shared" si="14"/>
        <v>480220.3532199999</v>
      </c>
      <c r="AJ89" s="125">
        <f>Valores!$C$31</f>
        <v>0</v>
      </c>
      <c r="AK89" s="125">
        <f>Valores!$C$88</f>
        <v>0</v>
      </c>
      <c r="AL89" s="125">
        <f>Valores!C$38*B89</f>
        <v>0</v>
      </c>
      <c r="AM89" s="125">
        <f>IF($F$3="NO",0,Valores!$C$56)</f>
        <v>0</v>
      </c>
      <c r="AN89" s="125">
        <f t="shared" si="15"/>
        <v>0</v>
      </c>
      <c r="AO89" s="125">
        <f>AI89*Valores!$C$71</f>
        <v>-52824.23885419999</v>
      </c>
      <c r="AP89" s="125">
        <f>AI89*Valores!$C$72</f>
        <v>-9604.407064399998</v>
      </c>
      <c r="AQ89" s="125">
        <f>AI89*-Valores!$C$73</f>
        <v>0</v>
      </c>
      <c r="AR89" s="125">
        <f>AI89*Valores!$C$74</f>
        <v>-26412.119427099995</v>
      </c>
      <c r="AS89" s="125">
        <f>Valores!$C$101</f>
        <v>-1270</v>
      </c>
      <c r="AT89" s="125">
        <f>IF($F$5=0,Valores!$C$102,(Valores!$C$102+$F$5*(Valores!$C$102)))</f>
        <v>-3700</v>
      </c>
      <c r="AU89" s="125">
        <f t="shared" si="17"/>
        <v>386409.5878742999</v>
      </c>
      <c r="AV89" s="125">
        <f t="shared" si="11"/>
        <v>-52824.23885419999</v>
      </c>
      <c r="AW89" s="125">
        <f t="shared" si="19"/>
        <v>-9604.407064399998</v>
      </c>
      <c r="AX89" s="125">
        <f>AI89*Valores!$C$75</f>
        <v>-12965.949536939996</v>
      </c>
      <c r="AY89" s="125">
        <f>AI89*Valores!$C$76</f>
        <v>-1440.6610596599996</v>
      </c>
      <c r="AZ89" s="125">
        <f t="shared" si="16"/>
        <v>403385.0967047999</v>
      </c>
      <c r="BA89" s="125">
        <f>AI89*Valores!$C$78</f>
        <v>76835.25651519999</v>
      </c>
      <c r="BB89" s="125">
        <f>AI89*Valores!$C$79</f>
        <v>33615.42472539999</v>
      </c>
      <c r="BC89" s="125">
        <f>AI89*Valores!$C$80</f>
        <v>4802.203532199999</v>
      </c>
      <c r="BD89" s="125">
        <f>AI89*Valores!$C$82</f>
        <v>16807.712362699996</v>
      </c>
      <c r="BE89" s="125">
        <f>AI89*Valores!$C$84</f>
        <v>25931.89907387999</v>
      </c>
      <c r="BF89" s="125">
        <f>AI89*Valores!$C$83</f>
        <v>2881.3221193199993</v>
      </c>
      <c r="BG89" s="126"/>
      <c r="BH89" s="126">
        <v>25</v>
      </c>
      <c r="BI89" s="123" t="s">
        <v>4</v>
      </c>
    </row>
    <row r="90" spans="1:61" s="110" customFormat="1" ht="11.25" customHeight="1">
      <c r="A90" s="123" t="s">
        <v>271</v>
      </c>
      <c r="B90" s="123">
        <v>1</v>
      </c>
      <c r="C90" s="126">
        <v>83</v>
      </c>
      <c r="D90" s="124" t="s">
        <v>272</v>
      </c>
      <c r="E90" s="192">
        <v>187</v>
      </c>
      <c r="F90" s="125">
        <f>ROUND(E90*Valores!$C$2,2)</f>
        <v>11018.1</v>
      </c>
      <c r="G90" s="192">
        <v>1704</v>
      </c>
      <c r="H90" s="125">
        <f>ROUND(G90*Valores!$C$2,2)</f>
        <v>100400.19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40091.61</v>
      </c>
      <c r="N90" s="125">
        <f t="shared" si="12"/>
        <v>0</v>
      </c>
      <c r="O90" s="125">
        <f>Valores!$C$9</f>
        <v>74035.73</v>
      </c>
      <c r="P90" s="125">
        <f>Valores!$D$5</f>
        <v>30120.06</v>
      </c>
      <c r="Q90" s="125">
        <f>Valores!$C$22</f>
        <v>26870.16</v>
      </c>
      <c r="R90" s="125">
        <f>IF($F$4="NO",Valores!$C$44,Valores!$C$44/2)</f>
        <v>20922.76</v>
      </c>
      <c r="S90" s="125">
        <f>Valores!$C$19</f>
        <v>28025.371999999996</v>
      </c>
      <c r="T90" s="125">
        <f t="shared" si="18"/>
        <v>28025.37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Valores!$C$95</f>
        <v>41242.8</v>
      </c>
      <c r="AA90" s="125">
        <f>Valores!$C$25</f>
        <v>1231.85</v>
      </c>
      <c r="AB90" s="214">
        <v>0</v>
      </c>
      <c r="AC90" s="125">
        <f t="shared" si="13"/>
        <v>0</v>
      </c>
      <c r="AD90" s="125">
        <f>Valores!$C$26</f>
        <v>1231.85</v>
      </c>
      <c r="AE90" s="192">
        <v>0</v>
      </c>
      <c r="AF90" s="125">
        <f>ROUND(AE90*Valores!$C$2,2)</f>
        <v>0</v>
      </c>
      <c r="AG90" s="125">
        <f>SUM(F90,H90,J90,L90,M90,N90,O90,P90,Q90,R90,T90,U90,V90,X90,Y90,Z90,AA90,AC90,AD90,AF90,AH90)*Valores!$C$69</f>
        <v>50216.308589999986</v>
      </c>
      <c r="AH90" s="125">
        <f>ROUND(IF($F$4="NO",Valores!$C$63,Valores!$C$63/2),2)</f>
        <v>14083.23</v>
      </c>
      <c r="AI90" s="125">
        <f t="shared" si="14"/>
        <v>439490.0185899999</v>
      </c>
      <c r="AJ90" s="125">
        <f>Valores!$C$31</f>
        <v>0</v>
      </c>
      <c r="AK90" s="125">
        <f>Valores!$C$88</f>
        <v>0</v>
      </c>
      <c r="AL90" s="125">
        <f>Valores!C$38*B90</f>
        <v>0</v>
      </c>
      <c r="AM90" s="125">
        <f>IF($F$3="NO",0,Valores!$C$56)</f>
        <v>0</v>
      </c>
      <c r="AN90" s="125">
        <f t="shared" si="15"/>
        <v>0</v>
      </c>
      <c r="AO90" s="125">
        <f>AI90*Valores!$C$71</f>
        <v>-48343.90204489999</v>
      </c>
      <c r="AP90" s="125">
        <f>AI90*Valores!$C$72</f>
        <v>-8789.800371799998</v>
      </c>
      <c r="AQ90" s="125">
        <f>AI90*-Valores!$C$73</f>
        <v>0</v>
      </c>
      <c r="AR90" s="125">
        <f>AI90*Valores!$C$74</f>
        <v>-24171.951022449994</v>
      </c>
      <c r="AS90" s="125">
        <f>Valores!$C$101</f>
        <v>-1270</v>
      </c>
      <c r="AT90" s="125">
        <f>IF($F$5=0,Valores!$C$102,(Valores!$C$102+$F$5*(Valores!$C$102)))</f>
        <v>-3700</v>
      </c>
      <c r="AU90" s="125">
        <f t="shared" si="17"/>
        <v>353214.3651508499</v>
      </c>
      <c r="AV90" s="125">
        <f t="shared" si="11"/>
        <v>-48343.90204489999</v>
      </c>
      <c r="AW90" s="125">
        <f t="shared" si="19"/>
        <v>-8789.800371799998</v>
      </c>
      <c r="AX90" s="125">
        <f>AI90*Valores!$C$75</f>
        <v>-11866.230501929997</v>
      </c>
      <c r="AY90" s="125">
        <f>AI90*Valores!$C$76</f>
        <v>-1318.4700557699996</v>
      </c>
      <c r="AZ90" s="125">
        <f t="shared" si="16"/>
        <v>369171.6156155999</v>
      </c>
      <c r="BA90" s="125">
        <f>AI90*Valores!$C$78</f>
        <v>70318.40297439999</v>
      </c>
      <c r="BB90" s="125">
        <f>AI90*Valores!$C$79</f>
        <v>30764.301301299995</v>
      </c>
      <c r="BC90" s="125">
        <f>AI90*Valores!$C$80</f>
        <v>4394.900185899999</v>
      </c>
      <c r="BD90" s="125">
        <f>AI90*Valores!$C$82</f>
        <v>15382.150650649997</v>
      </c>
      <c r="BE90" s="125">
        <f>AI90*Valores!$C$84</f>
        <v>23732.461003859993</v>
      </c>
      <c r="BF90" s="125">
        <f>AI90*Valores!$C$83</f>
        <v>2636.940111539999</v>
      </c>
      <c r="BG90" s="126"/>
      <c r="BH90" s="126">
        <v>25</v>
      </c>
      <c r="BI90" s="123" t="s">
        <v>4</v>
      </c>
    </row>
    <row r="91" spans="1:61" s="110" customFormat="1" ht="11.25" customHeight="1">
      <c r="A91" s="123" t="s">
        <v>271</v>
      </c>
      <c r="B91" s="123">
        <v>1</v>
      </c>
      <c r="C91" s="126">
        <v>84</v>
      </c>
      <c r="D91" s="124" t="s">
        <v>273</v>
      </c>
      <c r="E91" s="192">
        <v>187</v>
      </c>
      <c r="F91" s="125">
        <f>ROUND(E91*Valores!$C$2,2)</f>
        <v>11018.1</v>
      </c>
      <c r="G91" s="192">
        <v>1704</v>
      </c>
      <c r="H91" s="125">
        <f>ROUND(G91*Valores!$C$2,2)</f>
        <v>100400.19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40091.61</v>
      </c>
      <c r="N91" s="125">
        <f t="shared" si="12"/>
        <v>0</v>
      </c>
      <c r="O91" s="125">
        <f>Valores!$C$9</f>
        <v>74035.73</v>
      </c>
      <c r="P91" s="125">
        <f>Valores!$D$5</f>
        <v>30120.06</v>
      </c>
      <c r="Q91" s="125">
        <f>Valores!$C$22</f>
        <v>26870.16</v>
      </c>
      <c r="R91" s="125">
        <f>IF($F$4="NO",Valores!$C$44,Valores!$C$44/2)</f>
        <v>20922.76</v>
      </c>
      <c r="S91" s="125">
        <f>Valores!$C$19</f>
        <v>28025.371999999996</v>
      </c>
      <c r="T91" s="125">
        <f t="shared" si="18"/>
        <v>28025.37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Valores!$C$95</f>
        <v>41242.8</v>
      </c>
      <c r="AA91" s="125">
        <f>Valores!$C$25</f>
        <v>1231.85</v>
      </c>
      <c r="AB91" s="214">
        <v>0</v>
      </c>
      <c r="AC91" s="125">
        <f t="shared" si="13"/>
        <v>0</v>
      </c>
      <c r="AD91" s="125">
        <f>Valores!$C$26</f>
        <v>1231.85</v>
      </c>
      <c r="AE91" s="192">
        <v>19</v>
      </c>
      <c r="AF91" s="125">
        <f>ROUND(AE91*Valores!$C$2,2)</f>
        <v>1119.49</v>
      </c>
      <c r="AG91" s="125">
        <f>SUM(F91,H91,J91,L91,M91,N91,O91,P91,Q91,R91,T91,U91,V91,X91,Y91,Z91,AA91,AC91,AD91,AF91,AH91)*Valores!$C$69</f>
        <v>50360.72279999999</v>
      </c>
      <c r="AH91" s="125">
        <f>ROUND(IF($F$4="NO",Valores!$C$63,Valores!$C$63/2),2)</f>
        <v>14083.23</v>
      </c>
      <c r="AI91" s="125">
        <f t="shared" si="14"/>
        <v>440753.9227999999</v>
      </c>
      <c r="AJ91" s="125">
        <f>Valores!$C$31</f>
        <v>0</v>
      </c>
      <c r="AK91" s="125">
        <f>Valores!$C$88</f>
        <v>0</v>
      </c>
      <c r="AL91" s="125">
        <f>Valores!C$38*B91</f>
        <v>0</v>
      </c>
      <c r="AM91" s="125">
        <f>IF($F$3="NO",0,Valores!$C$56)</f>
        <v>0</v>
      </c>
      <c r="AN91" s="125">
        <f t="shared" si="15"/>
        <v>0</v>
      </c>
      <c r="AO91" s="125">
        <f>AI91*Valores!$C$71</f>
        <v>-48482.93150799999</v>
      </c>
      <c r="AP91" s="125">
        <f>AI91*Valores!$C$72</f>
        <v>-8815.078455999997</v>
      </c>
      <c r="AQ91" s="125">
        <f>AI91*-Valores!$C$73</f>
        <v>0</v>
      </c>
      <c r="AR91" s="125">
        <f>AI91*Valores!$C$74</f>
        <v>-24241.465753999993</v>
      </c>
      <c r="AS91" s="125">
        <f>Valores!$C$101</f>
        <v>-1270</v>
      </c>
      <c r="AT91" s="125">
        <f>IF($F$5=0,Valores!$C$102,(Valores!$C$102+$F$5*(Valores!$C$102)))</f>
        <v>-3700</v>
      </c>
      <c r="AU91" s="125">
        <f t="shared" si="17"/>
        <v>354244.4470819999</v>
      </c>
      <c r="AV91" s="125">
        <f t="shared" si="11"/>
        <v>-48482.93150799999</v>
      </c>
      <c r="AW91" s="125">
        <f t="shared" si="19"/>
        <v>-8815.078455999997</v>
      </c>
      <c r="AX91" s="125">
        <f>AI91*Valores!$C$75</f>
        <v>-11900.355915599997</v>
      </c>
      <c r="AY91" s="125">
        <f>AI91*Valores!$C$76</f>
        <v>-1322.2617683999997</v>
      </c>
      <c r="AZ91" s="125">
        <f t="shared" si="16"/>
        <v>370233.2951519999</v>
      </c>
      <c r="BA91" s="125">
        <f>AI91*Valores!$C$78</f>
        <v>70520.62764799998</v>
      </c>
      <c r="BB91" s="125">
        <f>AI91*Valores!$C$79</f>
        <v>30852.774595999996</v>
      </c>
      <c r="BC91" s="125">
        <f>AI91*Valores!$C$80</f>
        <v>4407.539227999999</v>
      </c>
      <c r="BD91" s="125">
        <f>AI91*Valores!$C$82</f>
        <v>15426.387297999998</v>
      </c>
      <c r="BE91" s="125">
        <f>AI91*Valores!$C$84</f>
        <v>23800.711831199995</v>
      </c>
      <c r="BF91" s="125">
        <f>AI91*Valores!$C$83</f>
        <v>2644.5235367999994</v>
      </c>
      <c r="BG91" s="126"/>
      <c r="BH91" s="126">
        <v>25</v>
      </c>
      <c r="BI91" s="123" t="s">
        <v>4</v>
      </c>
    </row>
    <row r="92" spans="1:61" s="110" customFormat="1" ht="11.25" customHeight="1">
      <c r="A92" s="123" t="s">
        <v>274</v>
      </c>
      <c r="B92" s="123">
        <v>1</v>
      </c>
      <c r="C92" s="126">
        <v>85</v>
      </c>
      <c r="D92" s="124" t="s">
        <v>275</v>
      </c>
      <c r="E92" s="192">
        <v>161</v>
      </c>
      <c r="F92" s="125">
        <f>ROUND(E92*Valores!$C$2,2)</f>
        <v>9486.17</v>
      </c>
      <c r="G92" s="192">
        <f>1480</f>
        <v>1480</v>
      </c>
      <c r="H92" s="125">
        <f>ROUND(G92*Valores!$C$2,2)</f>
        <v>87202.04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36409.09</v>
      </c>
      <c r="N92" s="125">
        <f t="shared" si="12"/>
        <v>0</v>
      </c>
      <c r="O92" s="125">
        <f>Valores!$C$9</f>
        <v>74035.73</v>
      </c>
      <c r="P92" s="125">
        <f>Valores!$D$5</f>
        <v>30120.06</v>
      </c>
      <c r="Q92" s="125">
        <f>Valores!$C$22</f>
        <v>26870.16</v>
      </c>
      <c r="R92" s="125">
        <f>IF($F$4="NO",Valores!$C$44,Valores!$C$44/2)</f>
        <v>20922.76</v>
      </c>
      <c r="S92" s="125">
        <f>Valores!$C$19</f>
        <v>28025.371999999996</v>
      </c>
      <c r="T92" s="125">
        <f t="shared" si="18"/>
        <v>28025.37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Valores!$C$95</f>
        <v>41242.8</v>
      </c>
      <c r="AA92" s="125">
        <f>Valores!$C$25</f>
        <v>1231.85</v>
      </c>
      <c r="AB92" s="214">
        <v>0</v>
      </c>
      <c r="AC92" s="125">
        <f t="shared" si="13"/>
        <v>0</v>
      </c>
      <c r="AD92" s="125">
        <f>Valores!$C$26</f>
        <v>1231.85</v>
      </c>
      <c r="AE92" s="192">
        <v>0</v>
      </c>
      <c r="AF92" s="125">
        <f>ROUND(AE92*Valores!$C$2,2)</f>
        <v>0</v>
      </c>
      <c r="AG92" s="125">
        <f>SUM(F92,H92,J92,L92,M92,N92,O92,P92,Q92,R92,T92,U92,V92,X92,Y92,Z92,AA92,AC92,AD92,AF92,AH92)*Valores!$C$69</f>
        <v>47841.08318999998</v>
      </c>
      <c r="AH92" s="125">
        <f>ROUND(IF($F$4="NO",Valores!$C$63,Valores!$C$63/2),2)</f>
        <v>14083.23</v>
      </c>
      <c r="AI92" s="125">
        <f>SUM(F92,H92,J92,L92,M92,N92,O92,P92,Q92,R92,T92,U92,V92,X92,Y92,Z92,AA92,AC92,AD92,AF92,AG92,AH92)</f>
        <v>418702.19318999985</v>
      </c>
      <c r="AJ92" s="125">
        <f>Valores!$C$31</f>
        <v>0</v>
      </c>
      <c r="AK92" s="125">
        <f>Valores!$C$88</f>
        <v>0</v>
      </c>
      <c r="AL92" s="125">
        <f>Valores!C$38*B92</f>
        <v>0</v>
      </c>
      <c r="AM92" s="125">
        <f>IF($F$3="NO",0,Valores!$C$56)</f>
        <v>0</v>
      </c>
      <c r="AN92" s="125">
        <f t="shared" si="15"/>
        <v>0</v>
      </c>
      <c r="AO92" s="125">
        <f>AI92*Valores!$C$71</f>
        <v>-46057.241250899984</v>
      </c>
      <c r="AP92" s="125">
        <f>AI92*Valores!$C$72</f>
        <v>-8374.043863799998</v>
      </c>
      <c r="AQ92" s="125">
        <f>AI92*-Valores!$C$73</f>
        <v>0</v>
      </c>
      <c r="AR92" s="125">
        <f>AI92*Valores!$C$74</f>
        <v>-23028.620625449992</v>
      </c>
      <c r="AS92" s="125">
        <f>Valores!$C$101</f>
        <v>-1270</v>
      </c>
      <c r="AT92" s="125">
        <f>IF($F$5=0,Valores!$C$102,(Valores!$C$102+$F$5*(Valores!$C$102)))</f>
        <v>-3700</v>
      </c>
      <c r="AU92" s="125">
        <f t="shared" si="17"/>
        <v>336272.2874498499</v>
      </c>
      <c r="AV92" s="125">
        <f t="shared" si="11"/>
        <v>-46057.241250899984</v>
      </c>
      <c r="AW92" s="125">
        <f t="shared" si="19"/>
        <v>-8374.043863799998</v>
      </c>
      <c r="AX92" s="125">
        <f>AI92*Valores!$C$75</f>
        <v>-11304.959216129995</v>
      </c>
      <c r="AY92" s="125">
        <f>AI92*Valores!$C$76</f>
        <v>-1256.1065795699997</v>
      </c>
      <c r="AZ92" s="125">
        <f t="shared" si="16"/>
        <v>351709.84227959986</v>
      </c>
      <c r="BA92" s="125">
        <f>AI92*Valores!$C$78</f>
        <v>66992.35091039998</v>
      </c>
      <c r="BB92" s="125">
        <f>AI92*Valores!$C$79</f>
        <v>29309.153523299992</v>
      </c>
      <c r="BC92" s="125">
        <f>AI92*Valores!$C$80</f>
        <v>4187.021931899999</v>
      </c>
      <c r="BD92" s="125">
        <f>AI92*Valores!$C$82</f>
        <v>14654.576761649996</v>
      </c>
      <c r="BE92" s="125">
        <f>AI92*Valores!$C$84</f>
        <v>22609.91843225999</v>
      </c>
      <c r="BF92" s="125">
        <f>AI92*Valores!$C$83</f>
        <v>2512.2131591399993</v>
      </c>
      <c r="BG92" s="126"/>
      <c r="BH92" s="126">
        <v>25</v>
      </c>
      <c r="BI92" s="123" t="s">
        <v>4</v>
      </c>
    </row>
    <row r="93" spans="1:61" s="110" customFormat="1" ht="11.25" customHeight="1">
      <c r="A93" s="123" t="s">
        <v>274</v>
      </c>
      <c r="B93" s="123">
        <v>1</v>
      </c>
      <c r="C93" s="126">
        <v>86</v>
      </c>
      <c r="D93" s="124" t="s">
        <v>276</v>
      </c>
      <c r="E93" s="192">
        <v>161</v>
      </c>
      <c r="F93" s="125">
        <f>ROUND(E93*Valores!$C$2,2)</f>
        <v>9486.17</v>
      </c>
      <c r="G93" s="192">
        <f>1480</f>
        <v>1480</v>
      </c>
      <c r="H93" s="125">
        <f>ROUND(G93*Valores!$C$2,2)</f>
        <v>87202.04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36409.09</v>
      </c>
      <c r="N93" s="125">
        <f t="shared" si="12"/>
        <v>0</v>
      </c>
      <c r="O93" s="125">
        <f>Valores!$C$9</f>
        <v>74035.73</v>
      </c>
      <c r="P93" s="125">
        <f>Valores!$D$5</f>
        <v>30120.06</v>
      </c>
      <c r="Q93" s="125">
        <f>Valores!$C$22</f>
        <v>26870.16</v>
      </c>
      <c r="R93" s="125">
        <f>IF($F$4="NO",Valores!$C$44,Valores!$C$44/2)</f>
        <v>20922.76</v>
      </c>
      <c r="S93" s="125">
        <f>Valores!$C$19</f>
        <v>28025.371999999996</v>
      </c>
      <c r="T93" s="125">
        <f t="shared" si="18"/>
        <v>28025.37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Valores!$C$95</f>
        <v>41242.8</v>
      </c>
      <c r="AA93" s="125">
        <f>Valores!$C$25</f>
        <v>1231.85</v>
      </c>
      <c r="AB93" s="214">
        <v>0</v>
      </c>
      <c r="AC93" s="125">
        <f t="shared" si="13"/>
        <v>0</v>
      </c>
      <c r="AD93" s="125">
        <f>Valores!$C$26</f>
        <v>1231.85</v>
      </c>
      <c r="AE93" s="192">
        <v>19</v>
      </c>
      <c r="AF93" s="125">
        <f>ROUND(AE93*Valores!$C$2,2)</f>
        <v>1119.49</v>
      </c>
      <c r="AG93" s="125">
        <f>SUM(F93,H93,J93,L93,M93,N93,O93,P93,Q93,R93,T93,U93,V93,X93,Y93,Z93,AA93,AC93,AD93,AF93,AH93)*Valores!$C$69</f>
        <v>47985.497399999986</v>
      </c>
      <c r="AH93" s="125">
        <f>ROUND(IF($F$4="NO",Valores!$C$63,Valores!$C$63/2),2)</f>
        <v>14083.23</v>
      </c>
      <c r="AI93" s="125">
        <f aca="true" t="shared" si="20" ref="AI93:AI156">SUM(F93,H93,J93,L93,M93,N93,O93,P93,Q93,R93,T93,U93,V93,X93,Y93,Z93,AA93,AC93,AD93,AF93,AG93,AH93)</f>
        <v>419966.09739999985</v>
      </c>
      <c r="AJ93" s="125">
        <f>Valores!$C$31</f>
        <v>0</v>
      </c>
      <c r="AK93" s="125">
        <f>Valores!$C$88</f>
        <v>0</v>
      </c>
      <c r="AL93" s="125">
        <f>Valores!C$38*B93</f>
        <v>0</v>
      </c>
      <c r="AM93" s="125">
        <f>IF($F$3="NO",0,Valores!$C$56)</f>
        <v>0</v>
      </c>
      <c r="AN93" s="125">
        <f t="shared" si="15"/>
        <v>0</v>
      </c>
      <c r="AO93" s="125">
        <f>AI93*Valores!$C$71</f>
        <v>-46196.270713999984</v>
      </c>
      <c r="AP93" s="125">
        <f>AI93*Valores!$C$72</f>
        <v>-8399.321947999997</v>
      </c>
      <c r="AQ93" s="125">
        <f>AI93*-Valores!$C$73</f>
        <v>0</v>
      </c>
      <c r="AR93" s="125">
        <f>AI93*Valores!$C$74</f>
        <v>-23098.135356999992</v>
      </c>
      <c r="AS93" s="125">
        <f>Valores!$C$101</f>
        <v>-1270</v>
      </c>
      <c r="AT93" s="125">
        <f>IF($F$5=0,Valores!$C$102,(Valores!$C$102+$F$5*(Valores!$C$102)))</f>
        <v>-3700</v>
      </c>
      <c r="AU93" s="125">
        <f t="shared" si="17"/>
        <v>337302.3693809999</v>
      </c>
      <c r="AV93" s="125">
        <f t="shared" si="11"/>
        <v>-46196.270713999984</v>
      </c>
      <c r="AW93" s="125">
        <f t="shared" si="19"/>
        <v>-8399.321947999997</v>
      </c>
      <c r="AX93" s="125">
        <f>AI93*Valores!$C$75</f>
        <v>-11339.084629799996</v>
      </c>
      <c r="AY93" s="125">
        <f>AI93*Valores!$C$76</f>
        <v>-1259.8982921999996</v>
      </c>
      <c r="AZ93" s="125">
        <f t="shared" si="16"/>
        <v>352771.5218159999</v>
      </c>
      <c r="BA93" s="125">
        <f>AI93*Valores!$C$78</f>
        <v>67194.57558399998</v>
      </c>
      <c r="BB93" s="125">
        <f>AI93*Valores!$C$79</f>
        <v>29397.626817999993</v>
      </c>
      <c r="BC93" s="125">
        <f>AI93*Valores!$C$80</f>
        <v>4199.6609739999985</v>
      </c>
      <c r="BD93" s="125">
        <f>AI93*Valores!$C$82</f>
        <v>14698.813408999997</v>
      </c>
      <c r="BE93" s="125">
        <f>AI93*Valores!$C$84</f>
        <v>22678.169259599992</v>
      </c>
      <c r="BF93" s="125">
        <f>AI93*Valores!$C$83</f>
        <v>2519.796584399999</v>
      </c>
      <c r="BG93" s="126"/>
      <c r="BH93" s="126">
        <v>25</v>
      </c>
      <c r="BI93" s="123" t="s">
        <v>4</v>
      </c>
    </row>
    <row r="94" spans="1:61" s="110" customFormat="1" ht="11.25" customHeight="1">
      <c r="A94" s="123" t="s">
        <v>277</v>
      </c>
      <c r="B94" s="123">
        <v>1</v>
      </c>
      <c r="C94" s="126">
        <v>87</v>
      </c>
      <c r="D94" s="124" t="s">
        <v>278</v>
      </c>
      <c r="E94" s="192">
        <v>179</v>
      </c>
      <c r="F94" s="125">
        <f>ROUND(E94*Valores!$C$2,2)</f>
        <v>10546.73</v>
      </c>
      <c r="G94" s="192">
        <v>1712</v>
      </c>
      <c r="H94" s="125">
        <f>ROUND(G94*Valores!$C$2,2)</f>
        <v>100871.55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40091.6</v>
      </c>
      <c r="N94" s="125">
        <f t="shared" si="12"/>
        <v>0</v>
      </c>
      <c r="O94" s="125">
        <f>Valores!$C$9</f>
        <v>74035.73</v>
      </c>
      <c r="P94" s="125">
        <f>Valores!$D$5</f>
        <v>30120.06</v>
      </c>
      <c r="Q94" s="125">
        <f>Valores!$C$22</f>
        <v>26870.16</v>
      </c>
      <c r="R94" s="125">
        <f>IF($F$4="NO",Valores!$C$44,Valores!$C$44/2)</f>
        <v>20922.76</v>
      </c>
      <c r="S94" s="125">
        <f>Valores!$C$19</f>
        <v>28025.371999999996</v>
      </c>
      <c r="T94" s="125">
        <f t="shared" si="18"/>
        <v>28025.37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Valores!$C$95</f>
        <v>41242.8</v>
      </c>
      <c r="AA94" s="125">
        <f>Valores!$C$25</f>
        <v>1231.85</v>
      </c>
      <c r="AB94" s="214">
        <v>0</v>
      </c>
      <c r="AC94" s="125">
        <f t="shared" si="13"/>
        <v>0</v>
      </c>
      <c r="AD94" s="125">
        <f>Valores!$C$26</f>
        <v>1231.85</v>
      </c>
      <c r="AE94" s="192">
        <v>0</v>
      </c>
      <c r="AF94" s="125">
        <f>ROUND(AE94*Valores!$C$2,2)</f>
        <v>0</v>
      </c>
      <c r="AG94" s="125">
        <f>SUM(F94,H94,J94,L94,M94,N94,O94,P94,Q94,R94,T94,U94,V94,X94,Y94,Z94,AA94,AC94,AD94,AF94,AH94)*Valores!$C$69</f>
        <v>50216.306009999986</v>
      </c>
      <c r="AH94" s="125">
        <f>ROUND(IF($F$4="NO",Valores!$C$63,Valores!$C$63/2),2)</f>
        <v>14083.23</v>
      </c>
      <c r="AI94" s="125">
        <f t="shared" si="20"/>
        <v>439489.9960099999</v>
      </c>
      <c r="AJ94" s="125">
        <f>Valores!$C$31</f>
        <v>0</v>
      </c>
      <c r="AK94" s="125">
        <f>Valores!$C$88</f>
        <v>0</v>
      </c>
      <c r="AL94" s="125">
        <f>Valores!C$38*B94</f>
        <v>0</v>
      </c>
      <c r="AM94" s="125">
        <f>IF($F$3="NO",0,Valores!$C$56)</f>
        <v>0</v>
      </c>
      <c r="AN94" s="125">
        <f t="shared" si="15"/>
        <v>0</v>
      </c>
      <c r="AO94" s="125">
        <f>AI94*Valores!$C$71</f>
        <v>-48343.899561099985</v>
      </c>
      <c r="AP94" s="125">
        <f>AI94*Valores!$C$72</f>
        <v>-8789.799920199997</v>
      </c>
      <c r="AQ94" s="125">
        <f>AI94*-Valores!$C$73</f>
        <v>0</v>
      </c>
      <c r="AR94" s="125">
        <f>AI94*Valores!$C$74</f>
        <v>-24171.949780549992</v>
      </c>
      <c r="AS94" s="125">
        <f>Valores!$C$101</f>
        <v>-1270</v>
      </c>
      <c r="AT94" s="125">
        <f>IF($F$5=0,Valores!$C$102,(Valores!$C$102+$F$5*(Valores!$C$102)))</f>
        <v>-3700</v>
      </c>
      <c r="AU94" s="125">
        <f t="shared" si="17"/>
        <v>353214.3467481499</v>
      </c>
      <c r="AV94" s="125">
        <f t="shared" si="11"/>
        <v>-48343.899561099985</v>
      </c>
      <c r="AW94" s="125">
        <f t="shared" si="19"/>
        <v>-8789.799920199997</v>
      </c>
      <c r="AX94" s="125">
        <f>AI94*Valores!$C$75</f>
        <v>-11866.229892269997</v>
      </c>
      <c r="AY94" s="125">
        <f>AI94*Valores!$C$76</f>
        <v>-1318.4699880299997</v>
      </c>
      <c r="AZ94" s="125">
        <f t="shared" si="16"/>
        <v>369171.5966483999</v>
      </c>
      <c r="BA94" s="125">
        <f>AI94*Valores!$C$78</f>
        <v>70318.39936159998</v>
      </c>
      <c r="BB94" s="125">
        <f>AI94*Valores!$C$79</f>
        <v>30764.299720699993</v>
      </c>
      <c r="BC94" s="125">
        <f>AI94*Valores!$C$80</f>
        <v>4394.899960099999</v>
      </c>
      <c r="BD94" s="125">
        <f>AI94*Valores!$C$82</f>
        <v>15382.149860349997</v>
      </c>
      <c r="BE94" s="125">
        <f>AI94*Valores!$C$84</f>
        <v>23732.459784539995</v>
      </c>
      <c r="BF94" s="125">
        <f>AI94*Valores!$C$83</f>
        <v>2636.9399760599995</v>
      </c>
      <c r="BG94" s="126"/>
      <c r="BH94" s="126">
        <v>25</v>
      </c>
      <c r="BI94" s="123" t="s">
        <v>4</v>
      </c>
    </row>
    <row r="95" spans="1:61" s="110" customFormat="1" ht="11.25" customHeight="1">
      <c r="A95" s="123" t="s">
        <v>279</v>
      </c>
      <c r="B95" s="123">
        <v>1</v>
      </c>
      <c r="C95" s="126">
        <v>88</v>
      </c>
      <c r="D95" s="124" t="s">
        <v>280</v>
      </c>
      <c r="E95" s="192">
        <v>64</v>
      </c>
      <c r="F95" s="125">
        <f>ROUND(E95*Valores!$C$2,2)</f>
        <v>3770.9</v>
      </c>
      <c r="G95" s="192">
        <v>2086</v>
      </c>
      <c r="H95" s="125">
        <f>ROUND(G95*Valores!$C$2,2)</f>
        <v>122907.75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44199.13</v>
      </c>
      <c r="N95" s="125">
        <f t="shared" si="12"/>
        <v>0</v>
      </c>
      <c r="O95" s="125">
        <f>Valores!$C$9</f>
        <v>74035.73</v>
      </c>
      <c r="P95" s="125">
        <f>Valores!$D$5</f>
        <v>30120.06</v>
      </c>
      <c r="Q95" s="125">
        <f>Valores!$C$22</f>
        <v>26870.16</v>
      </c>
      <c r="R95" s="125">
        <f>IF($F$4="NO",Valores!$C$45,Valores!$C$45/2)</f>
        <v>22092.48</v>
      </c>
      <c r="S95" s="125">
        <f>Valores!$C$19</f>
        <v>28025.371999999996</v>
      </c>
      <c r="T95" s="125">
        <f t="shared" si="18"/>
        <v>28025.37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Valores!$C$96</f>
        <v>49491.35</v>
      </c>
      <c r="AA95" s="125">
        <f>Valores!$C$25</f>
        <v>1231.85</v>
      </c>
      <c r="AB95" s="214">
        <v>0</v>
      </c>
      <c r="AC95" s="125">
        <f t="shared" si="13"/>
        <v>0</v>
      </c>
      <c r="AD95" s="125">
        <f>Valores!$C$26</f>
        <v>1231.85</v>
      </c>
      <c r="AE95" s="192">
        <v>0</v>
      </c>
      <c r="AF95" s="125">
        <f>ROUND(AE95*Valores!$C$2,2)</f>
        <v>0</v>
      </c>
      <c r="AG95" s="125">
        <f>SUM(F95,H95,J95,L95,M95,N95,O95,P95,Q95,R95,T95,U95,V95,X95,Y95,Z95,AA95,AC95,AD95,AF95,AH95)*Valores!$C$69</f>
        <v>53929.72193999998</v>
      </c>
      <c r="AH95" s="125">
        <f>ROUND(IF($F$4="NO",Valores!$C$63,Valores!$C$63/2),2)</f>
        <v>14083.23</v>
      </c>
      <c r="AI95" s="125">
        <f t="shared" si="20"/>
        <v>471989.5819399998</v>
      </c>
      <c r="AJ95" s="125">
        <f>Valores!$C$31</f>
        <v>0</v>
      </c>
      <c r="AK95" s="125">
        <f>Valores!$C$89</f>
        <v>0</v>
      </c>
      <c r="AL95" s="125">
        <f>Valores!C$38*B95</f>
        <v>0</v>
      </c>
      <c r="AM95" s="125">
        <f>IF($F$3="NO",0,Valores!$C$56)</f>
        <v>0</v>
      </c>
      <c r="AN95" s="125">
        <f t="shared" si="15"/>
        <v>0</v>
      </c>
      <c r="AO95" s="125">
        <f>AI95*Valores!$C$71</f>
        <v>-51918.854013399985</v>
      </c>
      <c r="AP95" s="125">
        <f>AI95*Valores!$C$72</f>
        <v>-9439.791638799998</v>
      </c>
      <c r="AQ95" s="125">
        <f>AI95*-Valores!$C$73</f>
        <v>0</v>
      </c>
      <c r="AR95" s="125">
        <f>AI95*Valores!$C$74</f>
        <v>-25959.427006699992</v>
      </c>
      <c r="AS95" s="125">
        <f>Valores!$C$101</f>
        <v>-1270</v>
      </c>
      <c r="AT95" s="125">
        <f>IF($F$5=0,Valores!$C$102,(Valores!$C$102+$F$5*(Valores!$C$102)))</f>
        <v>-3700</v>
      </c>
      <c r="AU95" s="125">
        <f t="shared" si="17"/>
        <v>379701.5092810999</v>
      </c>
      <c r="AV95" s="125">
        <f t="shared" si="11"/>
        <v>-51918.854013399985</v>
      </c>
      <c r="AW95" s="125">
        <f t="shared" si="19"/>
        <v>-9439.791638799998</v>
      </c>
      <c r="AX95" s="125">
        <f>AI95*Valores!$C$75</f>
        <v>-12743.718712379996</v>
      </c>
      <c r="AY95" s="125">
        <f>AI95*Valores!$C$76</f>
        <v>-1415.9687458199994</v>
      </c>
      <c r="AZ95" s="125">
        <f t="shared" si="16"/>
        <v>396471.2488295998</v>
      </c>
      <c r="BA95" s="125">
        <f>AI95*Valores!$C$78</f>
        <v>75518.33311039998</v>
      </c>
      <c r="BB95" s="125">
        <f>AI95*Valores!$C$79</f>
        <v>33039.27073579999</v>
      </c>
      <c r="BC95" s="125">
        <f>AI95*Valores!$C$80</f>
        <v>4719.895819399999</v>
      </c>
      <c r="BD95" s="125">
        <f>AI95*Valores!$C$82</f>
        <v>16519.635367899995</v>
      </c>
      <c r="BE95" s="125">
        <f>AI95*Valores!$C$84</f>
        <v>25487.43742475999</v>
      </c>
      <c r="BF95" s="125">
        <f>AI95*Valores!$C$83</f>
        <v>2831.937491639999</v>
      </c>
      <c r="BG95" s="126"/>
      <c r="BH95" s="126">
        <v>25</v>
      </c>
      <c r="BI95" s="123" t="s">
        <v>4</v>
      </c>
    </row>
    <row r="96" spans="1:61" s="110" customFormat="1" ht="11.25" customHeight="1">
      <c r="A96" s="123" t="s">
        <v>281</v>
      </c>
      <c r="B96" s="123">
        <v>1</v>
      </c>
      <c r="C96" s="126">
        <v>89</v>
      </c>
      <c r="D96" s="124" t="s">
        <v>282</v>
      </c>
      <c r="E96" s="192">
        <v>89</v>
      </c>
      <c r="F96" s="125">
        <f>ROUND(E96*Valores!$C$2,2)</f>
        <v>5243.91</v>
      </c>
      <c r="G96" s="192">
        <v>2481</v>
      </c>
      <c r="H96" s="125">
        <f>ROUND(G96*Valores!$C$2,2)</f>
        <v>146181.26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50093.33</v>
      </c>
      <c r="N96" s="125">
        <f t="shared" si="12"/>
        <v>0</v>
      </c>
      <c r="O96" s="125">
        <f>Valores!$C$8</f>
        <v>73844.92</v>
      </c>
      <c r="P96" s="125">
        <f>Valores!$D$5</f>
        <v>30120.06</v>
      </c>
      <c r="Q96" s="125">
        <v>0</v>
      </c>
      <c r="R96" s="125">
        <f>IF($F$4="NO",Valores!$C$44,Valores!$C$44/2)</f>
        <v>20922.76</v>
      </c>
      <c r="S96" s="125">
        <f>Valores!$C$19</f>
        <v>28025.371999999996</v>
      </c>
      <c r="T96" s="125">
        <f t="shared" si="18"/>
        <v>28025.37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Valores!$C$95</f>
        <v>41242.8</v>
      </c>
      <c r="AA96" s="125">
        <f>Valores!$C$25</f>
        <v>1231.85</v>
      </c>
      <c r="AB96" s="214">
        <v>0</v>
      </c>
      <c r="AC96" s="125">
        <f t="shared" si="13"/>
        <v>0</v>
      </c>
      <c r="AD96" s="125">
        <f>Valores!$C$26</f>
        <v>1231.85</v>
      </c>
      <c r="AE96" s="192">
        <v>0</v>
      </c>
      <c r="AF96" s="125">
        <f>ROUND(AE96*Valores!$C$2,2)</f>
        <v>0</v>
      </c>
      <c r="AG96" s="125">
        <f>SUM(F96,H96,J96,L96,M96,N96,O96,P96,Q96,R96,T96,U96,V96,X96,Y96,Z96,AA96,AC96,AD96,AF96,AH96)*Valores!$C$69</f>
        <v>53176.55285999999</v>
      </c>
      <c r="AH96" s="125">
        <f>ROUND(IF($F$4="NO",Valores!$C$63,Valores!$C$63/2),2)</f>
        <v>14083.23</v>
      </c>
      <c r="AI96" s="125">
        <f t="shared" si="20"/>
        <v>465397.8928599999</v>
      </c>
      <c r="AJ96" s="125">
        <f>Valores!$C$31</f>
        <v>0</v>
      </c>
      <c r="AK96" s="125">
        <f>Valores!$C$88</f>
        <v>0</v>
      </c>
      <c r="AL96" s="125">
        <f>Valores!C$38*B96</f>
        <v>0</v>
      </c>
      <c r="AM96" s="125">
        <f>IF($F$3="NO",0,Valores!$C$56)</f>
        <v>0</v>
      </c>
      <c r="AN96" s="125">
        <f t="shared" si="15"/>
        <v>0</v>
      </c>
      <c r="AO96" s="125">
        <f>AI96*Valores!$C$71</f>
        <v>-51193.76821459999</v>
      </c>
      <c r="AP96" s="125">
        <f>AI96*Valores!$C$72</f>
        <v>-9307.9578572</v>
      </c>
      <c r="AQ96" s="125">
        <f>AI96*-Valores!$C$73</f>
        <v>0</v>
      </c>
      <c r="AR96" s="125">
        <f>AI96*Valores!$C$74</f>
        <v>-25596.884107299997</v>
      </c>
      <c r="AS96" s="125">
        <f>Valores!$C$101</f>
        <v>-1270</v>
      </c>
      <c r="AT96" s="125">
        <f>IF($F$5=0,Valores!$C$102,(Valores!$C$102+$F$5*(Valores!$C$102)))</f>
        <v>-3700</v>
      </c>
      <c r="AU96" s="125">
        <f t="shared" si="17"/>
        <v>374329.28268089995</v>
      </c>
      <c r="AV96" s="125">
        <f t="shared" si="11"/>
        <v>-51193.76821459999</v>
      </c>
      <c r="AW96" s="125">
        <f t="shared" si="19"/>
        <v>-9307.9578572</v>
      </c>
      <c r="AX96" s="125">
        <f>AI96*Valores!$C$75</f>
        <v>-12565.743107219998</v>
      </c>
      <c r="AY96" s="125">
        <f>AI96*Valores!$C$76</f>
        <v>-1396.1936785799996</v>
      </c>
      <c r="AZ96" s="125">
        <f t="shared" si="16"/>
        <v>390934.2300023999</v>
      </c>
      <c r="BA96" s="125">
        <f>AI96*Valores!$C$78</f>
        <v>74463.6628576</v>
      </c>
      <c r="BB96" s="125">
        <f>AI96*Valores!$C$79</f>
        <v>32577.852500199995</v>
      </c>
      <c r="BC96" s="125">
        <f>AI96*Valores!$C$80</f>
        <v>4653.9789286</v>
      </c>
      <c r="BD96" s="125">
        <f>AI96*Valores!$C$82</f>
        <v>16288.926250099998</v>
      </c>
      <c r="BE96" s="125">
        <f>AI96*Valores!$C$84</f>
        <v>25131.486214439996</v>
      </c>
      <c r="BF96" s="125">
        <f>AI96*Valores!$C$83</f>
        <v>2792.3873571599993</v>
      </c>
      <c r="BG96" s="126"/>
      <c r="BH96" s="126">
        <v>25</v>
      </c>
      <c r="BI96" s="123" t="s">
        <v>8</v>
      </c>
    </row>
    <row r="97" spans="1:61" s="110" customFormat="1" ht="11.25" customHeight="1">
      <c r="A97" s="123" t="s">
        <v>283</v>
      </c>
      <c r="B97" s="123">
        <v>1</v>
      </c>
      <c r="C97" s="126">
        <v>90</v>
      </c>
      <c r="D97" s="124" t="s">
        <v>284</v>
      </c>
      <c r="E97" s="192">
        <v>89</v>
      </c>
      <c r="F97" s="125">
        <f>ROUND(E97*Valores!$C$2,2)</f>
        <v>5243.91</v>
      </c>
      <c r="G97" s="192">
        <v>2381</v>
      </c>
      <c r="H97" s="125">
        <f>ROUND(G97*Valores!$C$2,2)</f>
        <v>140289.23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48620.32</v>
      </c>
      <c r="N97" s="125">
        <f t="shared" si="12"/>
        <v>0</v>
      </c>
      <c r="O97" s="125">
        <f>Valores!$C$16</f>
        <v>50911.51</v>
      </c>
      <c r="P97" s="125">
        <f>Valores!$D$5</f>
        <v>30120.06</v>
      </c>
      <c r="Q97" s="125">
        <f>Valores!$C$22</f>
        <v>26870.16</v>
      </c>
      <c r="R97" s="125">
        <f>IF($F$4="NO",Valores!$C$44,Valores!$C$44/2)</f>
        <v>20922.76</v>
      </c>
      <c r="S97" s="125">
        <f>Valores!$C$19</f>
        <v>28025.371999999996</v>
      </c>
      <c r="T97" s="125">
        <f t="shared" si="18"/>
        <v>28025.37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Valores!$C$95</f>
        <v>41242.8</v>
      </c>
      <c r="AA97" s="125">
        <f>Valores!$C$25</f>
        <v>1231.85</v>
      </c>
      <c r="AB97" s="214">
        <v>0</v>
      </c>
      <c r="AC97" s="125">
        <f t="shared" si="13"/>
        <v>0</v>
      </c>
      <c r="AD97" s="125">
        <f>Valores!$C$26</f>
        <v>1231.85</v>
      </c>
      <c r="AE97" s="192">
        <v>0</v>
      </c>
      <c r="AF97" s="125">
        <f>ROUND(AE97*Valores!$C$2,2)</f>
        <v>0</v>
      </c>
      <c r="AG97" s="125">
        <f>SUM(F97,H97,J97,L97,M97,N97,O97,P97,Q97,R97,T97,U97,V97,X97,Y97,Z97,AA97,AC97,AD97,AF97,AH97)*Valores!$C$69</f>
        <v>52734.30344999999</v>
      </c>
      <c r="AH97" s="125">
        <f>ROUND(IF($F$4="NO",Valores!$C$63,Valores!$C$63/2),2)</f>
        <v>14083.23</v>
      </c>
      <c r="AI97" s="125">
        <f t="shared" si="20"/>
        <v>461527.35344999994</v>
      </c>
      <c r="AJ97" s="125">
        <f>Valores!$C$31</f>
        <v>0</v>
      </c>
      <c r="AK97" s="125">
        <f>Valores!$C$88</f>
        <v>0</v>
      </c>
      <c r="AL97" s="125">
        <f>Valores!C$38*B97</f>
        <v>0</v>
      </c>
      <c r="AM97" s="125">
        <f>IF($F$3="NO",0,Valores!$C$56)</f>
        <v>0</v>
      </c>
      <c r="AN97" s="125">
        <f t="shared" si="15"/>
        <v>0</v>
      </c>
      <c r="AO97" s="125">
        <f>AI97*Valores!$C$71</f>
        <v>-50768.00887949999</v>
      </c>
      <c r="AP97" s="125">
        <f>AI97*Valores!$C$72</f>
        <v>-9230.547068999998</v>
      </c>
      <c r="AQ97" s="125">
        <f>AI97*-Valores!$C$73</f>
        <v>0</v>
      </c>
      <c r="AR97" s="125">
        <f>AI97*Valores!$C$74</f>
        <v>-25384.004439749995</v>
      </c>
      <c r="AS97" s="125">
        <f>Valores!$C$101</f>
        <v>-1270</v>
      </c>
      <c r="AT97" s="125">
        <f>IF($F$5=0,Valores!$C$102,(Valores!$C$102+$F$5*(Valores!$C$102)))</f>
        <v>-3700</v>
      </c>
      <c r="AU97" s="125">
        <f t="shared" si="17"/>
        <v>371174.79306174995</v>
      </c>
      <c r="AV97" s="125">
        <f t="shared" si="11"/>
        <v>-50768.00887949999</v>
      </c>
      <c r="AW97" s="125">
        <f t="shared" si="19"/>
        <v>-9230.547068999998</v>
      </c>
      <c r="AX97" s="125">
        <f>AI97*Valores!$C$75</f>
        <v>-12461.238543149999</v>
      </c>
      <c r="AY97" s="125">
        <f>AI97*Valores!$C$76</f>
        <v>-1384.58206035</v>
      </c>
      <c r="AZ97" s="125">
        <f t="shared" si="16"/>
        <v>387682.97689799994</v>
      </c>
      <c r="BA97" s="125">
        <f>AI97*Valores!$C$78</f>
        <v>73844.37655199999</v>
      </c>
      <c r="BB97" s="125">
        <f>AI97*Valores!$C$79</f>
        <v>32306.914741499997</v>
      </c>
      <c r="BC97" s="125">
        <f>AI97*Valores!$C$80</f>
        <v>4615.273534499999</v>
      </c>
      <c r="BD97" s="125">
        <f>AI97*Valores!$C$82</f>
        <v>16153.457370749999</v>
      </c>
      <c r="BE97" s="125">
        <f>AI97*Valores!$C$84</f>
        <v>24922.477086299998</v>
      </c>
      <c r="BF97" s="125">
        <f>AI97*Valores!$C$83</f>
        <v>2769.1641207</v>
      </c>
      <c r="BG97" s="126"/>
      <c r="BH97" s="126">
        <v>25</v>
      </c>
      <c r="BI97" s="123" t="s">
        <v>4</v>
      </c>
    </row>
    <row r="98" spans="1:61" s="110" customFormat="1" ht="11.25" customHeight="1">
      <c r="A98" s="123" t="s">
        <v>285</v>
      </c>
      <c r="B98" s="123">
        <v>1</v>
      </c>
      <c r="C98" s="126">
        <v>91</v>
      </c>
      <c r="D98" s="124" t="s">
        <v>286</v>
      </c>
      <c r="E98" s="192">
        <v>89</v>
      </c>
      <c r="F98" s="125">
        <f>ROUND(E98*Valores!$C$2,2)</f>
        <v>5243.91</v>
      </c>
      <c r="G98" s="192">
        <v>1768</v>
      </c>
      <c r="H98" s="125">
        <f>ROUND(G98*Valores!$C$2,2)</f>
        <v>104171.09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39590.78</v>
      </c>
      <c r="N98" s="125">
        <f t="shared" si="12"/>
        <v>0</v>
      </c>
      <c r="O98" s="125">
        <f>Valores!$C$16</f>
        <v>50911.51</v>
      </c>
      <c r="P98" s="125">
        <f>Valores!$D$5</f>
        <v>30120.06</v>
      </c>
      <c r="Q98" s="125">
        <f>Valores!$C$22</f>
        <v>26870.16</v>
      </c>
      <c r="R98" s="125">
        <f>IF($F$4="NO",Valores!$C$44,Valores!$C$44/2)</f>
        <v>20922.76</v>
      </c>
      <c r="S98" s="125">
        <f>Valores!$C$19</f>
        <v>28025.371999999996</v>
      </c>
      <c r="T98" s="125">
        <f t="shared" si="18"/>
        <v>28025.37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Valores!$C$95</f>
        <v>41242.8</v>
      </c>
      <c r="AA98" s="125">
        <f>Valores!$C$25</f>
        <v>1231.85</v>
      </c>
      <c r="AB98" s="214">
        <v>0</v>
      </c>
      <c r="AC98" s="125">
        <f t="shared" si="13"/>
        <v>0</v>
      </c>
      <c r="AD98" s="125">
        <f>Valores!$C$26</f>
        <v>1231.85</v>
      </c>
      <c r="AE98" s="192">
        <v>0</v>
      </c>
      <c r="AF98" s="125">
        <f>ROUND(AE98*Valores!$C$2,2)</f>
        <v>0</v>
      </c>
      <c r="AG98" s="125">
        <f>SUM(F98,H98,J98,L98,M98,N98,O98,P98,Q98,R98,T98,U98,V98,X98,Y98,Z98,AA98,AC98,AD98,AF98,AH98)*Valores!$C$69</f>
        <v>46910.25272999999</v>
      </c>
      <c r="AH98" s="125">
        <f>ROUND(IF($F$4="NO",Valores!$C$63,Valores!$C$63/2),2)</f>
        <v>14083.23</v>
      </c>
      <c r="AI98" s="125">
        <f t="shared" si="20"/>
        <v>410555.62272999994</v>
      </c>
      <c r="AJ98" s="125">
        <f>Valores!$C$31</f>
        <v>0</v>
      </c>
      <c r="AK98" s="125">
        <f>Valores!$C$88</f>
        <v>0</v>
      </c>
      <c r="AL98" s="125">
        <f>Valores!C$38*B98</f>
        <v>0</v>
      </c>
      <c r="AM98" s="125">
        <f>IF($F$3="NO",0,Valores!$C$56)</f>
        <v>0</v>
      </c>
      <c r="AN98" s="125">
        <f t="shared" si="15"/>
        <v>0</v>
      </c>
      <c r="AO98" s="125">
        <f>AI98*Valores!$C$71</f>
        <v>-45161.11850029999</v>
      </c>
      <c r="AP98" s="125">
        <f>AI98*Valores!$C$72</f>
        <v>-8211.1124546</v>
      </c>
      <c r="AQ98" s="125">
        <f>AI98*-Valores!$C$73</f>
        <v>0</v>
      </c>
      <c r="AR98" s="125">
        <f>AI98*Valores!$C$74</f>
        <v>-22580.559250149996</v>
      </c>
      <c r="AS98" s="125">
        <f>Valores!$C$101</f>
        <v>-1270</v>
      </c>
      <c r="AT98" s="125">
        <f>IF($F$5=0,Valores!$C$102,(Valores!$C$102+$F$5*(Valores!$C$102)))</f>
        <v>-3700</v>
      </c>
      <c r="AU98" s="125">
        <f t="shared" si="17"/>
        <v>329632.83252495</v>
      </c>
      <c r="AV98" s="125">
        <f t="shared" si="11"/>
        <v>-45161.11850029999</v>
      </c>
      <c r="AW98" s="125">
        <f t="shared" si="19"/>
        <v>-8211.1124546</v>
      </c>
      <c r="AX98" s="125">
        <f>AI98*Valores!$C$75</f>
        <v>-11085.001813709998</v>
      </c>
      <c r="AY98" s="125">
        <f>AI98*Valores!$C$76</f>
        <v>-1231.6668681899998</v>
      </c>
      <c r="AZ98" s="125">
        <f t="shared" si="16"/>
        <v>344866.72309319995</v>
      </c>
      <c r="BA98" s="125">
        <f>AI98*Valores!$C$78</f>
        <v>65688.8996368</v>
      </c>
      <c r="BB98" s="125">
        <f>AI98*Valores!$C$79</f>
        <v>28738.893591099997</v>
      </c>
      <c r="BC98" s="125">
        <f>AI98*Valores!$C$80</f>
        <v>4105.5562273</v>
      </c>
      <c r="BD98" s="125">
        <f>AI98*Valores!$C$82</f>
        <v>14369.446795549999</v>
      </c>
      <c r="BE98" s="125">
        <f>AI98*Valores!$C$84</f>
        <v>22170.003627419996</v>
      </c>
      <c r="BF98" s="125">
        <f>AI98*Valores!$C$83</f>
        <v>2463.3337363799997</v>
      </c>
      <c r="BG98" s="126"/>
      <c r="BH98" s="126">
        <v>25</v>
      </c>
      <c r="BI98" s="123" t="s">
        <v>4</v>
      </c>
    </row>
    <row r="99" spans="1:61" s="110" customFormat="1" ht="11.25" customHeight="1">
      <c r="A99" s="123" t="s">
        <v>287</v>
      </c>
      <c r="B99" s="123">
        <v>1</v>
      </c>
      <c r="C99" s="126">
        <v>92</v>
      </c>
      <c r="D99" s="124" t="s">
        <v>288</v>
      </c>
      <c r="E99" s="192">
        <v>89</v>
      </c>
      <c r="F99" s="125">
        <f>ROUND(E99*Valores!$C$2,2)</f>
        <v>5243.91</v>
      </c>
      <c r="G99" s="192">
        <v>1768</v>
      </c>
      <c r="H99" s="125">
        <f>ROUND(G99*Valores!$C$2,2)</f>
        <v>104171.09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39590.78</v>
      </c>
      <c r="N99" s="125">
        <f t="shared" si="12"/>
        <v>0</v>
      </c>
      <c r="O99" s="125">
        <f>Valores!$C$8</f>
        <v>73844.92</v>
      </c>
      <c r="P99" s="125">
        <f>Valores!$D$5</f>
        <v>30120.06</v>
      </c>
      <c r="Q99" s="125">
        <f>Valores!$C$22</f>
        <v>26870.16</v>
      </c>
      <c r="R99" s="125">
        <f>IF($F$4="NO",Valores!$C$44,Valores!$C$44/2)</f>
        <v>20922.76</v>
      </c>
      <c r="S99" s="125">
        <f>Valores!$C$19</f>
        <v>28025.371999999996</v>
      </c>
      <c r="T99" s="125">
        <f t="shared" si="18"/>
        <v>28025.37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Valores!$C$95</f>
        <v>41242.8</v>
      </c>
      <c r="AA99" s="125">
        <f>Valores!$C$25</f>
        <v>1231.85</v>
      </c>
      <c r="AB99" s="214">
        <v>0</v>
      </c>
      <c r="AC99" s="125">
        <f t="shared" si="13"/>
        <v>0</v>
      </c>
      <c r="AD99" s="125">
        <f>Valores!$C$26</f>
        <v>1231.85</v>
      </c>
      <c r="AE99" s="192">
        <v>0</v>
      </c>
      <c r="AF99" s="125">
        <f>ROUND(AE99*Valores!$C$2,2)</f>
        <v>0</v>
      </c>
      <c r="AG99" s="125">
        <f>SUM(F99,H99,J99,L99,M99,N99,O99,P99,Q99,R99,T99,U99,V99,X99,Y99,Z99,AA99,AC99,AD99,AF99,AH99)*Valores!$C$69</f>
        <v>49868.66261999999</v>
      </c>
      <c r="AH99" s="125">
        <f>ROUND(IF($F$4="NO",Valores!$C$63,Valores!$C$63/2),2)</f>
        <v>14083.23</v>
      </c>
      <c r="AI99" s="125">
        <f t="shared" si="20"/>
        <v>436447.44261999987</v>
      </c>
      <c r="AJ99" s="125">
        <f>Valores!$C$31</f>
        <v>0</v>
      </c>
      <c r="AK99" s="125">
        <f>Valores!$C$88</f>
        <v>0</v>
      </c>
      <c r="AL99" s="125">
        <f>Valores!C$38*B99</f>
        <v>0</v>
      </c>
      <c r="AM99" s="125">
        <f>IF($F$3="NO",0,Valores!$C$56)</f>
        <v>0</v>
      </c>
      <c r="AN99" s="125">
        <f t="shared" si="15"/>
        <v>0</v>
      </c>
      <c r="AO99" s="125">
        <f>AI99*Valores!$C$71</f>
        <v>-48009.21868819999</v>
      </c>
      <c r="AP99" s="125">
        <f>AI99*Valores!$C$72</f>
        <v>-8728.948852399997</v>
      </c>
      <c r="AQ99" s="125">
        <f>AI99*-Valores!$C$73</f>
        <v>0</v>
      </c>
      <c r="AR99" s="125">
        <f>AI99*Valores!$C$74</f>
        <v>-24004.609344099994</v>
      </c>
      <c r="AS99" s="125">
        <f>Valores!$C$101</f>
        <v>-1270</v>
      </c>
      <c r="AT99" s="125">
        <f>IF($F$5=0,Valores!$C$102,(Valores!$C$102+$F$5*(Valores!$C$102)))</f>
        <v>-3700</v>
      </c>
      <c r="AU99" s="125">
        <f t="shared" si="17"/>
        <v>350734.6657352999</v>
      </c>
      <c r="AV99" s="125">
        <f t="shared" si="11"/>
        <v>-48009.21868819999</v>
      </c>
      <c r="AW99" s="125">
        <f t="shared" si="19"/>
        <v>-8728.948852399997</v>
      </c>
      <c r="AX99" s="125">
        <f>AI99*Valores!$C$75</f>
        <v>-11784.080950739997</v>
      </c>
      <c r="AY99" s="125">
        <f>AI99*Valores!$C$76</f>
        <v>-1309.3423278599996</v>
      </c>
      <c r="AZ99" s="125">
        <f t="shared" si="16"/>
        <v>366615.8518007999</v>
      </c>
      <c r="BA99" s="125">
        <f>AI99*Valores!$C$78</f>
        <v>69831.59081919998</v>
      </c>
      <c r="BB99" s="125">
        <f>AI99*Valores!$C$79</f>
        <v>30551.320983399994</v>
      </c>
      <c r="BC99" s="125">
        <f>AI99*Valores!$C$80</f>
        <v>4364.474426199999</v>
      </c>
      <c r="BD99" s="125">
        <f>AI99*Valores!$C$82</f>
        <v>15275.660491699997</v>
      </c>
      <c r="BE99" s="125">
        <f>AI99*Valores!$C$84</f>
        <v>23568.161901479994</v>
      </c>
      <c r="BF99" s="125">
        <f>AI99*Valores!$C$83</f>
        <v>2618.6846557199992</v>
      </c>
      <c r="BG99" s="126"/>
      <c r="BH99" s="126"/>
      <c r="BI99" s="123" t="s">
        <v>4</v>
      </c>
    </row>
    <row r="100" spans="1:61" s="110" customFormat="1" ht="11.25" customHeight="1">
      <c r="A100" s="123" t="s">
        <v>289</v>
      </c>
      <c r="B100" s="123">
        <v>1</v>
      </c>
      <c r="C100" s="126">
        <v>93</v>
      </c>
      <c r="D100" s="124" t="s">
        <v>290</v>
      </c>
      <c r="E100" s="192">
        <v>89</v>
      </c>
      <c r="F100" s="125">
        <f>ROUND(E100*Valores!$C$2,2)</f>
        <v>5243.91</v>
      </c>
      <c r="G100" s="192">
        <v>2211</v>
      </c>
      <c r="H100" s="125">
        <f>ROUND(G100*Valores!$C$2,2)</f>
        <v>130272.78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46116.21</v>
      </c>
      <c r="N100" s="125">
        <f t="shared" si="12"/>
        <v>0</v>
      </c>
      <c r="O100" s="125">
        <f>Valores!$C$8</f>
        <v>73844.92</v>
      </c>
      <c r="P100" s="125">
        <f>Valores!$D$5</f>
        <v>30120.06</v>
      </c>
      <c r="Q100" s="125">
        <f>Valores!$C$22</f>
        <v>26870.16</v>
      </c>
      <c r="R100" s="125">
        <f>IF($F$4="NO",Valores!$C$44,Valores!$C$44/2)</f>
        <v>20922.76</v>
      </c>
      <c r="S100" s="125">
        <f>Valores!$C$19</f>
        <v>28025.371999999996</v>
      </c>
      <c r="T100" s="125">
        <f t="shared" si="18"/>
        <v>28025.37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Valores!$C$95</f>
        <v>41242.8</v>
      </c>
      <c r="AA100" s="125">
        <f>Valores!$C$25</f>
        <v>1231.85</v>
      </c>
      <c r="AB100" s="214">
        <v>0</v>
      </c>
      <c r="AC100" s="125">
        <f t="shared" si="13"/>
        <v>0</v>
      </c>
      <c r="AD100" s="125">
        <f>Valores!$C$26</f>
        <v>1231.85</v>
      </c>
      <c r="AE100" s="192">
        <v>0</v>
      </c>
      <c r="AF100" s="125">
        <f>ROUND(AE100*Valores!$C$2,2)</f>
        <v>0</v>
      </c>
      <c r="AG100" s="125">
        <f>SUM(F100,H100,J100,L100,M100,N100,O100,P100,Q100,R100,T100,U100,V100,X100,Y100,Z100,AA100,AC100,AD100,AF100,AH100)*Valores!$C$69</f>
        <v>54077.56109999999</v>
      </c>
      <c r="AH100" s="125">
        <f>ROUND(IF($F$4="NO",Valores!$C$63,Valores!$C$63/2),2)</f>
        <v>14083.23</v>
      </c>
      <c r="AI100" s="125">
        <f t="shared" si="20"/>
        <v>473283.4610999999</v>
      </c>
      <c r="AJ100" s="125">
        <f>Valores!$C$31</f>
        <v>0</v>
      </c>
      <c r="AK100" s="125">
        <f>Valores!$C$88</f>
        <v>0</v>
      </c>
      <c r="AL100" s="125">
        <f>Valores!C$38*B100</f>
        <v>0</v>
      </c>
      <c r="AM100" s="125">
        <f>IF($F$3="NO",0,Valores!$C$56)</f>
        <v>0</v>
      </c>
      <c r="AN100" s="125">
        <f t="shared" si="15"/>
        <v>0</v>
      </c>
      <c r="AO100" s="125">
        <f>AI100*Valores!$C$71</f>
        <v>-52061.18072099999</v>
      </c>
      <c r="AP100" s="125">
        <f>AI100*Valores!$C$72</f>
        <v>-9465.669221999999</v>
      </c>
      <c r="AQ100" s="125">
        <f>AI100*-Valores!$C$73</f>
        <v>0</v>
      </c>
      <c r="AR100" s="125">
        <f>AI100*Valores!$C$74</f>
        <v>-26030.590360499995</v>
      </c>
      <c r="AS100" s="125">
        <f>Valores!$C$101</f>
        <v>-1270</v>
      </c>
      <c r="AT100" s="125">
        <f>IF($F$5=0,Valores!$C$102,(Valores!$C$102+$F$5*(Valores!$C$102)))</f>
        <v>-3700</v>
      </c>
      <c r="AU100" s="125">
        <f t="shared" si="17"/>
        <v>380756.0207964999</v>
      </c>
      <c r="AV100" s="125">
        <f t="shared" si="11"/>
        <v>-52061.18072099999</v>
      </c>
      <c r="AW100" s="125">
        <f t="shared" si="19"/>
        <v>-9465.669221999999</v>
      </c>
      <c r="AX100" s="125">
        <f>AI100*Valores!$C$75</f>
        <v>-12778.653449699998</v>
      </c>
      <c r="AY100" s="125">
        <f>AI100*Valores!$C$76</f>
        <v>-1419.8503832999997</v>
      </c>
      <c r="AZ100" s="125">
        <f t="shared" si="16"/>
        <v>397558.1073239999</v>
      </c>
      <c r="BA100" s="125">
        <f>AI100*Valores!$C$78</f>
        <v>75725.35377599999</v>
      </c>
      <c r="BB100" s="125">
        <f>AI100*Valores!$C$79</f>
        <v>33129.842276999996</v>
      </c>
      <c r="BC100" s="125">
        <f>AI100*Valores!$C$80</f>
        <v>4732.834610999999</v>
      </c>
      <c r="BD100" s="125">
        <f>AI100*Valores!$C$82</f>
        <v>16564.921138499998</v>
      </c>
      <c r="BE100" s="125">
        <f>AI100*Valores!$C$84</f>
        <v>25557.306899399995</v>
      </c>
      <c r="BF100" s="125">
        <f>AI100*Valores!$C$83</f>
        <v>2839.7007665999995</v>
      </c>
      <c r="BG100" s="126"/>
      <c r="BH100" s="126"/>
      <c r="BI100" s="123" t="s">
        <v>4</v>
      </c>
    </row>
    <row r="101" spans="1:61" s="110" customFormat="1" ht="11.25" customHeight="1">
      <c r="A101" s="123" t="s">
        <v>291</v>
      </c>
      <c r="B101" s="123">
        <v>1</v>
      </c>
      <c r="C101" s="126">
        <v>94</v>
      </c>
      <c r="D101" s="124" t="s">
        <v>292</v>
      </c>
      <c r="E101" s="192">
        <v>89</v>
      </c>
      <c r="F101" s="125">
        <f>ROUND(E101*Valores!$C$2,2)</f>
        <v>5243.91</v>
      </c>
      <c r="G101" s="192">
        <v>1956</v>
      </c>
      <c r="H101" s="125">
        <f>ROUND(G101*Valores!$C$2,2)</f>
        <v>115248.11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42360.04</v>
      </c>
      <c r="N101" s="125">
        <f t="shared" si="12"/>
        <v>0</v>
      </c>
      <c r="O101" s="125">
        <f>Valores!$C$16</f>
        <v>50911.51</v>
      </c>
      <c r="P101" s="125">
        <f>Valores!$D$5</f>
        <v>30120.06</v>
      </c>
      <c r="Q101" s="125">
        <v>0</v>
      </c>
      <c r="R101" s="125">
        <f>IF($F$4="NO",Valores!$C$44,Valores!$C$44/2)</f>
        <v>20922.76</v>
      </c>
      <c r="S101" s="125">
        <f>Valores!$C$19</f>
        <v>28025.371999999996</v>
      </c>
      <c r="T101" s="125">
        <f t="shared" si="18"/>
        <v>28025.37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Valores!$C$95</f>
        <v>41242.8</v>
      </c>
      <c r="AA101" s="125">
        <f>Valores!$C$25</f>
        <v>1231.85</v>
      </c>
      <c r="AB101" s="214">
        <v>0</v>
      </c>
      <c r="AC101" s="125">
        <f t="shared" si="13"/>
        <v>0</v>
      </c>
      <c r="AD101" s="125">
        <f>Valores!$C$26</f>
        <v>1231.85</v>
      </c>
      <c r="AE101" s="192">
        <v>0</v>
      </c>
      <c r="AF101" s="125">
        <f>ROUND(AE101*Valores!$C$2,2)</f>
        <v>0</v>
      </c>
      <c r="AG101" s="125">
        <f>SUM(F101,H101,J101,L101,M101,N101,O101,P101,Q101,R101,T101,U101,V101,X101,Y101,Z101,AA101,AC101,AD101,AF101,AH101)*Valores!$C$69</f>
        <v>45230.17220999999</v>
      </c>
      <c r="AH101" s="125">
        <f>ROUND(IF($F$4="NO",Valores!$C$63,Valores!$C$63/2),2)</f>
        <v>14083.23</v>
      </c>
      <c r="AI101" s="125">
        <f t="shared" si="20"/>
        <v>395851.6622099999</v>
      </c>
      <c r="AJ101" s="125">
        <f>Valores!$C$31</f>
        <v>0</v>
      </c>
      <c r="AK101" s="125">
        <f>Valores!$C$88</f>
        <v>0</v>
      </c>
      <c r="AL101" s="125">
        <f>Valores!C$38*B101</f>
        <v>0</v>
      </c>
      <c r="AM101" s="125">
        <f>IF($F$3="NO",0,Valores!$C$56)</f>
        <v>0</v>
      </c>
      <c r="AN101" s="125">
        <f t="shared" si="15"/>
        <v>0</v>
      </c>
      <c r="AO101" s="125">
        <f>AI101*Valores!$C$71</f>
        <v>-43543.68284309999</v>
      </c>
      <c r="AP101" s="125">
        <f>AI101*Valores!$C$72</f>
        <v>-7917.033244199999</v>
      </c>
      <c r="AQ101" s="125">
        <f>AI101*-Valores!$C$73</f>
        <v>0</v>
      </c>
      <c r="AR101" s="125">
        <f>AI101*Valores!$C$74</f>
        <v>-21771.841421549994</v>
      </c>
      <c r="AS101" s="125">
        <f>Valores!$C$101</f>
        <v>-1270</v>
      </c>
      <c r="AT101" s="125">
        <f>IF($F$5=0,Valores!$C$102,(Valores!$C$102+$F$5*(Valores!$C$102)))</f>
        <v>-3700</v>
      </c>
      <c r="AU101" s="125">
        <f t="shared" si="17"/>
        <v>317649.10470115</v>
      </c>
      <c r="AV101" s="125">
        <f t="shared" si="11"/>
        <v>-43543.68284309999</v>
      </c>
      <c r="AW101" s="125">
        <f t="shared" si="19"/>
        <v>-7917.033244199999</v>
      </c>
      <c r="AX101" s="125">
        <f>AI101*Valores!$C$75</f>
        <v>-10687.994879669997</v>
      </c>
      <c r="AY101" s="125">
        <f>AI101*Valores!$C$76</f>
        <v>-1187.5549866299998</v>
      </c>
      <c r="AZ101" s="125">
        <f t="shared" si="16"/>
        <v>332515.3962563999</v>
      </c>
      <c r="BA101" s="125">
        <f>AI101*Valores!$C$78</f>
        <v>63336.26595359999</v>
      </c>
      <c r="BB101" s="125">
        <f>AI101*Valores!$C$79</f>
        <v>27709.616354699996</v>
      </c>
      <c r="BC101" s="125">
        <f>AI101*Valores!$C$80</f>
        <v>3958.5166220999995</v>
      </c>
      <c r="BD101" s="125">
        <f>AI101*Valores!$C$82</f>
        <v>13854.808177349998</v>
      </c>
      <c r="BE101" s="125">
        <f>AI101*Valores!$C$84</f>
        <v>21375.989759339995</v>
      </c>
      <c r="BF101" s="125">
        <f>AI101*Valores!$C$83</f>
        <v>2375.1099732599996</v>
      </c>
      <c r="BG101" s="126"/>
      <c r="BH101" s="126"/>
      <c r="BI101" s="123" t="s">
        <v>8</v>
      </c>
    </row>
    <row r="102" spans="1:61" s="110" customFormat="1" ht="11.25" customHeight="1">
      <c r="A102" s="123" t="s">
        <v>293</v>
      </c>
      <c r="B102" s="123">
        <v>1</v>
      </c>
      <c r="C102" s="126">
        <v>95</v>
      </c>
      <c r="D102" s="124" t="s">
        <v>294</v>
      </c>
      <c r="E102" s="192">
        <v>89</v>
      </c>
      <c r="F102" s="125">
        <f>ROUND(E102*Valores!$C$2,2)</f>
        <v>5243.91</v>
      </c>
      <c r="G102" s="192">
        <v>1267</v>
      </c>
      <c r="H102" s="125">
        <f>ROUND(G102*Valores!$C$2,2)</f>
        <v>74652.02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32211.02</v>
      </c>
      <c r="N102" s="125">
        <f t="shared" si="12"/>
        <v>0</v>
      </c>
      <c r="O102" s="125">
        <f>Valores!$C$16</f>
        <v>50911.51</v>
      </c>
      <c r="P102" s="125">
        <f>Valores!$D$5</f>
        <v>30120.06</v>
      </c>
      <c r="Q102" s="125">
        <v>0</v>
      </c>
      <c r="R102" s="125">
        <f>IF($F$4="NO",Valores!$C$44,Valores!$C$44/2)</f>
        <v>20922.76</v>
      </c>
      <c r="S102" s="125">
        <f>Valores!$C$19</f>
        <v>28025.371999999996</v>
      </c>
      <c r="T102" s="125">
        <f t="shared" si="18"/>
        <v>28025.37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Valores!$C$95</f>
        <v>41242.8</v>
      </c>
      <c r="AA102" s="125">
        <f>Valores!$C$25</f>
        <v>1231.85</v>
      </c>
      <c r="AB102" s="214">
        <v>0</v>
      </c>
      <c r="AC102" s="125">
        <f t="shared" si="13"/>
        <v>0</v>
      </c>
      <c r="AD102" s="125">
        <f>Valores!$C$26</f>
        <v>1231.85</v>
      </c>
      <c r="AE102" s="192">
        <v>0</v>
      </c>
      <c r="AF102" s="125">
        <f>ROUND(AE102*Valores!$C$2,2)</f>
        <v>0</v>
      </c>
      <c r="AG102" s="125">
        <f>SUM(F102,H102,J102,L102,M102,N102,O102,P102,Q102,R102,T102,U102,V102,X102,Y102,Z102,AA102,AC102,AD102,AF102,AH102)*Valores!$C$69</f>
        <v>38684.05301999999</v>
      </c>
      <c r="AH102" s="125">
        <f>ROUND(IF($F$4="NO",Valores!$C$63,Valores!$C$63/2),2)</f>
        <v>14083.23</v>
      </c>
      <c r="AI102" s="125">
        <f t="shared" si="20"/>
        <v>338560.43301999994</v>
      </c>
      <c r="AJ102" s="125">
        <f>Valores!$C$31</f>
        <v>0</v>
      </c>
      <c r="AK102" s="125">
        <f>Valores!$C$88</f>
        <v>0</v>
      </c>
      <c r="AL102" s="125">
        <f>Valores!C$38*B102</f>
        <v>0</v>
      </c>
      <c r="AM102" s="125">
        <f>IF($F$3="NO",0,Valores!$C$56)</f>
        <v>0</v>
      </c>
      <c r="AN102" s="125">
        <f t="shared" si="15"/>
        <v>0</v>
      </c>
      <c r="AO102" s="125">
        <f>AI102*Valores!$C$71</f>
        <v>-37241.647632199994</v>
      </c>
      <c r="AP102" s="125">
        <f>AI102*Valores!$C$72</f>
        <v>-6771.208660399999</v>
      </c>
      <c r="AQ102" s="125">
        <f>AI102*-Valores!$C$73</f>
        <v>0</v>
      </c>
      <c r="AR102" s="125">
        <f>AI102*Valores!$C$74</f>
        <v>-18620.823816099997</v>
      </c>
      <c r="AS102" s="125">
        <f>Valores!$C$101</f>
        <v>-1270</v>
      </c>
      <c r="AT102" s="125">
        <f>IF($F$5=0,Valores!$C$102,(Valores!$C$102+$F$5*(Valores!$C$102)))</f>
        <v>-3700</v>
      </c>
      <c r="AU102" s="125">
        <f t="shared" si="17"/>
        <v>270956.75291129993</v>
      </c>
      <c r="AV102" s="125">
        <f t="shared" si="11"/>
        <v>-37241.647632199994</v>
      </c>
      <c r="AW102" s="125">
        <f t="shared" si="19"/>
        <v>-6771.208660399999</v>
      </c>
      <c r="AX102" s="125">
        <f>AI102*Valores!$C$75</f>
        <v>-9141.131691539998</v>
      </c>
      <c r="AY102" s="125">
        <f>AI102*Valores!$C$76</f>
        <v>-1015.6812990599998</v>
      </c>
      <c r="AZ102" s="125">
        <f t="shared" si="16"/>
        <v>284390.76373679994</v>
      </c>
      <c r="BA102" s="125">
        <f>AI102*Valores!$C$78</f>
        <v>54169.66928319999</v>
      </c>
      <c r="BB102" s="125">
        <f>AI102*Valores!$C$79</f>
        <v>23699.2303114</v>
      </c>
      <c r="BC102" s="125">
        <f>AI102*Valores!$C$80</f>
        <v>3385.6043301999994</v>
      </c>
      <c r="BD102" s="125">
        <f>AI102*Valores!$C$82</f>
        <v>11849.6151557</v>
      </c>
      <c r="BE102" s="125">
        <f>AI102*Valores!$C$84</f>
        <v>18282.263383079997</v>
      </c>
      <c r="BF102" s="125">
        <f>AI102*Valores!$C$83</f>
        <v>2031.3625981199996</v>
      </c>
      <c r="BG102" s="126"/>
      <c r="BH102" s="126"/>
      <c r="BI102" s="123" t="s">
        <v>8</v>
      </c>
    </row>
    <row r="103" spans="1:61" s="110" customFormat="1" ht="11.25" customHeight="1">
      <c r="A103" s="123" t="s">
        <v>295</v>
      </c>
      <c r="B103" s="123">
        <v>1</v>
      </c>
      <c r="C103" s="126">
        <v>96</v>
      </c>
      <c r="D103" s="124" t="s">
        <v>296</v>
      </c>
      <c r="E103" s="192">
        <v>67</v>
      </c>
      <c r="F103" s="125">
        <f>ROUND(E103*Valores!$C$2,2)</f>
        <v>3947.66</v>
      </c>
      <c r="G103" s="192">
        <v>2108</v>
      </c>
      <c r="H103" s="125">
        <f>ROUND(G103*Valores!$C$2,2)</f>
        <v>124203.99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43613.95</v>
      </c>
      <c r="N103" s="125">
        <f t="shared" si="12"/>
        <v>0</v>
      </c>
      <c r="O103" s="125">
        <f>Valores!$C$14</f>
        <v>58668.94</v>
      </c>
      <c r="P103" s="125">
        <f>Valores!$D$5</f>
        <v>30120.06</v>
      </c>
      <c r="Q103" s="125">
        <v>0</v>
      </c>
      <c r="R103" s="125">
        <f>IF($F$4="NO",Valores!$C$42,Valores!$C$42/2)</f>
        <v>18565.3</v>
      </c>
      <c r="S103" s="125">
        <f>Valores!$C$20</f>
        <v>27738.840000000004</v>
      </c>
      <c r="T103" s="125">
        <f t="shared" si="18"/>
        <v>27738.84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Valores!$C$95</f>
        <v>41242.8</v>
      </c>
      <c r="AA103" s="125">
        <f>Valores!$C$25</f>
        <v>1231.85</v>
      </c>
      <c r="AB103" s="214">
        <v>0</v>
      </c>
      <c r="AC103" s="125">
        <f t="shared" si="13"/>
        <v>0</v>
      </c>
      <c r="AD103" s="125">
        <f>Valores!$C$26</f>
        <v>1231.85</v>
      </c>
      <c r="AE103" s="192">
        <v>0</v>
      </c>
      <c r="AF103" s="125">
        <f>ROUND(AE103*Valores!$C$2,2)</f>
        <v>0</v>
      </c>
      <c r="AG103" s="125">
        <f>SUM(F103,H103,J103,L103,M103,N103,O103,P103,Q103,R103,T103,U103,V103,X103,Y103,Z103,AA103,AC103,AD103,AF103,AH103)*Valores!$C$69</f>
        <v>47039.65263</v>
      </c>
      <c r="AH103" s="125">
        <f>ROUND(IF($F$4="NO",Valores!$C$63,Valores!$C$63/2),2)</f>
        <v>14083.23</v>
      </c>
      <c r="AI103" s="125">
        <f t="shared" si="20"/>
        <v>411688.12263</v>
      </c>
      <c r="AJ103" s="125">
        <f>Valores!$C$31</f>
        <v>0</v>
      </c>
      <c r="AK103" s="125">
        <f>Valores!$C$88</f>
        <v>0</v>
      </c>
      <c r="AL103" s="125">
        <f>Valores!C$38*B103</f>
        <v>0</v>
      </c>
      <c r="AM103" s="125">
        <f>IF($F$3="NO",0,Valores!$C$56)</f>
        <v>0</v>
      </c>
      <c r="AN103" s="125">
        <f t="shared" si="15"/>
        <v>0</v>
      </c>
      <c r="AO103" s="125">
        <f>AI103*Valores!$C$71</f>
        <v>-45285.6934893</v>
      </c>
      <c r="AP103" s="125">
        <f>AI103*Valores!$C$72</f>
        <v>-8233.7624526</v>
      </c>
      <c r="AQ103" s="125">
        <f>AI103*-Valores!$C$73</f>
        <v>0</v>
      </c>
      <c r="AR103" s="125">
        <f>AI103*Valores!$C$74</f>
        <v>-22642.84674465</v>
      </c>
      <c r="AS103" s="125">
        <f>Valores!$C$101</f>
        <v>-1270</v>
      </c>
      <c r="AT103" s="125">
        <f>IF($F$5=0,Valores!$C$102,(Valores!$C$102+$F$5*(Valores!$C$102)))</f>
        <v>-3700</v>
      </c>
      <c r="AU103" s="125">
        <f t="shared" si="17"/>
        <v>330555.81994345</v>
      </c>
      <c r="AV103" s="125">
        <f t="shared" si="11"/>
        <v>-45285.6934893</v>
      </c>
      <c r="AW103" s="125">
        <f t="shared" si="19"/>
        <v>-8233.7624526</v>
      </c>
      <c r="AX103" s="125">
        <f>AI103*Valores!$C$75</f>
        <v>-11115.57931101</v>
      </c>
      <c r="AY103" s="125">
        <f>AI103*Valores!$C$76</f>
        <v>-1235.06436789</v>
      </c>
      <c r="AZ103" s="125">
        <f t="shared" si="16"/>
        <v>345818.0230092</v>
      </c>
      <c r="BA103" s="125">
        <f>AI103*Valores!$C$78</f>
        <v>65870.0996208</v>
      </c>
      <c r="BB103" s="125">
        <f>AI103*Valores!$C$79</f>
        <v>28818.168584100003</v>
      </c>
      <c r="BC103" s="125">
        <f>AI103*Valores!$C$80</f>
        <v>4116.8812263</v>
      </c>
      <c r="BD103" s="125">
        <f>AI103*Valores!$C$82</f>
        <v>14409.084292050002</v>
      </c>
      <c r="BE103" s="125">
        <f>AI103*Valores!$C$84</f>
        <v>22231.15862202</v>
      </c>
      <c r="BF103" s="125">
        <f>AI103*Valores!$C$83</f>
        <v>2470.12873578</v>
      </c>
      <c r="BG103" s="126"/>
      <c r="BH103" s="126">
        <v>30</v>
      </c>
      <c r="BI103" s="123" t="s">
        <v>4</v>
      </c>
    </row>
    <row r="104" spans="1:61" s="110" customFormat="1" ht="11.25" customHeight="1">
      <c r="A104" s="123" t="s">
        <v>297</v>
      </c>
      <c r="B104" s="123">
        <v>1</v>
      </c>
      <c r="C104" s="126">
        <v>97</v>
      </c>
      <c r="D104" s="124" t="s">
        <v>298</v>
      </c>
      <c r="E104" s="192">
        <v>45</v>
      </c>
      <c r="F104" s="125">
        <f>ROUND(E104*Valores!$C$2,2)</f>
        <v>2651.41</v>
      </c>
      <c r="G104" s="192">
        <v>1502</v>
      </c>
      <c r="H104" s="125">
        <f>ROUND(G104*Valores!$C$2,2)</f>
        <v>88498.29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34363.46</v>
      </c>
      <c r="N104" s="125">
        <f t="shared" si="12"/>
        <v>0</v>
      </c>
      <c r="O104" s="125">
        <f>Valores!$C$14</f>
        <v>58668.94</v>
      </c>
      <c r="P104" s="125">
        <f>Valores!$D$5</f>
        <v>30120.06</v>
      </c>
      <c r="Q104" s="125">
        <v>0</v>
      </c>
      <c r="R104" s="125">
        <f>IF($F$4="NO",Valores!$C$42,Valores!$C$42/2)</f>
        <v>18565.3</v>
      </c>
      <c r="S104" s="125">
        <f>Valores!$C$20</f>
        <v>27738.840000000004</v>
      </c>
      <c r="T104" s="125">
        <f t="shared" si="18"/>
        <v>27738.84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Valores!$C$95</f>
        <v>41242.8</v>
      </c>
      <c r="AA104" s="125">
        <f>Valores!$C$25</f>
        <v>1231.85</v>
      </c>
      <c r="AB104" s="214">
        <v>0</v>
      </c>
      <c r="AC104" s="125">
        <f t="shared" si="13"/>
        <v>0</v>
      </c>
      <c r="AD104" s="125">
        <f>Valores!$C$26</f>
        <v>1231.85</v>
      </c>
      <c r="AE104" s="192">
        <v>0</v>
      </c>
      <c r="AF104" s="125">
        <f>ROUND(AE104*Valores!$C$2,2)</f>
        <v>0</v>
      </c>
      <c r="AG104" s="125">
        <f>SUM(F104,H104,J104,L104,M104,N104,O104,P104,Q104,R104,T104,U104,V104,X104,Y104,Z104,AA104,AC104,AD104,AF104,AH104)*Valores!$C$69</f>
        <v>41073.08786999999</v>
      </c>
      <c r="AH104" s="125">
        <f>ROUND(IF($F$4="NO",Valores!$C$63,Valores!$C$63/2),2)</f>
        <v>14083.23</v>
      </c>
      <c r="AI104" s="125">
        <f t="shared" si="20"/>
        <v>359469.1178699999</v>
      </c>
      <c r="AJ104" s="125">
        <f>Valores!$C$31</f>
        <v>0</v>
      </c>
      <c r="AK104" s="125">
        <f>Valores!$C$88</f>
        <v>0</v>
      </c>
      <c r="AL104" s="125">
        <f>Valores!C$38*B104</f>
        <v>0</v>
      </c>
      <c r="AM104" s="125">
        <f>IF($F$3="NO",0,Valores!$C$56)</f>
        <v>0</v>
      </c>
      <c r="AN104" s="125">
        <f t="shared" si="15"/>
        <v>0</v>
      </c>
      <c r="AO104" s="125">
        <f>AI104*Valores!$C$71</f>
        <v>-39541.60296569999</v>
      </c>
      <c r="AP104" s="125">
        <f>AI104*Valores!$C$72</f>
        <v>-7189.382357399998</v>
      </c>
      <c r="AQ104" s="125">
        <f>AI104*-Valores!$C$73</f>
        <v>0</v>
      </c>
      <c r="AR104" s="125">
        <f>AI104*Valores!$C$74</f>
        <v>-19770.801482849994</v>
      </c>
      <c r="AS104" s="125">
        <f>Valores!$C$101</f>
        <v>-1270</v>
      </c>
      <c r="AT104" s="125">
        <f>IF($F$5=0,Valores!$C$102,(Valores!$C$102+$F$5*(Valores!$C$102)))</f>
        <v>-3700</v>
      </c>
      <c r="AU104" s="125">
        <f t="shared" si="17"/>
        <v>287997.3310640499</v>
      </c>
      <c r="AV104" s="125">
        <f t="shared" si="11"/>
        <v>-39541.60296569999</v>
      </c>
      <c r="AW104" s="125">
        <f t="shared" si="19"/>
        <v>-7189.382357399998</v>
      </c>
      <c r="AX104" s="125">
        <f>AI104*Valores!$C$75</f>
        <v>-9705.666182489997</v>
      </c>
      <c r="AY104" s="125">
        <f>AI104*Valores!$C$76</f>
        <v>-1078.4073536099997</v>
      </c>
      <c r="AZ104" s="125">
        <f t="shared" si="16"/>
        <v>301954.0590107999</v>
      </c>
      <c r="BA104" s="125">
        <f>AI104*Valores!$C$78</f>
        <v>57515.058859199984</v>
      </c>
      <c r="BB104" s="125">
        <f>AI104*Valores!$C$79</f>
        <v>25162.838250899997</v>
      </c>
      <c r="BC104" s="125">
        <f>AI104*Valores!$C$80</f>
        <v>3594.691178699999</v>
      </c>
      <c r="BD104" s="125">
        <f>AI104*Valores!$C$82</f>
        <v>12581.419125449998</v>
      </c>
      <c r="BE104" s="125">
        <f>AI104*Valores!$C$84</f>
        <v>19411.332364979993</v>
      </c>
      <c r="BF104" s="125">
        <f>AI104*Valores!$C$83</f>
        <v>2156.8147072199995</v>
      </c>
      <c r="BG104" s="126"/>
      <c r="BH104" s="126"/>
      <c r="BI104" s="123" t="s">
        <v>4</v>
      </c>
    </row>
    <row r="105" spans="1:61" s="110" customFormat="1" ht="11.25" customHeight="1">
      <c r="A105" s="123" t="s">
        <v>299</v>
      </c>
      <c r="B105" s="123">
        <v>1</v>
      </c>
      <c r="C105" s="126">
        <v>98</v>
      </c>
      <c r="D105" s="124" t="s">
        <v>300</v>
      </c>
      <c r="E105" s="192">
        <v>61</v>
      </c>
      <c r="F105" s="125">
        <f>ROUND(E105*Valores!$C$2,2)</f>
        <v>3594.14</v>
      </c>
      <c r="G105" s="192">
        <v>2114</v>
      </c>
      <c r="H105" s="125">
        <f>ROUND(G105*Valores!$C$2,2)</f>
        <v>124557.51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43613.95</v>
      </c>
      <c r="N105" s="125">
        <f t="shared" si="12"/>
        <v>0</v>
      </c>
      <c r="O105" s="125">
        <f>Valores!$C$14</f>
        <v>58668.94</v>
      </c>
      <c r="P105" s="125">
        <f>Valores!$D$5</f>
        <v>30120.06</v>
      </c>
      <c r="Q105" s="125">
        <v>0</v>
      </c>
      <c r="R105" s="125">
        <f>IF($F$4="NO",Valores!$C$42,Valores!$C$42/2)</f>
        <v>18565.3</v>
      </c>
      <c r="S105" s="125">
        <f>Valores!$C$20</f>
        <v>27738.840000000004</v>
      </c>
      <c r="T105" s="125">
        <f t="shared" si="18"/>
        <v>27738.84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Valores!$C$95</f>
        <v>41242.8</v>
      </c>
      <c r="AA105" s="125">
        <f>Valores!$C$25</f>
        <v>1231.85</v>
      </c>
      <c r="AB105" s="214">
        <v>0</v>
      </c>
      <c r="AC105" s="125">
        <f t="shared" si="13"/>
        <v>0</v>
      </c>
      <c r="AD105" s="125">
        <f>Valores!$C$26</f>
        <v>1231.85</v>
      </c>
      <c r="AE105" s="192">
        <v>0</v>
      </c>
      <c r="AF105" s="125">
        <f>ROUND(AE105*Valores!$C$2,2)</f>
        <v>0</v>
      </c>
      <c r="AG105" s="125">
        <f>SUM(F105,H105,J105,L105,M105,N105,O105,P105,Q105,R105,T105,U105,V105,X105,Y105,Z105,AA105,AC105,AD105,AF105,AH105)*Valores!$C$69</f>
        <v>47039.65262999999</v>
      </c>
      <c r="AH105" s="125">
        <f>ROUND(IF($F$4="NO",Valores!$C$63,Valores!$C$63/2),2)</f>
        <v>14083.23</v>
      </c>
      <c r="AI105" s="125">
        <f t="shared" si="20"/>
        <v>411688.1226299999</v>
      </c>
      <c r="AJ105" s="125">
        <f>Valores!$C$31</f>
        <v>0</v>
      </c>
      <c r="AK105" s="125">
        <f>Valores!$C$88</f>
        <v>0</v>
      </c>
      <c r="AL105" s="125">
        <f>Valores!C$38*B105</f>
        <v>0</v>
      </c>
      <c r="AM105" s="125">
        <f>IF($F$3="NO",0,Valores!$C$56)</f>
        <v>0</v>
      </c>
      <c r="AN105" s="125">
        <f t="shared" si="15"/>
        <v>0</v>
      </c>
      <c r="AO105" s="125">
        <f>AI105*Valores!$C$71</f>
        <v>-45285.693489299985</v>
      </c>
      <c r="AP105" s="125">
        <f>AI105*Valores!$C$72</f>
        <v>-8233.762452599998</v>
      </c>
      <c r="AQ105" s="125">
        <f>AI105*-Valores!$C$73</f>
        <v>0</v>
      </c>
      <c r="AR105" s="125">
        <f>AI105*Valores!$C$74</f>
        <v>-22642.846744649993</v>
      </c>
      <c r="AS105" s="125">
        <f>Valores!$C$101</f>
        <v>-1270</v>
      </c>
      <c r="AT105" s="125">
        <f>IF($F$5=0,Valores!$C$102,(Valores!$C$102+$F$5*(Valores!$C$102)))</f>
        <v>-3700</v>
      </c>
      <c r="AU105" s="125">
        <f t="shared" si="17"/>
        <v>330555.8199434499</v>
      </c>
      <c r="AV105" s="125">
        <f t="shared" si="11"/>
        <v>-45285.693489299985</v>
      </c>
      <c r="AW105" s="125">
        <f t="shared" si="19"/>
        <v>-8233.762452599998</v>
      </c>
      <c r="AX105" s="125">
        <f>AI105*Valores!$C$75</f>
        <v>-11115.579311009997</v>
      </c>
      <c r="AY105" s="125">
        <f>AI105*Valores!$C$76</f>
        <v>-1235.0643678899996</v>
      </c>
      <c r="AZ105" s="125">
        <f t="shared" si="16"/>
        <v>345818.0230091999</v>
      </c>
      <c r="BA105" s="125">
        <f>AI105*Valores!$C$78</f>
        <v>65870.09962079999</v>
      </c>
      <c r="BB105" s="125">
        <f>AI105*Valores!$C$79</f>
        <v>28818.168584099996</v>
      </c>
      <c r="BC105" s="125">
        <f>AI105*Valores!$C$80</f>
        <v>4116.881226299999</v>
      </c>
      <c r="BD105" s="125">
        <f>AI105*Valores!$C$82</f>
        <v>14409.084292049998</v>
      </c>
      <c r="BE105" s="125">
        <f>AI105*Valores!$C$84</f>
        <v>22231.158622019993</v>
      </c>
      <c r="BF105" s="125">
        <f>AI105*Valores!$C$83</f>
        <v>2470.1287357799993</v>
      </c>
      <c r="BG105" s="126"/>
      <c r="BH105" s="126">
        <v>30</v>
      </c>
      <c r="BI105" s="123" t="s">
        <v>4</v>
      </c>
    </row>
    <row r="106" spans="1:61" s="110" customFormat="1" ht="11.25" customHeight="1">
      <c r="A106" s="123" t="s">
        <v>301</v>
      </c>
      <c r="B106" s="123">
        <v>1</v>
      </c>
      <c r="C106" s="126">
        <v>99</v>
      </c>
      <c r="D106" s="124" t="s">
        <v>302</v>
      </c>
      <c r="E106" s="192">
        <v>59</v>
      </c>
      <c r="F106" s="125">
        <f>ROUND(E106*Valores!$C$2,2)</f>
        <v>3476.3</v>
      </c>
      <c r="G106" s="192">
        <v>2013</v>
      </c>
      <c r="H106" s="125">
        <f>ROUND(G106*Valores!$C$2,2)</f>
        <v>118606.56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42096.75</v>
      </c>
      <c r="N106" s="125">
        <f t="shared" si="12"/>
        <v>0</v>
      </c>
      <c r="O106" s="125">
        <f>Valores!$C$14</f>
        <v>58668.94</v>
      </c>
      <c r="P106" s="125">
        <f>Valores!$D$5</f>
        <v>30120.06</v>
      </c>
      <c r="Q106" s="125">
        <v>0</v>
      </c>
      <c r="R106" s="125">
        <f>IF($F$4="NO",Valores!$C$42,Valores!$C$42/2)</f>
        <v>18565.3</v>
      </c>
      <c r="S106" s="125">
        <f>Valores!$C$20</f>
        <v>27738.840000000004</v>
      </c>
      <c r="T106" s="125">
        <f t="shared" si="18"/>
        <v>27738.84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Valores!$C$95</f>
        <v>41242.8</v>
      </c>
      <c r="AA106" s="125">
        <f>Valores!$C$25</f>
        <v>1231.85</v>
      </c>
      <c r="AB106" s="214">
        <v>0</v>
      </c>
      <c r="AC106" s="125">
        <f t="shared" si="13"/>
        <v>0</v>
      </c>
      <c r="AD106" s="125">
        <f>Valores!$C$26</f>
        <v>1231.85</v>
      </c>
      <c r="AE106" s="192">
        <v>0</v>
      </c>
      <c r="AF106" s="125">
        <f>ROUND(AE106*Valores!$C$2,2)</f>
        <v>0</v>
      </c>
      <c r="AG106" s="125">
        <f>SUM(F106,H106,J106,L106,M106,N106,O106,P106,Q106,R106,T106,U106,V106,X106,Y106,Z106,AA106,AC106,AD106,AF106,AH106)*Valores!$C$69</f>
        <v>46061.05991999999</v>
      </c>
      <c r="AH106" s="125">
        <f>ROUND(IF($F$4="NO",Valores!$C$63,Valores!$C$63/2),2)</f>
        <v>14083.23</v>
      </c>
      <c r="AI106" s="125">
        <f t="shared" si="20"/>
        <v>403123.5399199999</v>
      </c>
      <c r="AJ106" s="125">
        <f>Valores!$C$31</f>
        <v>0</v>
      </c>
      <c r="AK106" s="125">
        <f>Valores!$C$88</f>
        <v>0</v>
      </c>
      <c r="AL106" s="125">
        <f>Valores!C$38*B106</f>
        <v>0</v>
      </c>
      <c r="AM106" s="125">
        <f>IF($F$3="NO",0,Valores!$C$56)</f>
        <v>0</v>
      </c>
      <c r="AN106" s="125">
        <f t="shared" si="15"/>
        <v>0</v>
      </c>
      <c r="AO106" s="125">
        <f>AI106*Valores!$C$71</f>
        <v>-44343.58939119999</v>
      </c>
      <c r="AP106" s="125">
        <f>AI106*Valores!$C$72</f>
        <v>-8062.470798399998</v>
      </c>
      <c r="AQ106" s="125">
        <f>AI106*-Valores!$C$73</f>
        <v>0</v>
      </c>
      <c r="AR106" s="125">
        <f>AI106*Valores!$C$74</f>
        <v>-22171.794695599994</v>
      </c>
      <c r="AS106" s="125">
        <f>Valores!$C$101</f>
        <v>-1270</v>
      </c>
      <c r="AT106" s="125">
        <f>IF($F$5=0,Valores!$C$102,(Valores!$C$102+$F$5*(Valores!$C$102)))</f>
        <v>-3700</v>
      </c>
      <c r="AU106" s="125">
        <f t="shared" si="17"/>
        <v>323575.6850347999</v>
      </c>
      <c r="AV106" s="125">
        <f t="shared" si="11"/>
        <v>-44343.58939119999</v>
      </c>
      <c r="AW106" s="125">
        <f t="shared" si="19"/>
        <v>-8062.470798399998</v>
      </c>
      <c r="AX106" s="125">
        <f>AI106*Valores!$C$75</f>
        <v>-10884.335577839996</v>
      </c>
      <c r="AY106" s="125">
        <f>AI106*Valores!$C$76</f>
        <v>-1209.3706197599997</v>
      </c>
      <c r="AZ106" s="125">
        <f t="shared" si="16"/>
        <v>338623.7735327999</v>
      </c>
      <c r="BA106" s="125">
        <f>AI106*Valores!$C$78</f>
        <v>64499.76638719998</v>
      </c>
      <c r="BB106" s="125">
        <f>AI106*Valores!$C$79</f>
        <v>28218.647794399996</v>
      </c>
      <c r="BC106" s="125">
        <f>AI106*Valores!$C$80</f>
        <v>4031.235399199999</v>
      </c>
      <c r="BD106" s="125">
        <f>AI106*Valores!$C$82</f>
        <v>14109.323897199998</v>
      </c>
      <c r="BE106" s="125">
        <f>AI106*Valores!$C$84</f>
        <v>21768.671155679993</v>
      </c>
      <c r="BF106" s="125">
        <f>AI106*Valores!$C$83</f>
        <v>2418.7412395199995</v>
      </c>
      <c r="BG106" s="126"/>
      <c r="BH106" s="126">
        <v>30</v>
      </c>
      <c r="BI106" s="123" t="s">
        <v>4</v>
      </c>
    </row>
    <row r="107" spans="1:61" s="110" customFormat="1" ht="11.25" customHeight="1">
      <c r="A107" s="123" t="s">
        <v>303</v>
      </c>
      <c r="B107" s="123">
        <v>1</v>
      </c>
      <c r="C107" s="126">
        <v>100</v>
      </c>
      <c r="D107" s="124" t="s">
        <v>304</v>
      </c>
      <c r="E107" s="192">
        <v>56</v>
      </c>
      <c r="F107" s="125">
        <f>ROUND(E107*Valores!$C$2,2)</f>
        <v>3299.54</v>
      </c>
      <c r="G107" s="192">
        <v>1720</v>
      </c>
      <c r="H107" s="125">
        <f>ROUND(G107*Valores!$C$2,2)</f>
        <v>101342.92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37736.65</v>
      </c>
      <c r="N107" s="125">
        <f t="shared" si="12"/>
        <v>0</v>
      </c>
      <c r="O107" s="125">
        <f>Valores!$C$14</f>
        <v>58668.94</v>
      </c>
      <c r="P107" s="125">
        <f>Valores!$D$5</f>
        <v>30120.06</v>
      </c>
      <c r="Q107" s="125">
        <v>0</v>
      </c>
      <c r="R107" s="125">
        <f>IF($F$4="NO",Valores!$C$42,Valores!$C$42/2)</f>
        <v>18565.3</v>
      </c>
      <c r="S107" s="125">
        <f>Valores!$C$20</f>
        <v>27738.840000000004</v>
      </c>
      <c r="T107" s="125">
        <f t="shared" si="18"/>
        <v>27738.84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Valores!$C$95</f>
        <v>41242.8</v>
      </c>
      <c r="AA107" s="125">
        <f>Valores!$C$25</f>
        <v>1231.85</v>
      </c>
      <c r="AB107" s="214">
        <v>0</v>
      </c>
      <c r="AC107" s="125">
        <f t="shared" si="13"/>
        <v>0</v>
      </c>
      <c r="AD107" s="125">
        <f>Valores!$C$26</f>
        <v>1231.85</v>
      </c>
      <c r="AE107" s="192">
        <v>0</v>
      </c>
      <c r="AF107" s="125">
        <f>ROUND(AE107*Valores!$C$2,2)</f>
        <v>0</v>
      </c>
      <c r="AG107" s="125">
        <f>SUM(F107,H107,J107,L107,M107,N107,O107,P107,Q107,R107,T107,U107,V107,X107,Y107,Z107,AA107,AC107,AD107,AF107,AH107)*Valores!$C$69</f>
        <v>43248.79541999999</v>
      </c>
      <c r="AH107" s="125">
        <f>ROUND(IF($F$4="NO",Valores!$C$63,Valores!$C$63/2),2)</f>
        <v>14083.23</v>
      </c>
      <c r="AI107" s="125">
        <f t="shared" si="20"/>
        <v>378510.7754199999</v>
      </c>
      <c r="AJ107" s="125">
        <f>Valores!$C$31</f>
        <v>0</v>
      </c>
      <c r="AK107" s="125">
        <f>Valores!$C$88</f>
        <v>0</v>
      </c>
      <c r="AL107" s="125">
        <f>Valores!C$38*B107</f>
        <v>0</v>
      </c>
      <c r="AM107" s="125">
        <f>IF($F$3="NO",0,Valores!$C$56)</f>
        <v>0</v>
      </c>
      <c r="AN107" s="125">
        <f t="shared" si="15"/>
        <v>0</v>
      </c>
      <c r="AO107" s="125">
        <f>AI107*Valores!$C$71</f>
        <v>-41636.18529619999</v>
      </c>
      <c r="AP107" s="125">
        <f>AI107*Valores!$C$72</f>
        <v>-7570.215508399998</v>
      </c>
      <c r="AQ107" s="125">
        <f>AI107*-Valores!$C$73</f>
        <v>0</v>
      </c>
      <c r="AR107" s="125">
        <f>AI107*Valores!$C$74</f>
        <v>-20818.092648099995</v>
      </c>
      <c r="AS107" s="125">
        <f>Valores!$C$101</f>
        <v>-1270</v>
      </c>
      <c r="AT107" s="125">
        <f>IF($F$5=0,Valores!$C$102,(Valores!$C$102+$F$5*(Valores!$C$102)))</f>
        <v>-3700</v>
      </c>
      <c r="AU107" s="125">
        <f t="shared" si="17"/>
        <v>303516.28196729993</v>
      </c>
      <c r="AV107" s="125">
        <f t="shared" si="11"/>
        <v>-41636.18529619999</v>
      </c>
      <c r="AW107" s="125">
        <f t="shared" si="19"/>
        <v>-7570.215508399998</v>
      </c>
      <c r="AX107" s="125">
        <f>AI107*Valores!$C$75</f>
        <v>-10219.790936339998</v>
      </c>
      <c r="AY107" s="125">
        <f>AI107*Valores!$C$76</f>
        <v>-1135.5323262599998</v>
      </c>
      <c r="AZ107" s="125">
        <f t="shared" si="16"/>
        <v>317949.0513527999</v>
      </c>
      <c r="BA107" s="125">
        <f>AI107*Valores!$C$78</f>
        <v>60561.72406719998</v>
      </c>
      <c r="BB107" s="125">
        <f>AI107*Valores!$C$79</f>
        <v>26495.754279399996</v>
      </c>
      <c r="BC107" s="125">
        <f>AI107*Valores!$C$80</f>
        <v>3785.107754199999</v>
      </c>
      <c r="BD107" s="125">
        <f>AI107*Valores!$C$82</f>
        <v>13247.877139699998</v>
      </c>
      <c r="BE107" s="125">
        <f>AI107*Valores!$C$84</f>
        <v>20439.581872679995</v>
      </c>
      <c r="BF107" s="125">
        <f>AI107*Valores!$C$83</f>
        <v>2271.0646525199995</v>
      </c>
      <c r="BG107" s="126"/>
      <c r="BH107" s="126">
        <v>30</v>
      </c>
      <c r="BI107" s="123" t="s">
        <v>4</v>
      </c>
    </row>
    <row r="108" spans="1:61" s="110" customFormat="1" ht="11.25" customHeight="1">
      <c r="A108" s="123" t="s">
        <v>305</v>
      </c>
      <c r="B108" s="123">
        <v>1</v>
      </c>
      <c r="C108" s="126">
        <v>101</v>
      </c>
      <c r="D108" s="124" t="s">
        <v>306</v>
      </c>
      <c r="E108" s="192">
        <v>45</v>
      </c>
      <c r="F108" s="125">
        <f>ROUND(E108*Valores!$C$2,2)</f>
        <v>2651.41</v>
      </c>
      <c r="G108" s="192">
        <v>1502</v>
      </c>
      <c r="H108" s="125">
        <f>ROUND(G108*Valores!$C$2,2)</f>
        <v>88498.29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34363.46</v>
      </c>
      <c r="N108" s="125">
        <f t="shared" si="12"/>
        <v>0</v>
      </c>
      <c r="O108" s="125">
        <f>Valores!$C$14</f>
        <v>58668.94</v>
      </c>
      <c r="P108" s="125">
        <f>Valores!$D$5</f>
        <v>30120.06</v>
      </c>
      <c r="Q108" s="125">
        <v>0</v>
      </c>
      <c r="R108" s="125">
        <f>IF($F$4="NO",Valores!$C$42,Valores!$C$42/2)</f>
        <v>18565.3</v>
      </c>
      <c r="S108" s="125">
        <f>Valores!$C$20</f>
        <v>27738.840000000004</v>
      </c>
      <c r="T108" s="125">
        <f t="shared" si="18"/>
        <v>27738.84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Valores!$C$95</f>
        <v>41242.8</v>
      </c>
      <c r="AA108" s="125">
        <f>Valores!$C$25</f>
        <v>1231.85</v>
      </c>
      <c r="AB108" s="214">
        <v>0</v>
      </c>
      <c r="AC108" s="125">
        <f t="shared" si="13"/>
        <v>0</v>
      </c>
      <c r="AD108" s="125">
        <f>Valores!$C$26</f>
        <v>1231.85</v>
      </c>
      <c r="AE108" s="192">
        <v>0</v>
      </c>
      <c r="AF108" s="125">
        <f>ROUND(AE108*Valores!$C$2,2)</f>
        <v>0</v>
      </c>
      <c r="AG108" s="125">
        <f>SUM(F108,H108,J108,L108,M108,N108,O108,P108,Q108,R108,T108,U108,V108,X108,Y108,Z108,AA108,AC108,AD108,AF108,AH108)*Valores!$C$69</f>
        <v>41073.08786999999</v>
      </c>
      <c r="AH108" s="125">
        <f>ROUND(IF($F$4="NO",Valores!$C$63,Valores!$C$63/2),2)</f>
        <v>14083.23</v>
      </c>
      <c r="AI108" s="125">
        <f t="shared" si="20"/>
        <v>359469.1178699999</v>
      </c>
      <c r="AJ108" s="125">
        <f>Valores!$C$31</f>
        <v>0</v>
      </c>
      <c r="AK108" s="125">
        <f>Valores!$C$88</f>
        <v>0</v>
      </c>
      <c r="AL108" s="125">
        <f>Valores!C$38*B108</f>
        <v>0</v>
      </c>
      <c r="AM108" s="125">
        <f>IF($F$3="NO",0,Valores!$C$56)</f>
        <v>0</v>
      </c>
      <c r="AN108" s="125">
        <f t="shared" si="15"/>
        <v>0</v>
      </c>
      <c r="AO108" s="125">
        <f>AI108*Valores!$C$71</f>
        <v>-39541.60296569999</v>
      </c>
      <c r="AP108" s="125">
        <f>AI108*Valores!$C$72</f>
        <v>-7189.382357399998</v>
      </c>
      <c r="AQ108" s="125">
        <f>AI108*-Valores!$C$73</f>
        <v>0</v>
      </c>
      <c r="AR108" s="125">
        <f>AI108*Valores!$C$74</f>
        <v>-19770.801482849994</v>
      </c>
      <c r="AS108" s="125">
        <f>Valores!$C$101</f>
        <v>-1270</v>
      </c>
      <c r="AT108" s="125">
        <f>IF($F$5=0,Valores!$C$102,(Valores!$C$102+$F$5*(Valores!$C$102)))</f>
        <v>-3700</v>
      </c>
      <c r="AU108" s="125">
        <f t="shared" si="17"/>
        <v>287997.3310640499</v>
      </c>
      <c r="AV108" s="125">
        <f t="shared" si="11"/>
        <v>-39541.60296569999</v>
      </c>
      <c r="AW108" s="125">
        <f t="shared" si="19"/>
        <v>-7189.382357399998</v>
      </c>
      <c r="AX108" s="125">
        <f>AI108*Valores!$C$75</f>
        <v>-9705.666182489997</v>
      </c>
      <c r="AY108" s="125">
        <f>AI108*Valores!$C$76</f>
        <v>-1078.4073536099997</v>
      </c>
      <c r="AZ108" s="125">
        <f t="shared" si="16"/>
        <v>301954.0590107999</v>
      </c>
      <c r="BA108" s="125">
        <f>AI108*Valores!$C$78</f>
        <v>57515.058859199984</v>
      </c>
      <c r="BB108" s="125">
        <f>AI108*Valores!$C$79</f>
        <v>25162.838250899997</v>
      </c>
      <c r="BC108" s="125">
        <f>AI108*Valores!$C$80</f>
        <v>3594.691178699999</v>
      </c>
      <c r="BD108" s="125">
        <f>AI108*Valores!$C$82</f>
        <v>12581.419125449998</v>
      </c>
      <c r="BE108" s="125">
        <f>AI108*Valores!$C$84</f>
        <v>19411.332364979993</v>
      </c>
      <c r="BF108" s="125">
        <f>AI108*Valores!$C$83</f>
        <v>2156.8147072199995</v>
      </c>
      <c r="BG108" s="126"/>
      <c r="BH108" s="126">
        <v>30</v>
      </c>
      <c r="BI108" s="123" t="s">
        <v>4</v>
      </c>
    </row>
    <row r="109" spans="1:61" s="110" customFormat="1" ht="11.25" customHeight="1">
      <c r="A109" s="123" t="s">
        <v>307</v>
      </c>
      <c r="B109" s="123">
        <v>1</v>
      </c>
      <c r="C109" s="126">
        <v>102</v>
      </c>
      <c r="D109" s="124" t="s">
        <v>308</v>
      </c>
      <c r="E109" s="192">
        <v>45</v>
      </c>
      <c r="F109" s="125">
        <f>ROUND(E109*Valores!$C$2,2)</f>
        <v>2651.41</v>
      </c>
      <c r="G109" s="192">
        <v>1139</v>
      </c>
      <c r="H109" s="125">
        <f>ROUND(G109*Valores!$C$2,2)</f>
        <v>67110.22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29016.44</v>
      </c>
      <c r="N109" s="125">
        <f t="shared" si="12"/>
        <v>0</v>
      </c>
      <c r="O109" s="125">
        <f>Valores!$C$14</f>
        <v>58668.94</v>
      </c>
      <c r="P109" s="125">
        <f>Valores!$D$5</f>
        <v>30120.06</v>
      </c>
      <c r="Q109" s="125">
        <v>0</v>
      </c>
      <c r="R109" s="125">
        <f>IF($F$4="NO",Valores!$C$42,Valores!$C$42/2)</f>
        <v>18565.3</v>
      </c>
      <c r="S109" s="125">
        <f>Valores!$C$20</f>
        <v>27738.840000000004</v>
      </c>
      <c r="T109" s="125">
        <f t="shared" si="18"/>
        <v>27738.84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Valores!$C$95</f>
        <v>41242.8</v>
      </c>
      <c r="AA109" s="125">
        <f>Valores!$C$25</f>
        <v>1231.85</v>
      </c>
      <c r="AB109" s="214">
        <v>0</v>
      </c>
      <c r="AC109" s="125">
        <f t="shared" si="13"/>
        <v>0</v>
      </c>
      <c r="AD109" s="125">
        <f>Valores!$C$26</f>
        <v>1231.85</v>
      </c>
      <c r="AE109" s="192">
        <v>0</v>
      </c>
      <c r="AF109" s="125">
        <f>ROUND(AE109*Valores!$C$2,2)</f>
        <v>0</v>
      </c>
      <c r="AG109" s="125">
        <f>SUM(F109,H109,J109,L109,M109,N109,O109,P109,Q109,R109,T109,U109,V109,X109,Y109,Z109,AA109,AC109,AD109,AF109,AH109)*Valores!$C$69</f>
        <v>37624.26125999999</v>
      </c>
      <c r="AH109" s="125">
        <f>ROUND(IF($F$4="NO",Valores!$C$63,Valores!$C$63/2),2)</f>
        <v>14083.23</v>
      </c>
      <c r="AI109" s="125">
        <f t="shared" si="20"/>
        <v>329285.20125999994</v>
      </c>
      <c r="AJ109" s="125">
        <f>Valores!$C$31</f>
        <v>0</v>
      </c>
      <c r="AK109" s="125">
        <f>Valores!$C$88</f>
        <v>0</v>
      </c>
      <c r="AL109" s="125">
        <f>Valores!C$38*B109</f>
        <v>0</v>
      </c>
      <c r="AM109" s="125">
        <f>IF($F$3="NO",0,Valores!$C$56)</f>
        <v>0</v>
      </c>
      <c r="AN109" s="125">
        <f t="shared" si="15"/>
        <v>0</v>
      </c>
      <c r="AO109" s="125">
        <f>AI109*Valores!$C$71</f>
        <v>-36221.372138599996</v>
      </c>
      <c r="AP109" s="125">
        <f>AI109*Valores!$C$72</f>
        <v>-6585.704025199999</v>
      </c>
      <c r="AQ109" s="125">
        <f>AI109*-Valores!$C$73</f>
        <v>0</v>
      </c>
      <c r="AR109" s="125">
        <f>AI109*Valores!$C$74</f>
        <v>-18110.686069299998</v>
      </c>
      <c r="AS109" s="125">
        <f>Valores!$C$101</f>
        <v>-1270</v>
      </c>
      <c r="AT109" s="125">
        <f>IF($F$5=0,Valores!$C$102,(Valores!$C$102+$F$5*(Valores!$C$102)))</f>
        <v>-3700</v>
      </c>
      <c r="AU109" s="125">
        <f t="shared" si="17"/>
        <v>263397.4390269</v>
      </c>
      <c r="AV109" s="125">
        <f t="shared" si="11"/>
        <v>-36221.372138599996</v>
      </c>
      <c r="AW109" s="125">
        <f t="shared" si="19"/>
        <v>-6585.704025199999</v>
      </c>
      <c r="AX109" s="125">
        <f>AI109*Valores!$C$75</f>
        <v>-8890.700434019998</v>
      </c>
      <c r="AY109" s="125">
        <f>AI109*Valores!$C$76</f>
        <v>-987.8556037799998</v>
      </c>
      <c r="AZ109" s="125">
        <f t="shared" si="16"/>
        <v>276599.56905839994</v>
      </c>
      <c r="BA109" s="125">
        <f>AI109*Valores!$C$78</f>
        <v>52685.63220159999</v>
      </c>
      <c r="BB109" s="125">
        <f>AI109*Valores!$C$79</f>
        <v>23049.9640882</v>
      </c>
      <c r="BC109" s="125">
        <f>AI109*Valores!$C$80</f>
        <v>3292.8520125999994</v>
      </c>
      <c r="BD109" s="125">
        <f>AI109*Valores!$C$82</f>
        <v>11524.9820441</v>
      </c>
      <c r="BE109" s="125">
        <f>AI109*Valores!$C$84</f>
        <v>17781.400868039997</v>
      </c>
      <c r="BF109" s="125">
        <f>AI109*Valores!$C$83</f>
        <v>1975.7112075599996</v>
      </c>
      <c r="BG109" s="126"/>
      <c r="BH109" s="126">
        <v>30</v>
      </c>
      <c r="BI109" s="123" t="s">
        <v>4</v>
      </c>
    </row>
    <row r="110" spans="1:61" s="110" customFormat="1" ht="11.25" customHeight="1">
      <c r="A110" s="123" t="s">
        <v>309</v>
      </c>
      <c r="B110" s="123">
        <v>1</v>
      </c>
      <c r="C110" s="126">
        <v>103</v>
      </c>
      <c r="D110" s="124" t="s">
        <v>310</v>
      </c>
      <c r="E110" s="192">
        <v>46</v>
      </c>
      <c r="F110" s="125">
        <f>ROUND(E110*Valores!$C$2,2)</f>
        <v>2710.33</v>
      </c>
      <c r="G110" s="192">
        <v>1102</v>
      </c>
      <c r="H110" s="125">
        <f>ROUND(G110*Valores!$C$2,2)</f>
        <v>64930.17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28486.16</v>
      </c>
      <c r="N110" s="125">
        <f t="shared" si="12"/>
        <v>0</v>
      </c>
      <c r="O110" s="125">
        <f>Valores!$C$14</f>
        <v>58668.94</v>
      </c>
      <c r="P110" s="125">
        <f>Valores!$D$5</f>
        <v>30120.06</v>
      </c>
      <c r="Q110" s="125">
        <v>0</v>
      </c>
      <c r="R110" s="125">
        <f>IF($F$4="NO",Valores!$C$42,Valores!$C$42/2)</f>
        <v>18565.3</v>
      </c>
      <c r="S110" s="125">
        <f>Valores!$C$20</f>
        <v>27738.840000000004</v>
      </c>
      <c r="T110" s="125">
        <f t="shared" si="18"/>
        <v>27738.84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Valores!$C$95</f>
        <v>41242.8</v>
      </c>
      <c r="AA110" s="125">
        <f>Valores!$C$25</f>
        <v>1231.85</v>
      </c>
      <c r="AB110" s="214">
        <v>0</v>
      </c>
      <c r="AC110" s="125">
        <f t="shared" si="13"/>
        <v>0</v>
      </c>
      <c r="AD110" s="125">
        <f>Valores!$C$26</f>
        <v>1231.85</v>
      </c>
      <c r="AE110" s="192">
        <v>0</v>
      </c>
      <c r="AF110" s="125">
        <f>ROUND(AE110*Valores!$C$2,2)</f>
        <v>0</v>
      </c>
      <c r="AG110" s="125">
        <f>SUM(F110,H110,J110,L110,M110,N110,O110,P110,Q110,R110,T110,U110,V110,X110,Y110,Z110,AA110,AC110,AD110,AF110,AH110)*Valores!$C$69</f>
        <v>37282.22936999999</v>
      </c>
      <c r="AH110" s="125">
        <f>ROUND(IF($F$4="NO",Valores!$C$63,Valores!$C$63/2),2)</f>
        <v>14083.23</v>
      </c>
      <c r="AI110" s="125">
        <f t="shared" si="20"/>
        <v>326291.75936999987</v>
      </c>
      <c r="AJ110" s="125">
        <f>Valores!$C$31</f>
        <v>0</v>
      </c>
      <c r="AK110" s="125">
        <f>Valores!$C$88</f>
        <v>0</v>
      </c>
      <c r="AL110" s="125">
        <f>Valores!C$38*B110</f>
        <v>0</v>
      </c>
      <c r="AM110" s="125">
        <f>IF($F$3="NO",0,Valores!$C$56)</f>
        <v>0</v>
      </c>
      <c r="AN110" s="125">
        <f t="shared" si="15"/>
        <v>0</v>
      </c>
      <c r="AO110" s="125">
        <f>AI110*Valores!$C$71</f>
        <v>-35892.09353069999</v>
      </c>
      <c r="AP110" s="125">
        <f>AI110*Valores!$C$72</f>
        <v>-6525.835187399997</v>
      </c>
      <c r="AQ110" s="125">
        <f>AI110*-Valores!$C$73</f>
        <v>0</v>
      </c>
      <c r="AR110" s="125">
        <f>AI110*Valores!$C$74</f>
        <v>-17946.046765349995</v>
      </c>
      <c r="AS110" s="125">
        <f>Valores!$C$101</f>
        <v>-1270</v>
      </c>
      <c r="AT110" s="125">
        <f>IF($F$5=0,Valores!$C$102,(Valores!$C$102+$F$5*(Valores!$C$102)))</f>
        <v>-3700</v>
      </c>
      <c r="AU110" s="125">
        <f t="shared" si="17"/>
        <v>260957.78388654988</v>
      </c>
      <c r="AV110" s="125">
        <f t="shared" si="11"/>
        <v>-35892.09353069999</v>
      </c>
      <c r="AW110" s="125">
        <f t="shared" si="19"/>
        <v>-6525.835187399997</v>
      </c>
      <c r="AX110" s="125">
        <f>AI110*Valores!$C$75</f>
        <v>-8809.877502989997</v>
      </c>
      <c r="AY110" s="125">
        <f>AI110*Valores!$C$76</f>
        <v>-978.8752781099996</v>
      </c>
      <c r="AZ110" s="125">
        <f t="shared" si="16"/>
        <v>274085.07787079987</v>
      </c>
      <c r="BA110" s="125">
        <f>AI110*Valores!$C$78</f>
        <v>52206.68149919998</v>
      </c>
      <c r="BB110" s="125">
        <f>AI110*Valores!$C$79</f>
        <v>22840.423155899993</v>
      </c>
      <c r="BC110" s="125">
        <f>AI110*Valores!$C$80</f>
        <v>3262.9175936999986</v>
      </c>
      <c r="BD110" s="125">
        <f>AI110*Valores!$C$82</f>
        <v>11420.211577949996</v>
      </c>
      <c r="BE110" s="125">
        <f>AI110*Valores!$C$84</f>
        <v>17619.755005979994</v>
      </c>
      <c r="BF110" s="125">
        <f>AI110*Valores!$C$83</f>
        <v>1957.7505562199992</v>
      </c>
      <c r="BG110" s="126"/>
      <c r="BH110" s="126">
        <v>30</v>
      </c>
      <c r="BI110" s="123" t="s">
        <v>4</v>
      </c>
    </row>
    <row r="111" spans="1:61" s="110" customFormat="1" ht="11.25" customHeight="1">
      <c r="A111" s="123" t="s">
        <v>311</v>
      </c>
      <c r="B111" s="123">
        <v>1</v>
      </c>
      <c r="C111" s="126">
        <v>104</v>
      </c>
      <c r="D111" s="124" t="s">
        <v>312</v>
      </c>
      <c r="E111" s="192">
        <v>66</v>
      </c>
      <c r="F111" s="125">
        <f>ROUND(E111*Valores!$C$2,2)</f>
        <v>3888.74</v>
      </c>
      <c r="G111" s="192">
        <v>1911</v>
      </c>
      <c r="H111" s="125">
        <f>ROUND(G111*Valores!$C$2,2)</f>
        <v>112596.69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40697.39</v>
      </c>
      <c r="N111" s="125">
        <f t="shared" si="12"/>
        <v>0</v>
      </c>
      <c r="O111" s="125">
        <f>Valores!$C$14</f>
        <v>58668.94</v>
      </c>
      <c r="P111" s="125">
        <f>Valores!$D$5</f>
        <v>30120.06</v>
      </c>
      <c r="Q111" s="125">
        <f>Valores!$C$22</f>
        <v>26870.16</v>
      </c>
      <c r="R111" s="125">
        <f>IF($F$4="NO",Valores!$C$42,Valores!$C$42/2)</f>
        <v>18565.3</v>
      </c>
      <c r="S111" s="125">
        <f>Valores!$C$20</f>
        <v>27738.840000000004</v>
      </c>
      <c r="T111" s="125">
        <f t="shared" si="18"/>
        <v>27738.84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Valores!$C$95</f>
        <v>41242.8</v>
      </c>
      <c r="AA111" s="125">
        <f>Valores!$C$25</f>
        <v>1231.85</v>
      </c>
      <c r="AB111" s="214">
        <v>0</v>
      </c>
      <c r="AC111" s="125">
        <f t="shared" si="13"/>
        <v>0</v>
      </c>
      <c r="AD111" s="125">
        <f>Valores!$C$26</f>
        <v>1231.85</v>
      </c>
      <c r="AE111" s="192">
        <v>94</v>
      </c>
      <c r="AF111" s="125">
        <f>ROUND(AE111*Valores!$C$2,2)</f>
        <v>5538.51</v>
      </c>
      <c r="AG111" s="125">
        <f>SUM(F111,H111,J111,L111,M111,N111,O111,P111,Q111,R111,T111,U111,V111,X111,Y111,Z111,AA111,AC111,AD111,AF111,AH111)*Valores!$C$69</f>
        <v>49339.19243999999</v>
      </c>
      <c r="AH111" s="125">
        <f>ROUND(IF($F$4="NO",Valores!$C$63,Valores!$C$63/2),2)</f>
        <v>14083.23</v>
      </c>
      <c r="AI111" s="125">
        <f t="shared" si="20"/>
        <v>431813.55243999994</v>
      </c>
      <c r="AJ111" s="125">
        <f>Valores!$C$31</f>
        <v>0</v>
      </c>
      <c r="AK111" s="125">
        <f>Valores!$C$88</f>
        <v>0</v>
      </c>
      <c r="AL111" s="125">
        <f>Valores!C$38*B111</f>
        <v>0</v>
      </c>
      <c r="AM111" s="125">
        <f>IF($F$3="NO",0,Valores!$C$56)</f>
        <v>0</v>
      </c>
      <c r="AN111" s="125">
        <f t="shared" si="15"/>
        <v>0</v>
      </c>
      <c r="AO111" s="125">
        <f>AI111*Valores!$C$71</f>
        <v>-47499.49076839999</v>
      </c>
      <c r="AP111" s="125">
        <f>AI111*Valores!$C$72</f>
        <v>-8636.2710488</v>
      </c>
      <c r="AQ111" s="125">
        <f>AI111*-Valores!$C$73</f>
        <v>0</v>
      </c>
      <c r="AR111" s="125">
        <f>AI111*Valores!$C$74</f>
        <v>-23749.745384199996</v>
      </c>
      <c r="AS111" s="125">
        <f>Valores!$C$101</f>
        <v>-1270</v>
      </c>
      <c r="AT111" s="125">
        <f>IF($F$5=0,Valores!$C$102,(Valores!$C$102+$F$5*(Valores!$C$102)))</f>
        <v>-3700</v>
      </c>
      <c r="AU111" s="125">
        <f t="shared" si="17"/>
        <v>346958.04523859994</v>
      </c>
      <c r="AV111" s="125">
        <f t="shared" si="11"/>
        <v>-47499.49076839999</v>
      </c>
      <c r="AW111" s="125">
        <f t="shared" si="19"/>
        <v>-8636.2710488</v>
      </c>
      <c r="AX111" s="125">
        <f>AI111*Valores!$C$75</f>
        <v>-11658.965915879999</v>
      </c>
      <c r="AY111" s="125">
        <f>AI111*Valores!$C$76</f>
        <v>-1295.44065732</v>
      </c>
      <c r="AZ111" s="125">
        <f t="shared" si="16"/>
        <v>362723.3840496</v>
      </c>
      <c r="BA111" s="125">
        <f>AI111*Valores!$C$78</f>
        <v>69090.1683904</v>
      </c>
      <c r="BB111" s="125">
        <f>AI111*Valores!$C$79</f>
        <v>30226.9486708</v>
      </c>
      <c r="BC111" s="125">
        <f>AI111*Valores!$C$80</f>
        <v>4318.1355244</v>
      </c>
      <c r="BD111" s="125">
        <f>AI111*Valores!$C$82</f>
        <v>15113.4743354</v>
      </c>
      <c r="BE111" s="125">
        <f>AI111*Valores!$C$84</f>
        <v>23317.931831759997</v>
      </c>
      <c r="BF111" s="125">
        <f>AI111*Valores!$C$83</f>
        <v>2590.88131464</v>
      </c>
      <c r="BG111" s="126"/>
      <c r="BH111" s="126">
        <v>25</v>
      </c>
      <c r="BI111" s="123" t="s">
        <v>4</v>
      </c>
    </row>
    <row r="112" spans="1:61" s="110" customFormat="1" ht="11.25" customHeight="1">
      <c r="A112" s="123" t="s">
        <v>313</v>
      </c>
      <c r="B112" s="123">
        <v>1</v>
      </c>
      <c r="C112" s="126">
        <v>105</v>
      </c>
      <c r="D112" s="124" t="s">
        <v>314</v>
      </c>
      <c r="E112" s="192">
        <v>61</v>
      </c>
      <c r="F112" s="125">
        <f>ROUND(E112*Valores!$C$2,2)</f>
        <v>3594.14</v>
      </c>
      <c r="G112" s="192">
        <v>1545</v>
      </c>
      <c r="H112" s="125">
        <f>ROUND(G112*Valores!$C$2,2)</f>
        <v>91031.86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35232.54</v>
      </c>
      <c r="N112" s="125">
        <f t="shared" si="12"/>
        <v>0</v>
      </c>
      <c r="O112" s="125">
        <f>Valores!$C$14</f>
        <v>58668.94</v>
      </c>
      <c r="P112" s="125">
        <f>Valores!$D$5</f>
        <v>30120.06</v>
      </c>
      <c r="Q112" s="125">
        <f>Valores!$C$22</f>
        <v>26870.16</v>
      </c>
      <c r="R112" s="125">
        <f>IF($F$4="NO",Valores!$C$42,Valores!$C$42/2)</f>
        <v>18565.3</v>
      </c>
      <c r="S112" s="125">
        <f>Valores!$C$20</f>
        <v>27738.840000000004</v>
      </c>
      <c r="T112" s="125">
        <f t="shared" si="18"/>
        <v>27738.84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Valores!$C$95</f>
        <v>41242.8</v>
      </c>
      <c r="AA112" s="125">
        <f>Valores!$C$25</f>
        <v>1231.85</v>
      </c>
      <c r="AB112" s="214">
        <v>0</v>
      </c>
      <c r="AC112" s="125">
        <f t="shared" si="13"/>
        <v>0</v>
      </c>
      <c r="AD112" s="125">
        <f>Valores!$C$26</f>
        <v>1231.85</v>
      </c>
      <c r="AE112" s="192">
        <v>94</v>
      </c>
      <c r="AF112" s="125">
        <f>ROUND(AE112*Valores!$C$2,2)</f>
        <v>5538.51</v>
      </c>
      <c r="AG112" s="125">
        <f>SUM(F112,H112,J112,L112,M112,N112,O112,P112,Q112,R112,T112,U112,V112,X112,Y112,Z112,AA112,AC112,AD112,AF112,AH112)*Valores!$C$69</f>
        <v>45814.36031999999</v>
      </c>
      <c r="AH112" s="125">
        <f>ROUND(IF($F$4="NO",Valores!$C$63,Valores!$C$63/2),2)</f>
        <v>14083.23</v>
      </c>
      <c r="AI112" s="125">
        <f t="shared" si="20"/>
        <v>400964.44031999994</v>
      </c>
      <c r="AJ112" s="125">
        <f>Valores!$C$31</f>
        <v>0</v>
      </c>
      <c r="AK112" s="125">
        <f>Valores!$C$88</f>
        <v>0</v>
      </c>
      <c r="AL112" s="125">
        <f>Valores!C$38*B112</f>
        <v>0</v>
      </c>
      <c r="AM112" s="125">
        <f>IF($F$3="NO",0,Valores!$C$56)</f>
        <v>0</v>
      </c>
      <c r="AN112" s="125">
        <f t="shared" si="15"/>
        <v>0</v>
      </c>
      <c r="AO112" s="125">
        <f>AI112*Valores!$C$71</f>
        <v>-44106.08843519999</v>
      </c>
      <c r="AP112" s="125">
        <f>AI112*Valores!$C$72</f>
        <v>-8019.288806399999</v>
      </c>
      <c r="AQ112" s="125">
        <f>AI112*-Valores!$C$73</f>
        <v>0</v>
      </c>
      <c r="AR112" s="125">
        <f>AI112*Valores!$C$74</f>
        <v>-22053.044217599996</v>
      </c>
      <c r="AS112" s="125">
        <f>Valores!$C$101</f>
        <v>-1270</v>
      </c>
      <c r="AT112" s="125">
        <f>IF($F$5=0,Valores!$C$102,(Valores!$C$102+$F$5*(Valores!$C$102)))</f>
        <v>-3700</v>
      </c>
      <c r="AU112" s="125">
        <f t="shared" si="17"/>
        <v>321816.01886079996</v>
      </c>
      <c r="AV112" s="125">
        <f t="shared" si="11"/>
        <v>-44106.08843519999</v>
      </c>
      <c r="AW112" s="125">
        <f t="shared" si="19"/>
        <v>-8019.288806399999</v>
      </c>
      <c r="AX112" s="125">
        <f>AI112*Valores!$C$75</f>
        <v>-10826.039888639998</v>
      </c>
      <c r="AY112" s="125">
        <f>AI112*Valores!$C$76</f>
        <v>-1202.8933209599998</v>
      </c>
      <c r="AZ112" s="125">
        <f t="shared" si="16"/>
        <v>336810.12986879994</v>
      </c>
      <c r="BA112" s="125">
        <f>AI112*Valores!$C$78</f>
        <v>64154.31045119999</v>
      </c>
      <c r="BB112" s="125">
        <f>AI112*Valores!$C$79</f>
        <v>28067.5108224</v>
      </c>
      <c r="BC112" s="125">
        <f>AI112*Valores!$C$80</f>
        <v>4009.6444031999995</v>
      </c>
      <c r="BD112" s="125">
        <f>AI112*Valores!$C$82</f>
        <v>14033.7554112</v>
      </c>
      <c r="BE112" s="125">
        <f>AI112*Valores!$C$84</f>
        <v>21652.079777279996</v>
      </c>
      <c r="BF112" s="125">
        <f>AI112*Valores!$C$83</f>
        <v>2405.7866419199995</v>
      </c>
      <c r="BG112" s="126"/>
      <c r="BH112" s="126">
        <v>25</v>
      </c>
      <c r="BI112" s="123" t="s">
        <v>8</v>
      </c>
    </row>
    <row r="113" spans="1:61" s="110" customFormat="1" ht="11.25" customHeight="1">
      <c r="A113" s="123" t="s">
        <v>315</v>
      </c>
      <c r="B113" s="123">
        <v>1</v>
      </c>
      <c r="C113" s="126">
        <v>106</v>
      </c>
      <c r="D113" s="124" t="s">
        <v>316</v>
      </c>
      <c r="E113" s="192">
        <f>75+143</f>
        <v>218</v>
      </c>
      <c r="F113" s="125">
        <f>ROUND(E113*Valores!$C$2,2)</f>
        <v>12844.63</v>
      </c>
      <c r="G113" s="192">
        <v>2100</v>
      </c>
      <c r="H113" s="125">
        <f>ROUND(G113*Valores!$C$2,2)</f>
        <v>123732.63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45720.35</v>
      </c>
      <c r="N113" s="125">
        <f t="shared" si="12"/>
        <v>0</v>
      </c>
      <c r="O113" s="125">
        <f>Valores!$C$14</f>
        <v>58668.94</v>
      </c>
      <c r="P113" s="125">
        <f>Valores!$D$5</f>
        <v>30120.06</v>
      </c>
      <c r="Q113" s="125">
        <f>Valores!$C$22</f>
        <v>26870.16</v>
      </c>
      <c r="R113" s="125">
        <f>IF($F$4="NO",Valores!$C$42,Valores!$C$42/2)</f>
        <v>18565.3</v>
      </c>
      <c r="S113" s="125">
        <f>Valores!$C$20</f>
        <v>27738.840000000004</v>
      </c>
      <c r="T113" s="125">
        <f t="shared" si="18"/>
        <v>27738.84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Valores!$C$95</f>
        <v>41242.8</v>
      </c>
      <c r="AA113" s="125">
        <f>Valores!$C$25</f>
        <v>1231.85</v>
      </c>
      <c r="AB113" s="214">
        <v>0</v>
      </c>
      <c r="AC113" s="125">
        <f t="shared" si="13"/>
        <v>0</v>
      </c>
      <c r="AD113" s="125">
        <f>Valores!$C$26</f>
        <v>1231.85</v>
      </c>
      <c r="AE113" s="192">
        <v>0</v>
      </c>
      <c r="AF113" s="125">
        <f>ROUND(AE113*Valores!$C$2,2)</f>
        <v>0</v>
      </c>
      <c r="AG113" s="125">
        <f>SUM(F113,H113,J113,L113,M113,N113,O113,P113,Q113,R113,T113,U113,V113,X113,Y113,Z113,AA113,AC113,AD113,AF113,AH113)*Valores!$C$69</f>
        <v>51864.53255999999</v>
      </c>
      <c r="AH113" s="125">
        <f>ROUND(IF($F$4="NO",Valores!$C$63,Valores!$C$63/2),2)</f>
        <v>14083.23</v>
      </c>
      <c r="AI113" s="125">
        <f t="shared" si="20"/>
        <v>453915.17256</v>
      </c>
      <c r="AJ113" s="125">
        <f>Valores!$C$31</f>
        <v>0</v>
      </c>
      <c r="AK113" s="125">
        <f>Valores!$C$88</f>
        <v>0</v>
      </c>
      <c r="AL113" s="125">
        <f>Valores!C$38*B113</f>
        <v>0</v>
      </c>
      <c r="AM113" s="125">
        <f>IF($F$3="NO",0,Valores!$C$56)</f>
        <v>0</v>
      </c>
      <c r="AN113" s="125">
        <f t="shared" si="15"/>
        <v>0</v>
      </c>
      <c r="AO113" s="125">
        <f>AI113*Valores!$C$71</f>
        <v>-49930.6689816</v>
      </c>
      <c r="AP113" s="125">
        <f>AI113*Valores!$C$72</f>
        <v>-9078.3034512</v>
      </c>
      <c r="AQ113" s="125">
        <f>AI113*-Valores!$C$73</f>
        <v>0</v>
      </c>
      <c r="AR113" s="125">
        <f>AI113*Valores!$C$74</f>
        <v>-24965.3344908</v>
      </c>
      <c r="AS113" s="125">
        <f>Valores!$C$101</f>
        <v>-1270</v>
      </c>
      <c r="AT113" s="125">
        <f>IF($F$5=0,Valores!$C$102,(Valores!$C$102+$F$5*(Valores!$C$102)))</f>
        <v>-3700</v>
      </c>
      <c r="AU113" s="125">
        <f t="shared" si="17"/>
        <v>364970.86563639995</v>
      </c>
      <c r="AV113" s="125">
        <f t="shared" si="11"/>
        <v>-49930.6689816</v>
      </c>
      <c r="AW113" s="125">
        <f t="shared" si="19"/>
        <v>-9078.3034512</v>
      </c>
      <c r="AX113" s="125">
        <f>AI113*Valores!$C$75</f>
        <v>-12255.709659119999</v>
      </c>
      <c r="AY113" s="125">
        <f>AI113*Valores!$C$76</f>
        <v>-1361.74551768</v>
      </c>
      <c r="AZ113" s="125">
        <f t="shared" si="16"/>
        <v>381288.74495039997</v>
      </c>
      <c r="BA113" s="125">
        <f>AI113*Valores!$C$78</f>
        <v>72626.4276096</v>
      </c>
      <c r="BB113" s="125">
        <f>AI113*Valores!$C$79</f>
        <v>31774.0620792</v>
      </c>
      <c r="BC113" s="125">
        <f>AI113*Valores!$C$80</f>
        <v>4539.1517256</v>
      </c>
      <c r="BD113" s="125">
        <f>AI113*Valores!$C$82</f>
        <v>15887.0310396</v>
      </c>
      <c r="BE113" s="125">
        <f>AI113*Valores!$C$84</f>
        <v>24511.419318239998</v>
      </c>
      <c r="BF113" s="125">
        <f>AI113*Valores!$C$83</f>
        <v>2723.49103536</v>
      </c>
      <c r="BG113" s="126"/>
      <c r="BH113" s="126">
        <v>30</v>
      </c>
      <c r="BI113" s="123" t="s">
        <v>4</v>
      </c>
    </row>
    <row r="114" spans="1:61" s="110" customFormat="1" ht="11.25" customHeight="1">
      <c r="A114" s="123" t="s">
        <v>317</v>
      </c>
      <c r="B114" s="123">
        <v>1</v>
      </c>
      <c r="C114" s="126">
        <v>107</v>
      </c>
      <c r="D114" s="124" t="s">
        <v>318</v>
      </c>
      <c r="E114" s="192">
        <f>77+143</f>
        <v>220</v>
      </c>
      <c r="F114" s="125">
        <f>ROUND(E114*Valores!$C$2,2)</f>
        <v>12962.47</v>
      </c>
      <c r="G114" s="192">
        <v>1995</v>
      </c>
      <c r="H114" s="125">
        <f>ROUND(G114*Valores!$C$2,2)</f>
        <v>117546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44203.15</v>
      </c>
      <c r="N114" s="125">
        <f t="shared" si="12"/>
        <v>0</v>
      </c>
      <c r="O114" s="125">
        <f>Valores!$C$14</f>
        <v>58668.94</v>
      </c>
      <c r="P114" s="125">
        <f>Valores!$D$5</f>
        <v>30120.06</v>
      </c>
      <c r="Q114" s="125">
        <f>Valores!$C$22</f>
        <v>26870.16</v>
      </c>
      <c r="R114" s="125">
        <f>IF($F$4="NO",Valores!$C$42,Valores!$C$42/2)</f>
        <v>18565.3</v>
      </c>
      <c r="S114" s="125">
        <f>Valores!$C$20</f>
        <v>27738.840000000004</v>
      </c>
      <c r="T114" s="125">
        <f t="shared" si="18"/>
        <v>27738.84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Valores!$C$95</f>
        <v>41242.8</v>
      </c>
      <c r="AA114" s="125">
        <f>Valores!$C$25</f>
        <v>1231.85</v>
      </c>
      <c r="AB114" s="214">
        <v>0</v>
      </c>
      <c r="AC114" s="125">
        <f t="shared" si="13"/>
        <v>0</v>
      </c>
      <c r="AD114" s="125">
        <f>Valores!$C$26</f>
        <v>1231.85</v>
      </c>
      <c r="AE114" s="192">
        <v>0</v>
      </c>
      <c r="AF114" s="125">
        <f>ROUND(AE114*Valores!$C$2,2)</f>
        <v>0</v>
      </c>
      <c r="AG114" s="125">
        <f>SUM(F114,H114,J114,L114,M114,N114,O114,P114,Q114,R114,T114,U114,V114,X114,Y114,Z114,AA114,AC114,AD114,AF114,AH114)*Valores!$C$69</f>
        <v>50885.93984999999</v>
      </c>
      <c r="AH114" s="125">
        <f>ROUND(IF($F$4="NO",Valores!$C$63,Valores!$C$63/2),2)</f>
        <v>14083.23</v>
      </c>
      <c r="AI114" s="125">
        <f t="shared" si="20"/>
        <v>445350.5898499999</v>
      </c>
      <c r="AJ114" s="125">
        <f>Valores!$C$31</f>
        <v>0</v>
      </c>
      <c r="AK114" s="125">
        <f>Valores!$C$88</f>
        <v>0</v>
      </c>
      <c r="AL114" s="125">
        <f>Valores!C$38*B114</f>
        <v>0</v>
      </c>
      <c r="AM114" s="125">
        <f>IF($F$3="NO",0,Valores!$C$56)</f>
        <v>0</v>
      </c>
      <c r="AN114" s="125">
        <f t="shared" si="15"/>
        <v>0</v>
      </c>
      <c r="AO114" s="125">
        <f>AI114*Valores!$C$71</f>
        <v>-48988.56488349999</v>
      </c>
      <c r="AP114" s="125">
        <f>AI114*Valores!$C$72</f>
        <v>-8907.011796999997</v>
      </c>
      <c r="AQ114" s="125">
        <f>AI114*-Valores!$C$73</f>
        <v>0</v>
      </c>
      <c r="AR114" s="125">
        <f>AI114*Valores!$C$74</f>
        <v>-24494.282441749994</v>
      </c>
      <c r="AS114" s="125">
        <f>Valores!$C$101</f>
        <v>-1270</v>
      </c>
      <c r="AT114" s="125">
        <f>IF($F$5=0,Valores!$C$102,(Valores!$C$102+$F$5*(Valores!$C$102)))</f>
        <v>-3700</v>
      </c>
      <c r="AU114" s="125">
        <f t="shared" si="17"/>
        <v>357990.7307277499</v>
      </c>
      <c r="AV114" s="125">
        <f t="shared" si="11"/>
        <v>-48988.56488349999</v>
      </c>
      <c r="AW114" s="125">
        <f t="shared" si="19"/>
        <v>-8907.011796999997</v>
      </c>
      <c r="AX114" s="125">
        <f>AI114*Valores!$C$75</f>
        <v>-12024.465925949997</v>
      </c>
      <c r="AY114" s="125">
        <f>AI114*Valores!$C$76</f>
        <v>-1336.0517695499996</v>
      </c>
      <c r="AZ114" s="125">
        <f t="shared" si="16"/>
        <v>374094.4954739999</v>
      </c>
      <c r="BA114" s="125">
        <f>AI114*Valores!$C$78</f>
        <v>71256.09437599998</v>
      </c>
      <c r="BB114" s="125">
        <f>AI114*Valores!$C$79</f>
        <v>31174.541289499994</v>
      </c>
      <c r="BC114" s="125">
        <f>AI114*Valores!$C$80</f>
        <v>4453.505898499999</v>
      </c>
      <c r="BD114" s="125">
        <f>AI114*Valores!$C$82</f>
        <v>15587.270644749997</v>
      </c>
      <c r="BE114" s="125">
        <f>AI114*Valores!$C$84</f>
        <v>24048.931851899993</v>
      </c>
      <c r="BF114" s="125">
        <f>AI114*Valores!$C$83</f>
        <v>2672.103539099999</v>
      </c>
      <c r="BG114" s="126"/>
      <c r="BH114" s="126">
        <v>30</v>
      </c>
      <c r="BI114" s="123" t="s">
        <v>4</v>
      </c>
    </row>
    <row r="115" spans="1:61" s="110" customFormat="1" ht="11.25" customHeight="1">
      <c r="A115" s="123" t="s">
        <v>319</v>
      </c>
      <c r="B115" s="123">
        <v>1</v>
      </c>
      <c r="C115" s="126">
        <v>108</v>
      </c>
      <c r="D115" s="124" t="s">
        <v>320</v>
      </c>
      <c r="E115" s="192">
        <f>72+115</f>
        <v>187</v>
      </c>
      <c r="F115" s="125">
        <f>ROUND(E115*Valores!$C$2,2)</f>
        <v>11018.1</v>
      </c>
      <c r="G115" s="192">
        <v>1704</v>
      </c>
      <c r="H115" s="125">
        <f>ROUND(G115*Valores!$C$2,2)</f>
        <v>100400.19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39430.61</v>
      </c>
      <c r="N115" s="125">
        <f t="shared" si="12"/>
        <v>0</v>
      </c>
      <c r="O115" s="125">
        <f>Valores!$C$14</f>
        <v>58668.94</v>
      </c>
      <c r="P115" s="125">
        <f>Valores!$D$5</f>
        <v>30120.06</v>
      </c>
      <c r="Q115" s="125">
        <f>Valores!$C$22</f>
        <v>26870.16</v>
      </c>
      <c r="R115" s="125">
        <f>IF($F$4="NO",Valores!$C$42,Valores!$C$42/2)</f>
        <v>18565.3</v>
      </c>
      <c r="S115" s="125">
        <f>Valores!$C$20</f>
        <v>27738.840000000004</v>
      </c>
      <c r="T115" s="125">
        <f t="shared" si="18"/>
        <v>27738.84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Valores!$C$95</f>
        <v>41242.8</v>
      </c>
      <c r="AA115" s="125">
        <f>Valores!$C$25</f>
        <v>1231.85</v>
      </c>
      <c r="AB115" s="214">
        <v>0</v>
      </c>
      <c r="AC115" s="125">
        <f t="shared" si="13"/>
        <v>0</v>
      </c>
      <c r="AD115" s="125">
        <f>Valores!$C$26</f>
        <v>1231.85</v>
      </c>
      <c r="AE115" s="192">
        <v>0</v>
      </c>
      <c r="AF115" s="125">
        <f>ROUND(AE115*Valores!$C$2,2)</f>
        <v>0</v>
      </c>
      <c r="AG115" s="125">
        <f>SUM(F115,H115,J115,L115,M115,N115,O115,P115,Q115,R115,T115,U115,V115,X115,Y115,Z115,AA115,AC115,AD115,AF115,AH115)*Valores!$C$69</f>
        <v>47807.648969999995</v>
      </c>
      <c r="AH115" s="125">
        <f>ROUND(IF($F$4="NO",Valores!$C$63,Valores!$C$63/2),2)</f>
        <v>14083.23</v>
      </c>
      <c r="AI115" s="125">
        <f t="shared" si="20"/>
        <v>418409.5789699999</v>
      </c>
      <c r="AJ115" s="125">
        <f>Valores!$C$31</f>
        <v>0</v>
      </c>
      <c r="AK115" s="125">
        <f>Valores!$C$88</f>
        <v>0</v>
      </c>
      <c r="AL115" s="125">
        <f>Valores!C$38*B115</f>
        <v>0</v>
      </c>
      <c r="AM115" s="125">
        <f>IF($F$3="NO",0,Valores!$C$56)</f>
        <v>0</v>
      </c>
      <c r="AN115" s="125">
        <f t="shared" si="15"/>
        <v>0</v>
      </c>
      <c r="AO115" s="125">
        <f>AI115*Valores!$C$71</f>
        <v>-46025.05368669999</v>
      </c>
      <c r="AP115" s="125">
        <f>AI115*Valores!$C$72</f>
        <v>-8368.191579399998</v>
      </c>
      <c r="AQ115" s="125">
        <f>AI115*-Valores!$C$73</f>
        <v>0</v>
      </c>
      <c r="AR115" s="125">
        <f>AI115*Valores!$C$74</f>
        <v>-23012.526843349995</v>
      </c>
      <c r="AS115" s="125">
        <f>Valores!$C$101</f>
        <v>-1270</v>
      </c>
      <c r="AT115" s="125">
        <f>IF($F$5=0,Valores!$C$102,(Valores!$C$102+$F$5*(Valores!$C$102)))</f>
        <v>-3700</v>
      </c>
      <c r="AU115" s="125">
        <f t="shared" si="17"/>
        <v>336033.80686054996</v>
      </c>
      <c r="AV115" s="125">
        <f t="shared" si="11"/>
        <v>-46025.05368669999</v>
      </c>
      <c r="AW115" s="125">
        <f t="shared" si="19"/>
        <v>-8368.191579399998</v>
      </c>
      <c r="AX115" s="125">
        <f>AI115*Valores!$C$75</f>
        <v>-11297.058632189997</v>
      </c>
      <c r="AY115" s="125">
        <f>AI115*Valores!$C$76</f>
        <v>-1255.2287369099997</v>
      </c>
      <c r="AZ115" s="125">
        <f t="shared" si="16"/>
        <v>351464.04633479996</v>
      </c>
      <c r="BA115" s="125">
        <f>AI115*Valores!$C$78</f>
        <v>66945.53263519998</v>
      </c>
      <c r="BB115" s="125">
        <f>AI115*Valores!$C$79</f>
        <v>29288.670527899998</v>
      </c>
      <c r="BC115" s="125">
        <f>AI115*Valores!$C$80</f>
        <v>4184.095789699999</v>
      </c>
      <c r="BD115" s="125">
        <f>AI115*Valores!$C$82</f>
        <v>14644.335263949999</v>
      </c>
      <c r="BE115" s="125">
        <f>AI115*Valores!$C$84</f>
        <v>22594.117264379995</v>
      </c>
      <c r="BF115" s="125">
        <f>AI115*Valores!$C$83</f>
        <v>2510.4574738199994</v>
      </c>
      <c r="BG115" s="126"/>
      <c r="BH115" s="126">
        <v>30</v>
      </c>
      <c r="BI115" s="123" t="s">
        <v>4</v>
      </c>
    </row>
    <row r="116" spans="1:61" s="110" customFormat="1" ht="11.25" customHeight="1">
      <c r="A116" s="123" t="s">
        <v>321</v>
      </c>
      <c r="B116" s="123">
        <v>1</v>
      </c>
      <c r="C116" s="126">
        <v>109</v>
      </c>
      <c r="D116" s="124" t="s">
        <v>322</v>
      </c>
      <c r="E116" s="192">
        <f>67+94</f>
        <v>161</v>
      </c>
      <c r="F116" s="125">
        <f>ROUND(E116*Valores!$C$2,2)</f>
        <v>9486.17</v>
      </c>
      <c r="G116" s="192">
        <v>1480</v>
      </c>
      <c r="H116" s="125">
        <f>ROUND(G116*Valores!$C$2,2)</f>
        <v>87202.04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35748.09</v>
      </c>
      <c r="N116" s="125">
        <f t="shared" si="12"/>
        <v>0</v>
      </c>
      <c r="O116" s="125">
        <f>Valores!$C$14</f>
        <v>58668.94</v>
      </c>
      <c r="P116" s="125">
        <f>Valores!$D$5</f>
        <v>30120.06</v>
      </c>
      <c r="Q116" s="125">
        <f>Valores!$C$22</f>
        <v>26870.16</v>
      </c>
      <c r="R116" s="125">
        <f>IF($F$4="NO",Valores!$C$42,Valores!$C$42/2)</f>
        <v>18565.3</v>
      </c>
      <c r="S116" s="125">
        <f>Valores!$C$20</f>
        <v>27738.840000000004</v>
      </c>
      <c r="T116" s="125">
        <f t="shared" si="18"/>
        <v>27738.84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Valores!$C$95</f>
        <v>41242.8</v>
      </c>
      <c r="AA116" s="125">
        <f>Valores!$C$25</f>
        <v>1231.85</v>
      </c>
      <c r="AB116" s="214">
        <v>0</v>
      </c>
      <c r="AC116" s="125">
        <f t="shared" si="13"/>
        <v>0</v>
      </c>
      <c r="AD116" s="125">
        <f>Valores!$C$26</f>
        <v>1231.85</v>
      </c>
      <c r="AE116" s="192">
        <v>0</v>
      </c>
      <c r="AF116" s="125">
        <f>ROUND(AE116*Valores!$C$2,2)</f>
        <v>0</v>
      </c>
      <c r="AG116" s="125">
        <f>SUM(F116,H116,J116,L116,M116,N116,O116,P116,Q116,R116,T116,U116,V116,X116,Y116,Z116,AA116,AC116,AD116,AF116,AH116)*Valores!$C$69</f>
        <v>45432.42357</v>
      </c>
      <c r="AH116" s="125">
        <f>ROUND(IF($F$4="NO",Valores!$C$63,Valores!$C$63/2),2)</f>
        <v>14083.23</v>
      </c>
      <c r="AI116" s="125">
        <f t="shared" si="20"/>
        <v>397621.75356999994</v>
      </c>
      <c r="AJ116" s="125">
        <f>Valores!$C$31</f>
        <v>0</v>
      </c>
      <c r="AK116" s="125">
        <f>Valores!$C$88</f>
        <v>0</v>
      </c>
      <c r="AL116" s="125">
        <f>Valores!C$38*B116</f>
        <v>0</v>
      </c>
      <c r="AM116" s="125">
        <f>IF($F$3="NO",0,Valores!$C$56)</f>
        <v>0</v>
      </c>
      <c r="AN116" s="125">
        <f t="shared" si="15"/>
        <v>0</v>
      </c>
      <c r="AO116" s="125">
        <f>AI116*Valores!$C$71</f>
        <v>-43738.392892699994</v>
      </c>
      <c r="AP116" s="125">
        <f>AI116*Valores!$C$72</f>
        <v>-7952.435071399999</v>
      </c>
      <c r="AQ116" s="125">
        <f>AI116*-Valores!$C$73</f>
        <v>0</v>
      </c>
      <c r="AR116" s="125">
        <f>AI116*Valores!$C$74</f>
        <v>-21869.196446349997</v>
      </c>
      <c r="AS116" s="125">
        <f>Valores!$C$101</f>
        <v>-1270</v>
      </c>
      <c r="AT116" s="125">
        <f>IF($F$5=0,Valores!$C$102,(Valores!$C$102+$F$5*(Valores!$C$102)))</f>
        <v>-3700</v>
      </c>
      <c r="AU116" s="125">
        <f t="shared" si="17"/>
        <v>319091.7291595499</v>
      </c>
      <c r="AV116" s="125">
        <f t="shared" si="11"/>
        <v>-43738.392892699994</v>
      </c>
      <c r="AW116" s="125">
        <f t="shared" si="19"/>
        <v>-7952.435071399999</v>
      </c>
      <c r="AX116" s="125">
        <f>AI116*Valores!$C$75</f>
        <v>-10735.787346389998</v>
      </c>
      <c r="AY116" s="125">
        <f>AI116*Valores!$C$76</f>
        <v>-1192.8652607099998</v>
      </c>
      <c r="AZ116" s="125">
        <f t="shared" si="16"/>
        <v>334002.2729987999</v>
      </c>
      <c r="BA116" s="125">
        <f>AI116*Valores!$C$78</f>
        <v>63619.480571199994</v>
      </c>
      <c r="BB116" s="125">
        <f>AI116*Valores!$C$79</f>
        <v>27833.5227499</v>
      </c>
      <c r="BC116" s="125">
        <f>AI116*Valores!$C$80</f>
        <v>3976.2175356999996</v>
      </c>
      <c r="BD116" s="125">
        <f>AI116*Valores!$C$82</f>
        <v>13916.76137495</v>
      </c>
      <c r="BE116" s="125">
        <f>AI116*Valores!$C$84</f>
        <v>21471.574692779996</v>
      </c>
      <c r="BF116" s="125">
        <f>AI116*Valores!$C$83</f>
        <v>2385.7305214199996</v>
      </c>
      <c r="BG116" s="126"/>
      <c r="BH116" s="126">
        <v>30</v>
      </c>
      <c r="BI116" s="123" t="s">
        <v>4</v>
      </c>
    </row>
    <row r="117" spans="1:61" s="110" customFormat="1" ht="11.25" customHeight="1">
      <c r="A117" s="123" t="s">
        <v>323</v>
      </c>
      <c r="B117" s="123">
        <v>1</v>
      </c>
      <c r="C117" s="126">
        <v>110</v>
      </c>
      <c r="D117" s="124" t="s">
        <v>324</v>
      </c>
      <c r="E117" s="192">
        <f>1184+94</f>
        <v>1278</v>
      </c>
      <c r="F117" s="125">
        <f>ROUND(E117*Valores!$C$2,2)</f>
        <v>75300.14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30401.07</v>
      </c>
      <c r="N117" s="125">
        <f t="shared" si="12"/>
        <v>0</v>
      </c>
      <c r="O117" s="125">
        <f>Valores!$C$14</f>
        <v>58668.94</v>
      </c>
      <c r="P117" s="125">
        <f>Valores!$D$5</f>
        <v>30120.06</v>
      </c>
      <c r="Q117" s="125">
        <f>Valores!$C$22</f>
        <v>26870.16</v>
      </c>
      <c r="R117" s="125">
        <f>IF($F$4="NO",Valores!$C$42,Valores!$C$42/2)</f>
        <v>18565.3</v>
      </c>
      <c r="S117" s="125">
        <f>Valores!$C$20</f>
        <v>27738.840000000004</v>
      </c>
      <c r="T117" s="125">
        <f t="shared" si="18"/>
        <v>27738.84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Valores!$C$95</f>
        <v>41242.8</v>
      </c>
      <c r="AA117" s="125">
        <f>Valores!$C$25</f>
        <v>1231.85</v>
      </c>
      <c r="AB117" s="214">
        <v>0</v>
      </c>
      <c r="AC117" s="125">
        <f t="shared" si="13"/>
        <v>0</v>
      </c>
      <c r="AD117" s="125">
        <f>Valores!$C$26</f>
        <v>1231.85</v>
      </c>
      <c r="AE117" s="192">
        <v>0</v>
      </c>
      <c r="AF117" s="125">
        <f>ROUND(AE117*Valores!$C$2,2)</f>
        <v>0</v>
      </c>
      <c r="AG117" s="125">
        <f>SUM(F117,H117,J117,L117,M117,N117,O117,P117,Q117,R117,T117,U117,V117,X117,Y117,Z117,AA117,AC117,AD117,AF117,AH117)*Valores!$C$69</f>
        <v>41983.596959999995</v>
      </c>
      <c r="AH117" s="125">
        <f>ROUND(IF($F$4="NO",Valores!$C$63,Valores!$C$63/2),2)</f>
        <v>14083.23</v>
      </c>
      <c r="AI117" s="125">
        <f t="shared" si="20"/>
        <v>367437.8369599999</v>
      </c>
      <c r="AJ117" s="125">
        <f>Valores!$C$31</f>
        <v>0</v>
      </c>
      <c r="AK117" s="125">
        <f>Valores!$C$88</f>
        <v>0</v>
      </c>
      <c r="AL117" s="125">
        <f>Valores!C$38*B117</f>
        <v>0</v>
      </c>
      <c r="AM117" s="125">
        <f>IF($F$3="NO",0,Valores!$C$56)</f>
        <v>0</v>
      </c>
      <c r="AN117" s="125">
        <f t="shared" si="15"/>
        <v>0</v>
      </c>
      <c r="AO117" s="125">
        <f>AI117*Valores!$C$71</f>
        <v>-40418.162065599994</v>
      </c>
      <c r="AP117" s="125">
        <f>AI117*Valores!$C$72</f>
        <v>-7348.756739199998</v>
      </c>
      <c r="AQ117" s="125">
        <f>AI117*-Valores!$C$73</f>
        <v>0</v>
      </c>
      <c r="AR117" s="125">
        <f>AI117*Valores!$C$74</f>
        <v>-20209.081032799997</v>
      </c>
      <c r="AS117" s="125">
        <f>Valores!$C$101</f>
        <v>-1270</v>
      </c>
      <c r="AT117" s="125">
        <f>IF($F$5=0,Valores!$C$102,(Valores!$C$102+$F$5*(Valores!$C$102)))</f>
        <v>-3700</v>
      </c>
      <c r="AU117" s="125">
        <f t="shared" si="17"/>
        <v>294491.83712239994</v>
      </c>
      <c r="AV117" s="125">
        <f t="shared" si="11"/>
        <v>-40418.162065599994</v>
      </c>
      <c r="AW117" s="125">
        <f t="shared" si="19"/>
        <v>-7348.756739199998</v>
      </c>
      <c r="AX117" s="125">
        <f>AI117*Valores!$C$75</f>
        <v>-9920.821597919998</v>
      </c>
      <c r="AY117" s="125">
        <f>AI117*Valores!$C$76</f>
        <v>-1102.3135108799997</v>
      </c>
      <c r="AZ117" s="125">
        <f t="shared" si="16"/>
        <v>308647.78304639994</v>
      </c>
      <c r="BA117" s="125">
        <f>AI117*Valores!$C$78</f>
        <v>58790.053913599986</v>
      </c>
      <c r="BB117" s="125">
        <f>AI117*Valores!$C$79</f>
        <v>25720.648587199998</v>
      </c>
      <c r="BC117" s="125">
        <f>AI117*Valores!$C$80</f>
        <v>3674.378369599999</v>
      </c>
      <c r="BD117" s="125">
        <f>AI117*Valores!$C$82</f>
        <v>12860.324293599999</v>
      </c>
      <c r="BE117" s="125">
        <f>AI117*Valores!$C$84</f>
        <v>19841.643195839995</v>
      </c>
      <c r="BF117" s="125">
        <f>AI117*Valores!$C$83</f>
        <v>2204.6270217599995</v>
      </c>
      <c r="BG117" s="126"/>
      <c r="BH117" s="126">
        <v>30</v>
      </c>
      <c r="BI117" s="123" t="s">
        <v>4</v>
      </c>
    </row>
    <row r="118" spans="1:61" s="110" customFormat="1" ht="11.25" customHeight="1">
      <c r="A118" s="123" t="s">
        <v>325</v>
      </c>
      <c r="B118" s="123">
        <v>1</v>
      </c>
      <c r="C118" s="126">
        <v>111</v>
      </c>
      <c r="D118" s="124" t="s">
        <v>326</v>
      </c>
      <c r="E118" s="192">
        <v>77</v>
      </c>
      <c r="F118" s="125">
        <f>ROUND(E118*Valores!$C$2,2)</f>
        <v>4536.86</v>
      </c>
      <c r="G118" s="192">
        <v>2073</v>
      </c>
      <c r="H118" s="125">
        <f>ROUND(G118*Valores!$C$2,2)</f>
        <v>122141.78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43906.69</v>
      </c>
      <c r="N118" s="125">
        <f t="shared" si="12"/>
        <v>0</v>
      </c>
      <c r="O118" s="125">
        <f>Valores!$C$8</f>
        <v>73844.92</v>
      </c>
      <c r="P118" s="125">
        <f>Valores!$D$5</f>
        <v>30120.06</v>
      </c>
      <c r="Q118" s="125">
        <f>Valores!$C$22</f>
        <v>26870.16</v>
      </c>
      <c r="R118" s="125">
        <f>IF($F$4="NO",Valores!$C$44,Valores!$C$44/2)</f>
        <v>20922.76</v>
      </c>
      <c r="S118" s="125">
        <f>Valores!$C$19</f>
        <v>28025.371999999996</v>
      </c>
      <c r="T118" s="125">
        <f t="shared" si="18"/>
        <v>28025.37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Valores!$C$95</f>
        <v>41242.8</v>
      </c>
      <c r="AA118" s="125">
        <f>Valores!$C$25</f>
        <v>1231.85</v>
      </c>
      <c r="AB118" s="214">
        <v>0</v>
      </c>
      <c r="AC118" s="125">
        <f t="shared" si="13"/>
        <v>0</v>
      </c>
      <c r="AD118" s="125">
        <f>Valores!$C$26</f>
        <v>1231.85</v>
      </c>
      <c r="AE118" s="192">
        <v>0</v>
      </c>
      <c r="AF118" s="125">
        <f>ROUND(AE118*Valores!$C$2,2)</f>
        <v>0</v>
      </c>
      <c r="AG118" s="125">
        <f>SUM(F118,H118,J118,L118,M118,N118,O118,P118,Q118,R118,T118,U118,V118,X118,Y118,Z118,AA118,AC118,AD118,AF118,AH118)*Valores!$C$69</f>
        <v>52652.42456999999</v>
      </c>
      <c r="AH118" s="125">
        <f>ROUND(IF($F$4="NO",Valores!$C$63,Valores!$C$63/2),2)</f>
        <v>14083.23</v>
      </c>
      <c r="AI118" s="125">
        <f t="shared" si="20"/>
        <v>460810.7545699999</v>
      </c>
      <c r="AJ118" s="125">
        <f>Valores!$C$31</f>
        <v>0</v>
      </c>
      <c r="AK118" s="125">
        <f>Valores!$C$88</f>
        <v>0</v>
      </c>
      <c r="AL118" s="125">
        <f>Valores!C$38*B118</f>
        <v>0</v>
      </c>
      <c r="AM118" s="125">
        <f>IF($F$3="NO",0,Valores!$C$56)</f>
        <v>0</v>
      </c>
      <c r="AN118" s="125">
        <f t="shared" si="15"/>
        <v>0</v>
      </c>
      <c r="AO118" s="125">
        <f>AI118*Valores!$C$71</f>
        <v>-50689.18300269999</v>
      </c>
      <c r="AP118" s="125">
        <f>AI118*Valores!$C$72</f>
        <v>-9216.215091399998</v>
      </c>
      <c r="AQ118" s="125">
        <f>AI118*-Valores!$C$73</f>
        <v>0</v>
      </c>
      <c r="AR118" s="125">
        <f>AI118*Valores!$C$74</f>
        <v>-25344.591501349994</v>
      </c>
      <c r="AS118" s="125">
        <f>Valores!$C$101</f>
        <v>-1270</v>
      </c>
      <c r="AT118" s="125">
        <f>IF($F$5=0,Valores!$C$102,(Valores!$C$102+$F$5*(Valores!$C$102)))</f>
        <v>-3700</v>
      </c>
      <c r="AU118" s="125">
        <f t="shared" si="17"/>
        <v>370590.7649745499</v>
      </c>
      <c r="AV118" s="125">
        <f t="shared" si="11"/>
        <v>-50689.18300269999</v>
      </c>
      <c r="AW118" s="125">
        <f t="shared" si="19"/>
        <v>-9216.215091399998</v>
      </c>
      <c r="AX118" s="125">
        <f>AI118*Valores!$C$75</f>
        <v>-12441.890373389997</v>
      </c>
      <c r="AY118" s="125">
        <f>AI118*Valores!$C$76</f>
        <v>-1382.4322637099997</v>
      </c>
      <c r="AZ118" s="125">
        <f t="shared" si="16"/>
        <v>387081.0338387999</v>
      </c>
      <c r="BA118" s="125">
        <f>AI118*Valores!$C$78</f>
        <v>73729.72073119998</v>
      </c>
      <c r="BB118" s="125">
        <f>AI118*Valores!$C$79</f>
        <v>32256.752819899993</v>
      </c>
      <c r="BC118" s="125">
        <f>AI118*Valores!$C$80</f>
        <v>4608.107545699999</v>
      </c>
      <c r="BD118" s="125">
        <f>AI118*Valores!$C$82</f>
        <v>16128.376409949997</v>
      </c>
      <c r="BE118" s="125">
        <f>AI118*Valores!$C$84</f>
        <v>24883.780746779994</v>
      </c>
      <c r="BF118" s="125">
        <f>AI118*Valores!$C$83</f>
        <v>2764.8645274199994</v>
      </c>
      <c r="BG118" s="126"/>
      <c r="BH118" s="126">
        <v>30</v>
      </c>
      <c r="BI118" s="123" t="s">
        <v>4</v>
      </c>
    </row>
    <row r="119" spans="1:61" s="110" customFormat="1" ht="11.25" customHeight="1">
      <c r="A119" s="123" t="s">
        <v>327</v>
      </c>
      <c r="B119" s="123">
        <v>1</v>
      </c>
      <c r="C119" s="126">
        <v>112</v>
      </c>
      <c r="D119" s="124" t="s">
        <v>328</v>
      </c>
      <c r="E119" s="192">
        <v>77</v>
      </c>
      <c r="F119" s="125">
        <f>ROUND(E119*Valores!$C$2,2)</f>
        <v>4536.86</v>
      </c>
      <c r="G119" s="192">
        <v>2043</v>
      </c>
      <c r="H119" s="125">
        <f>ROUND(G119*Valores!$C$2,2)</f>
        <v>120374.17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43464.79</v>
      </c>
      <c r="N119" s="125">
        <f t="shared" si="12"/>
        <v>0</v>
      </c>
      <c r="O119" s="125">
        <f>Valores!$C$9</f>
        <v>74035.73</v>
      </c>
      <c r="P119" s="125">
        <f>Valores!$D$5</f>
        <v>30120.06</v>
      </c>
      <c r="Q119" s="125">
        <f>Valores!$C$22</f>
        <v>26870.16</v>
      </c>
      <c r="R119" s="125">
        <f>IF($F$4="NO",Valores!$C$44,Valores!$C$44/2)</f>
        <v>20922.76</v>
      </c>
      <c r="S119" s="125">
        <f>Valores!$C$19</f>
        <v>28025.371999999996</v>
      </c>
      <c r="T119" s="125">
        <f t="shared" si="18"/>
        <v>28025.37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Valores!$C$95</f>
        <v>41242.8</v>
      </c>
      <c r="AA119" s="125">
        <f>Valores!$C$25</f>
        <v>1231.85</v>
      </c>
      <c r="AB119" s="214">
        <v>0</v>
      </c>
      <c r="AC119" s="125">
        <f t="shared" si="13"/>
        <v>0</v>
      </c>
      <c r="AD119" s="125">
        <f>Valores!$C$26</f>
        <v>1231.85</v>
      </c>
      <c r="AE119" s="192">
        <v>0</v>
      </c>
      <c r="AF119" s="125">
        <f>ROUND(AE119*Valores!$C$2,2)</f>
        <v>0</v>
      </c>
      <c r="AG119" s="125">
        <f>SUM(F119,H119,J119,L119,M119,N119,O119,P119,Q119,R119,T119,U119,V119,X119,Y119,Z119,AA119,AC119,AD119,AF119,AH119)*Valores!$C$69</f>
        <v>52392.012269999985</v>
      </c>
      <c r="AH119" s="125">
        <f>ROUND(IF($F$4="NO",Valores!$C$63,Valores!$C$63/2),2)</f>
        <v>14083.23</v>
      </c>
      <c r="AI119" s="125">
        <f t="shared" si="20"/>
        <v>458531.6422699999</v>
      </c>
      <c r="AJ119" s="125">
        <f>Valores!$C$31</f>
        <v>0</v>
      </c>
      <c r="AK119" s="125">
        <f>Valores!$C$88</f>
        <v>0</v>
      </c>
      <c r="AL119" s="125">
        <f>Valores!C$38*B119</f>
        <v>0</v>
      </c>
      <c r="AM119" s="125">
        <f>IF($F$3="NO",0,Valores!$C$56)</f>
        <v>0</v>
      </c>
      <c r="AN119" s="125">
        <f t="shared" si="15"/>
        <v>0</v>
      </c>
      <c r="AO119" s="125">
        <f>AI119*Valores!$C$71</f>
        <v>-50438.48064969999</v>
      </c>
      <c r="AP119" s="125">
        <f>AI119*Valores!$C$72</f>
        <v>-9170.632845399998</v>
      </c>
      <c r="AQ119" s="125">
        <f>AI119*-Valores!$C$73</f>
        <v>0</v>
      </c>
      <c r="AR119" s="125">
        <f>AI119*Valores!$C$74</f>
        <v>-25219.240324849994</v>
      </c>
      <c r="AS119" s="125">
        <f>Valores!$C$101</f>
        <v>-1270</v>
      </c>
      <c r="AT119" s="125">
        <f>IF($F$5=0,Valores!$C$102,(Valores!$C$102+$F$5*(Valores!$C$102)))</f>
        <v>-3700</v>
      </c>
      <c r="AU119" s="125">
        <f t="shared" si="17"/>
        <v>368733.28845004993</v>
      </c>
      <c r="AV119" s="125">
        <f t="shared" si="11"/>
        <v>-50438.48064969999</v>
      </c>
      <c r="AW119" s="125">
        <f t="shared" si="19"/>
        <v>-9170.632845399998</v>
      </c>
      <c r="AX119" s="125">
        <f>AI119*Valores!$C$75</f>
        <v>-12380.354341289996</v>
      </c>
      <c r="AY119" s="125">
        <f>AI119*Valores!$C$76</f>
        <v>-1375.5949268099996</v>
      </c>
      <c r="AZ119" s="125">
        <f t="shared" si="16"/>
        <v>385166.5795067999</v>
      </c>
      <c r="BA119" s="125">
        <f>AI119*Valores!$C$78</f>
        <v>73365.06276319998</v>
      </c>
      <c r="BB119" s="125">
        <f>AI119*Valores!$C$79</f>
        <v>32097.214958899996</v>
      </c>
      <c r="BC119" s="125">
        <f>AI119*Valores!$C$80</f>
        <v>4585.316422699999</v>
      </c>
      <c r="BD119" s="125">
        <f>AI119*Valores!$C$82</f>
        <v>16048.607479449998</v>
      </c>
      <c r="BE119" s="125">
        <f>AI119*Valores!$C$84</f>
        <v>24760.708682579992</v>
      </c>
      <c r="BF119" s="125">
        <f>AI119*Valores!$C$83</f>
        <v>2751.189853619999</v>
      </c>
      <c r="BG119" s="126"/>
      <c r="BH119" s="126">
        <v>30</v>
      </c>
      <c r="BI119" s="123" t="s">
        <v>4</v>
      </c>
    </row>
    <row r="120" spans="1:61" s="110" customFormat="1" ht="11.25" customHeight="1">
      <c r="A120" s="123" t="s">
        <v>329</v>
      </c>
      <c r="B120" s="123">
        <v>1</v>
      </c>
      <c r="C120" s="126">
        <v>113</v>
      </c>
      <c r="D120" s="124" t="s">
        <v>330</v>
      </c>
      <c r="E120" s="192">
        <v>76</v>
      </c>
      <c r="F120" s="125">
        <f>ROUND(E120*Valores!$C$2,2)</f>
        <v>4477.94</v>
      </c>
      <c r="G120" s="192">
        <v>1954</v>
      </c>
      <c r="H120" s="125">
        <f>ROUND(G120*Valores!$C$2,2)</f>
        <v>115130.27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42139.09</v>
      </c>
      <c r="N120" s="125">
        <f t="shared" si="12"/>
        <v>0</v>
      </c>
      <c r="O120" s="125">
        <f>Valores!$C$9</f>
        <v>74035.73</v>
      </c>
      <c r="P120" s="125">
        <f>Valores!$D$5</f>
        <v>30120.06</v>
      </c>
      <c r="Q120" s="125">
        <f>Valores!$C$22</f>
        <v>26870.16</v>
      </c>
      <c r="R120" s="125">
        <f>IF($F$4="NO",Valores!$C$44,Valores!$C$44/2)</f>
        <v>20922.76</v>
      </c>
      <c r="S120" s="125">
        <f>Valores!$C$19</f>
        <v>28025.371999999996</v>
      </c>
      <c r="T120" s="125">
        <f t="shared" si="18"/>
        <v>28025.37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Valores!$C$95</f>
        <v>41242.8</v>
      </c>
      <c r="AA120" s="125">
        <f>Valores!$C$25</f>
        <v>1231.85</v>
      </c>
      <c r="AB120" s="214">
        <v>0</v>
      </c>
      <c r="AC120" s="125">
        <f t="shared" si="13"/>
        <v>0</v>
      </c>
      <c r="AD120" s="125">
        <f>Valores!$C$26</f>
        <v>1231.85</v>
      </c>
      <c r="AE120" s="192">
        <v>0</v>
      </c>
      <c r="AF120" s="125">
        <f>ROUND(AE120*Valores!$C$2,2)</f>
        <v>0</v>
      </c>
      <c r="AG120" s="125">
        <f>SUM(F120,H120,J120,L120,M120,N120,O120,P120,Q120,R120,T120,U120,V120,X120,Y120,Z120,AA120,AC120,AD120,AF120,AH120)*Valores!$C$69</f>
        <v>51536.93318999998</v>
      </c>
      <c r="AH120" s="125">
        <f>ROUND(IF($F$4="NO",Valores!$C$63,Valores!$C$63/2),2)</f>
        <v>14083.23</v>
      </c>
      <c r="AI120" s="125">
        <f t="shared" si="20"/>
        <v>451048.0431899999</v>
      </c>
      <c r="AJ120" s="125">
        <f>Valores!$C$31</f>
        <v>0</v>
      </c>
      <c r="AK120" s="125">
        <f>Valores!$C$88</f>
        <v>0</v>
      </c>
      <c r="AL120" s="125">
        <f>Valores!C$38*B120</f>
        <v>0</v>
      </c>
      <c r="AM120" s="125">
        <f>IF($F$3="NO",0,Valores!$C$56)</f>
        <v>0</v>
      </c>
      <c r="AN120" s="125">
        <f t="shared" si="15"/>
        <v>0</v>
      </c>
      <c r="AO120" s="125">
        <f>AI120*Valores!$C$71</f>
        <v>-49615.284750899984</v>
      </c>
      <c r="AP120" s="125">
        <f>AI120*Valores!$C$72</f>
        <v>-9020.960863799997</v>
      </c>
      <c r="AQ120" s="125">
        <f>AI120*-Valores!$C$73</f>
        <v>0</v>
      </c>
      <c r="AR120" s="125">
        <f>AI120*Valores!$C$74</f>
        <v>-24807.642375449992</v>
      </c>
      <c r="AS120" s="125">
        <f>Valores!$C$101</f>
        <v>-1270</v>
      </c>
      <c r="AT120" s="125">
        <f>IF($F$5=0,Valores!$C$102,(Valores!$C$102+$F$5*(Valores!$C$102)))</f>
        <v>-3700</v>
      </c>
      <c r="AU120" s="125">
        <f t="shared" si="17"/>
        <v>362634.1551998499</v>
      </c>
      <c r="AV120" s="125">
        <f t="shared" si="11"/>
        <v>-49615.284750899984</v>
      </c>
      <c r="AW120" s="125">
        <f t="shared" si="19"/>
        <v>-9020.960863799997</v>
      </c>
      <c r="AX120" s="125">
        <f>AI120*Valores!$C$75</f>
        <v>-12178.297166129996</v>
      </c>
      <c r="AY120" s="125">
        <f>AI120*Valores!$C$76</f>
        <v>-1353.1441295699997</v>
      </c>
      <c r="AZ120" s="125">
        <f t="shared" si="16"/>
        <v>378880.3562795999</v>
      </c>
      <c r="BA120" s="125">
        <f>AI120*Valores!$C$78</f>
        <v>72167.68691039998</v>
      </c>
      <c r="BB120" s="125">
        <f>AI120*Valores!$C$79</f>
        <v>31573.363023299993</v>
      </c>
      <c r="BC120" s="125">
        <f>AI120*Valores!$C$80</f>
        <v>4510.480431899999</v>
      </c>
      <c r="BD120" s="125">
        <f>AI120*Valores!$C$82</f>
        <v>15786.681511649997</v>
      </c>
      <c r="BE120" s="125">
        <f>AI120*Valores!$C$84</f>
        <v>24356.594332259992</v>
      </c>
      <c r="BF120" s="125">
        <f>AI120*Valores!$C$83</f>
        <v>2706.2882591399994</v>
      </c>
      <c r="BG120" s="126"/>
      <c r="BH120" s="126">
        <v>30</v>
      </c>
      <c r="BI120" s="123" t="s">
        <v>4</v>
      </c>
    </row>
    <row r="121" spans="1:61" s="110" customFormat="1" ht="11.25" customHeight="1">
      <c r="A121" s="123" t="s">
        <v>331</v>
      </c>
      <c r="B121" s="123">
        <v>1</v>
      </c>
      <c r="C121" s="126">
        <v>114</v>
      </c>
      <c r="D121" s="124" t="s">
        <v>332</v>
      </c>
      <c r="E121" s="192">
        <v>274</v>
      </c>
      <c r="F121" s="125">
        <f>ROUND(E121*Valores!$C$2,2)</f>
        <v>16144.16</v>
      </c>
      <c r="G121" s="192">
        <v>1163</v>
      </c>
      <c r="H121" s="125">
        <f>ROUND(G121*Valores!$C$2,2)</f>
        <v>68524.31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33404.15</v>
      </c>
      <c r="N121" s="125">
        <f t="shared" si="12"/>
        <v>0</v>
      </c>
      <c r="O121" s="125">
        <f>Valores!$C$9</f>
        <v>74035.73</v>
      </c>
      <c r="P121" s="125">
        <f>Valores!$D$5</f>
        <v>30120.06</v>
      </c>
      <c r="Q121" s="125">
        <f>Valores!$C$22</f>
        <v>26870.16</v>
      </c>
      <c r="R121" s="125">
        <f>IF($F$4="NO",Valores!$C$44,Valores!$C$44/2)</f>
        <v>20922.76</v>
      </c>
      <c r="S121" s="125">
        <f>Valores!$C$19</f>
        <v>28025.371999999996</v>
      </c>
      <c r="T121" s="125">
        <f t="shared" si="18"/>
        <v>28025.37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Valores!$C$95</f>
        <v>41242.8</v>
      </c>
      <c r="AA121" s="125">
        <f>Valores!$C$25</f>
        <v>1231.85</v>
      </c>
      <c r="AB121" s="214">
        <v>0</v>
      </c>
      <c r="AC121" s="125">
        <f t="shared" si="13"/>
        <v>0</v>
      </c>
      <c r="AD121" s="125">
        <f>Valores!$C$26</f>
        <v>1231.85</v>
      </c>
      <c r="AE121" s="192">
        <v>0</v>
      </c>
      <c r="AF121" s="125">
        <f>ROUND(AE121*Valores!$C$2,2)</f>
        <v>0</v>
      </c>
      <c r="AG121" s="125">
        <f>SUM(F121,H121,J121,L121,M121,N121,O121,P121,Q121,R121,T121,U121,V121,X121,Y121,Z121,AA121,AC121,AD121,AF121,AH121)*Valores!$C$69</f>
        <v>45902.89946999998</v>
      </c>
      <c r="AH121" s="125">
        <f>ROUND(IF($F$4="NO",Valores!$C$63,Valores!$C$63/2),2)</f>
        <v>14083.23</v>
      </c>
      <c r="AI121" s="125">
        <f t="shared" si="20"/>
        <v>401739.3294699999</v>
      </c>
      <c r="AJ121" s="125">
        <f>Valores!$C$31</f>
        <v>0</v>
      </c>
      <c r="AK121" s="125">
        <f>Valores!$C$88</f>
        <v>0</v>
      </c>
      <c r="AL121" s="125">
        <f>Valores!C$38*B121</f>
        <v>0</v>
      </c>
      <c r="AM121" s="125">
        <f>IF($F$3="NO",0,Valores!$C$56)</f>
        <v>0</v>
      </c>
      <c r="AN121" s="125">
        <f t="shared" si="15"/>
        <v>0</v>
      </c>
      <c r="AO121" s="125">
        <f>AI121*Valores!$C$71</f>
        <v>-44191.326241699986</v>
      </c>
      <c r="AP121" s="125">
        <f>AI121*Valores!$C$72</f>
        <v>-8034.786589399998</v>
      </c>
      <c r="AQ121" s="125">
        <f>AI121*-Valores!$C$73</f>
        <v>0</v>
      </c>
      <c r="AR121" s="125">
        <f>AI121*Valores!$C$74</f>
        <v>-22095.663120849993</v>
      </c>
      <c r="AS121" s="125">
        <f>Valores!$C$101</f>
        <v>-1270</v>
      </c>
      <c r="AT121" s="125">
        <f>IF($F$5=0,Valores!$C$102,(Valores!$C$102+$F$5*(Valores!$C$102)))</f>
        <v>-3700</v>
      </c>
      <c r="AU121" s="125">
        <f t="shared" si="17"/>
        <v>322447.5535180499</v>
      </c>
      <c r="AV121" s="125">
        <f t="shared" si="11"/>
        <v>-44191.326241699986</v>
      </c>
      <c r="AW121" s="125">
        <f t="shared" si="19"/>
        <v>-8034.786589399998</v>
      </c>
      <c r="AX121" s="125">
        <f>AI121*Valores!$C$75</f>
        <v>-10846.961895689996</v>
      </c>
      <c r="AY121" s="125">
        <f>AI121*Valores!$C$76</f>
        <v>-1205.2179884099996</v>
      </c>
      <c r="AZ121" s="125">
        <f t="shared" si="16"/>
        <v>337461.0367547999</v>
      </c>
      <c r="BA121" s="125">
        <f>AI121*Valores!$C$78</f>
        <v>64278.29271519998</v>
      </c>
      <c r="BB121" s="125">
        <f>AI121*Valores!$C$79</f>
        <v>28121.753062899996</v>
      </c>
      <c r="BC121" s="125">
        <f>AI121*Valores!$C$80</f>
        <v>4017.393294699999</v>
      </c>
      <c r="BD121" s="125">
        <f>AI121*Valores!$C$82</f>
        <v>14060.876531449998</v>
      </c>
      <c r="BE121" s="125">
        <f>AI121*Valores!$C$84</f>
        <v>21693.92379137999</v>
      </c>
      <c r="BF121" s="125">
        <f>AI121*Valores!$C$83</f>
        <v>2410.4359768199993</v>
      </c>
      <c r="BG121" s="126"/>
      <c r="BH121" s="126">
        <v>30</v>
      </c>
      <c r="BI121" s="123" t="s">
        <v>4</v>
      </c>
    </row>
    <row r="122" spans="1:61" s="110" customFormat="1" ht="11.25" customHeight="1">
      <c r="A122" s="123" t="s">
        <v>333</v>
      </c>
      <c r="B122" s="123">
        <v>1</v>
      </c>
      <c r="C122" s="126">
        <v>115</v>
      </c>
      <c r="D122" s="124" t="s">
        <v>334</v>
      </c>
      <c r="E122" s="192">
        <v>2800</v>
      </c>
      <c r="F122" s="125">
        <f>ROUND(E122*Valores!$C$2,2)</f>
        <v>164976.84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54588.17</v>
      </c>
      <c r="N122" s="125">
        <f t="shared" si="12"/>
        <v>0</v>
      </c>
      <c r="O122" s="125">
        <f>Valores!$C$16</f>
        <v>50911.51</v>
      </c>
      <c r="P122" s="125">
        <f>Valores!$D$5</f>
        <v>30120.06</v>
      </c>
      <c r="Q122" s="125">
        <f>Valores!$C$22</f>
        <v>26870.16</v>
      </c>
      <c r="R122" s="125">
        <f>IF($F$4="NO",Valores!$C$46,Valores!$C$46/2)</f>
        <v>25636.983348</v>
      </c>
      <c r="S122" s="125">
        <f>Valores!$C$20</f>
        <v>27738.840000000004</v>
      </c>
      <c r="T122" s="125">
        <f t="shared" si="18"/>
        <v>27738.84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Valores!$C$95</f>
        <v>41242.8</v>
      </c>
      <c r="AA122" s="125">
        <f>Valores!$C$25</f>
        <v>1231.85</v>
      </c>
      <c r="AB122" s="214">
        <v>0</v>
      </c>
      <c r="AC122" s="125">
        <f t="shared" si="13"/>
        <v>0</v>
      </c>
      <c r="AD122" s="125">
        <f>Valores!$C$26</f>
        <v>1231.85</v>
      </c>
      <c r="AE122" s="192">
        <v>0</v>
      </c>
      <c r="AF122" s="125">
        <f>ROUND(AE122*Valores!$C$2,2)</f>
        <v>0</v>
      </c>
      <c r="AG122" s="125">
        <f>SUM(F122,H122,J122,L122,M122,N122,O122,P122,Q122,R122,T122,U122,V122,X122,Y122,Z122,AA122,AC122,AD122,AF122,AH122)*Valores!$C$69</f>
        <v>56583.56584189199</v>
      </c>
      <c r="AH122" s="125">
        <f>ROUND(IF($F$4="NO",Valores!$C$63,Valores!$C$63/2),2)</f>
        <v>14083.23</v>
      </c>
      <c r="AI122" s="125">
        <f t="shared" si="20"/>
        <v>495215.8591898919</v>
      </c>
      <c r="AJ122" s="125">
        <f>Valores!$C$31</f>
        <v>0</v>
      </c>
      <c r="AK122" s="125">
        <f>Valores!$C$88</f>
        <v>0</v>
      </c>
      <c r="AL122" s="125">
        <f>Valores!C$38*B122</f>
        <v>0</v>
      </c>
      <c r="AM122" s="125">
        <f>IF($F$3="NO",0,Valores!$C$55)</f>
        <v>0</v>
      </c>
      <c r="AN122" s="125">
        <f t="shared" si="15"/>
        <v>0</v>
      </c>
      <c r="AO122" s="125">
        <f>AI122*Valores!$C$71</f>
        <v>-54473.74451088811</v>
      </c>
      <c r="AP122" s="125">
        <f>AI122*Valores!$C$72</f>
        <v>-9904.317183797839</v>
      </c>
      <c r="AQ122" s="125">
        <f>AI122*-Valores!$C$73</f>
        <v>0</v>
      </c>
      <c r="AR122" s="125">
        <f>AI122*Valores!$C$74</f>
        <v>-27236.872255444054</v>
      </c>
      <c r="AS122" s="125">
        <f>Valores!$C$101</f>
        <v>-1270</v>
      </c>
      <c r="AT122" s="125">
        <f>IF($F$5=0,Valores!$C$102,(Valores!$C$102+$F$5*(Valores!$C$102)))</f>
        <v>-3700</v>
      </c>
      <c r="AU122" s="125">
        <f t="shared" si="17"/>
        <v>398630.9252397619</v>
      </c>
      <c r="AV122" s="125">
        <f t="shared" si="11"/>
        <v>-54473.74451088811</v>
      </c>
      <c r="AW122" s="125">
        <f t="shared" si="19"/>
        <v>-9904.317183797839</v>
      </c>
      <c r="AX122" s="125">
        <f>AI122*Valores!$C$75</f>
        <v>-13370.828198127081</v>
      </c>
      <c r="AY122" s="125">
        <f>AI122*Valores!$C$76</f>
        <v>-1485.6475775696758</v>
      </c>
      <c r="AZ122" s="125">
        <f t="shared" si="16"/>
        <v>415981.3217195092</v>
      </c>
      <c r="BA122" s="125">
        <f>AI122*Valores!$C$78</f>
        <v>79234.53747038271</v>
      </c>
      <c r="BB122" s="125">
        <f>AI122*Valores!$C$79</f>
        <v>34665.11014329243</v>
      </c>
      <c r="BC122" s="125">
        <f>AI122*Valores!$C$80</f>
        <v>4952.158591898919</v>
      </c>
      <c r="BD122" s="125">
        <f>AI122*Valores!$C$82</f>
        <v>17332.555071646217</v>
      </c>
      <c r="BE122" s="125">
        <f>AI122*Valores!$C$84</f>
        <v>26741.656396254162</v>
      </c>
      <c r="BF122" s="125">
        <f>AI122*Valores!$C$83</f>
        <v>2971.2951551393517</v>
      </c>
      <c r="BG122" s="126"/>
      <c r="BH122" s="126"/>
      <c r="BI122" s="123" t="s">
        <v>4</v>
      </c>
    </row>
    <row r="123" spans="1:61" s="110" customFormat="1" ht="11.25" customHeight="1">
      <c r="A123" s="123" t="s">
        <v>335</v>
      </c>
      <c r="B123" s="123">
        <v>1</v>
      </c>
      <c r="C123" s="126">
        <v>116</v>
      </c>
      <c r="D123" s="124" t="s">
        <v>336</v>
      </c>
      <c r="E123" s="192">
        <v>2850</v>
      </c>
      <c r="F123" s="125">
        <f>ROUND(E123*Valores!$C$2,2)</f>
        <v>167922.86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56786.82</v>
      </c>
      <c r="N123" s="125">
        <f t="shared" si="12"/>
        <v>0</v>
      </c>
      <c r="O123" s="125">
        <f>Valores!$C$9</f>
        <v>74035.73</v>
      </c>
      <c r="P123" s="125">
        <f>Valores!$D$5</f>
        <v>30120.06</v>
      </c>
      <c r="Q123" s="125">
        <f>Valores!$C$22</f>
        <v>26870.16</v>
      </c>
      <c r="R123" s="125">
        <f>IF($F$4="NO",Valores!$C$47,Valores!$C$47/2)</f>
        <v>31485.59</v>
      </c>
      <c r="S123" s="125">
        <f>Valores!$C$20</f>
        <v>27738.840000000004</v>
      </c>
      <c r="T123" s="125">
        <f t="shared" si="18"/>
        <v>27738.84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Valores!$C$97</f>
        <v>82485.58</v>
      </c>
      <c r="AA123" s="125">
        <f>Valores!$C$25</f>
        <v>1231.85</v>
      </c>
      <c r="AB123" s="214">
        <v>0</v>
      </c>
      <c r="AC123" s="125">
        <f t="shared" si="13"/>
        <v>0</v>
      </c>
      <c r="AD123" s="125">
        <f>Valores!$C$26</f>
        <v>1231.85</v>
      </c>
      <c r="AE123" s="192">
        <v>0</v>
      </c>
      <c r="AF123" s="125">
        <f>ROUND(AE123*Valores!$C$2,2)</f>
        <v>0</v>
      </c>
      <c r="AG123" s="125">
        <f>SUM(F123,H123,J123,L123,M123,N123,O123,P123,Q123,R123,T123,U123,V123,X123,Y123,Z123,AA123,AC123,AD123,AF123,AH123)*Valores!$C$69</f>
        <v>66305.04153</v>
      </c>
      <c r="AH123" s="125">
        <f>ROUND(IF($F$4="NO",Valores!$C$63,Valores!$C$63/2),2)</f>
        <v>14083.23</v>
      </c>
      <c r="AI123" s="125">
        <f t="shared" si="20"/>
        <v>580297.61153</v>
      </c>
      <c r="AJ123" s="125">
        <f>Valores!$C$31</f>
        <v>0</v>
      </c>
      <c r="AK123" s="125">
        <f>Valores!$C$90</f>
        <v>0</v>
      </c>
      <c r="AL123" s="125">
        <f>Valores!C$38*B123</f>
        <v>0</v>
      </c>
      <c r="AM123" s="125">
        <f>IF($F$3="NO",0,Valores!$C$55)</f>
        <v>0</v>
      </c>
      <c r="AN123" s="125">
        <f t="shared" si="15"/>
        <v>0</v>
      </c>
      <c r="AO123" s="125">
        <f>AI123*Valores!$C$71</f>
        <v>-63832.7372683</v>
      </c>
      <c r="AP123" s="125">
        <f>AI123*Valores!$C$72</f>
        <v>-11605.9522306</v>
      </c>
      <c r="AQ123" s="125">
        <f>AI123*-Valores!$C$73</f>
        <v>0</v>
      </c>
      <c r="AR123" s="125">
        <f>AI123*Valores!$C$74</f>
        <v>-31916.36863415</v>
      </c>
      <c r="AS123" s="125">
        <f>Valores!$C$101</f>
        <v>-1270</v>
      </c>
      <c r="AT123" s="125">
        <f>IF($F$5=0,Valores!$C$102,(Valores!$C$102+$F$5*(Valores!$C$102)))</f>
        <v>-3700</v>
      </c>
      <c r="AU123" s="125">
        <f t="shared" si="17"/>
        <v>467972.55339695</v>
      </c>
      <c r="AV123" s="125">
        <f t="shared" si="11"/>
        <v>-63832.7372683</v>
      </c>
      <c r="AW123" s="125">
        <f t="shared" si="19"/>
        <v>-11605.9522306</v>
      </c>
      <c r="AX123" s="125">
        <f>AI123*Valores!$C$75</f>
        <v>-15668.03551131</v>
      </c>
      <c r="AY123" s="125">
        <f>AI123*Valores!$C$76</f>
        <v>-1740.8928345900001</v>
      </c>
      <c r="AZ123" s="125">
        <f t="shared" si="16"/>
        <v>487449.9936852</v>
      </c>
      <c r="BA123" s="125">
        <f>AI123*Valores!$C$78</f>
        <v>92847.6178448</v>
      </c>
      <c r="BB123" s="125">
        <f>AI123*Valores!$C$79</f>
        <v>40620.83280710001</v>
      </c>
      <c r="BC123" s="125">
        <f>AI123*Valores!$C$80</f>
        <v>5802.9761153</v>
      </c>
      <c r="BD123" s="125">
        <f>AI123*Valores!$C$82</f>
        <v>20310.416403550003</v>
      </c>
      <c r="BE123" s="125">
        <f>AI123*Valores!$C$84</f>
        <v>31336.07102262</v>
      </c>
      <c r="BF123" s="125">
        <f>AI123*Valores!$C$83</f>
        <v>3481.7856691800002</v>
      </c>
      <c r="BG123" s="126"/>
      <c r="BH123" s="126">
        <v>40</v>
      </c>
      <c r="BI123" s="123" t="s">
        <v>4</v>
      </c>
    </row>
    <row r="124" spans="1:61" s="110" customFormat="1" ht="11.25" customHeight="1">
      <c r="A124" s="123" t="s">
        <v>337</v>
      </c>
      <c r="B124" s="123">
        <v>1</v>
      </c>
      <c r="C124" s="126">
        <v>117</v>
      </c>
      <c r="D124" s="124" t="s">
        <v>338</v>
      </c>
      <c r="E124" s="192">
        <v>1735</v>
      </c>
      <c r="F124" s="125">
        <f>ROUND(E124*Valores!$C$2,2)</f>
        <v>102226.72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37427.37</v>
      </c>
      <c r="N124" s="125">
        <f t="shared" si="12"/>
        <v>0</v>
      </c>
      <c r="O124" s="125">
        <f>Valores!$C$16</f>
        <v>50911.51</v>
      </c>
      <c r="P124" s="125">
        <f>Valores!$D$5</f>
        <v>30120.06</v>
      </c>
      <c r="Q124" s="125">
        <v>0</v>
      </c>
      <c r="R124" s="125">
        <f>IF($F$4="NO",Valores!$C$43,Valores!$C$43/2)</f>
        <v>19743.9</v>
      </c>
      <c r="S124" s="125">
        <f>Valores!$C$20</f>
        <v>27738.840000000004</v>
      </c>
      <c r="T124" s="125">
        <f t="shared" si="18"/>
        <v>27738.84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Valores!$C$95</f>
        <v>41242.8</v>
      </c>
      <c r="AA124" s="125">
        <f>Valores!$C$25</f>
        <v>1231.85</v>
      </c>
      <c r="AB124" s="214">
        <v>0</v>
      </c>
      <c r="AC124" s="125">
        <f t="shared" si="13"/>
        <v>0</v>
      </c>
      <c r="AD124" s="125">
        <f>Valores!$C$26</f>
        <v>1231.85</v>
      </c>
      <c r="AE124" s="192">
        <v>0</v>
      </c>
      <c r="AF124" s="125">
        <f>ROUND(AE124*Valores!$C$2,2)</f>
        <v>0</v>
      </c>
      <c r="AG124" s="125">
        <f>SUM(F124,H124,J124,L124,M124,N124,O124,P124,Q124,R124,T124,U124,V124,X124,Y124,Z124,AA124,AC124,AD124,AF124,AH124)*Valores!$C$69</f>
        <v>42048.59877</v>
      </c>
      <c r="AH124" s="125">
        <f>ROUND(IF($F$4="NO",Valores!$C$63,Valores!$C$63/2),2)</f>
        <v>14083.23</v>
      </c>
      <c r="AI124" s="125">
        <f t="shared" si="20"/>
        <v>368006.7287699999</v>
      </c>
      <c r="AJ124" s="125">
        <f>Valores!$C$31</f>
        <v>0</v>
      </c>
      <c r="AK124" s="125">
        <f>Valores!$C$88</f>
        <v>0</v>
      </c>
      <c r="AL124" s="125">
        <f>Valores!C$38*B124</f>
        <v>0</v>
      </c>
      <c r="AM124" s="125">
        <f>IF($F$3="NO",0,Valores!$C$56)</f>
        <v>0</v>
      </c>
      <c r="AN124" s="125">
        <f t="shared" si="15"/>
        <v>0</v>
      </c>
      <c r="AO124" s="125">
        <f>AI124*Valores!$C$71</f>
        <v>-40480.74016469999</v>
      </c>
      <c r="AP124" s="125">
        <f>AI124*Valores!$C$72</f>
        <v>-7360.1345753999985</v>
      </c>
      <c r="AQ124" s="125">
        <f>AI124*-Valores!$C$73</f>
        <v>0</v>
      </c>
      <c r="AR124" s="125">
        <f>AI124*Valores!$C$74</f>
        <v>-20240.370082349997</v>
      </c>
      <c r="AS124" s="125">
        <f>Valores!$C$101</f>
        <v>-1270</v>
      </c>
      <c r="AT124" s="125">
        <f>IF($F$5=0,Valores!$C$102,(Valores!$C$102+$F$5*(Valores!$C$102)))</f>
        <v>-3700</v>
      </c>
      <c r="AU124" s="125">
        <f t="shared" si="17"/>
        <v>294955.48394754995</v>
      </c>
      <c r="AV124" s="125">
        <f t="shared" si="11"/>
        <v>-40480.74016469999</v>
      </c>
      <c r="AW124" s="125">
        <f t="shared" si="19"/>
        <v>-7360.1345753999985</v>
      </c>
      <c r="AX124" s="125">
        <f>AI124*Valores!$C$75</f>
        <v>-9936.181676789998</v>
      </c>
      <c r="AY124" s="125">
        <f>AI124*Valores!$C$76</f>
        <v>-1104.0201863099999</v>
      </c>
      <c r="AZ124" s="125">
        <f t="shared" si="16"/>
        <v>309125.65216679993</v>
      </c>
      <c r="BA124" s="125">
        <f>AI124*Valores!$C$78</f>
        <v>58881.07660319999</v>
      </c>
      <c r="BB124" s="125">
        <f>AI124*Valores!$C$79</f>
        <v>25760.471013899998</v>
      </c>
      <c r="BC124" s="125">
        <f>AI124*Valores!$C$80</f>
        <v>3680.0672876999993</v>
      </c>
      <c r="BD124" s="125">
        <f>AI124*Valores!$C$82</f>
        <v>12880.235506949999</v>
      </c>
      <c r="BE124" s="125">
        <f>AI124*Valores!$C$84</f>
        <v>19872.363353579996</v>
      </c>
      <c r="BF124" s="125">
        <f>AI124*Valores!$C$83</f>
        <v>2208.0403726199997</v>
      </c>
      <c r="BG124" s="126"/>
      <c r="BH124" s="126">
        <v>40</v>
      </c>
      <c r="BI124" s="123" t="s">
        <v>4</v>
      </c>
    </row>
    <row r="125" spans="1:61" s="110" customFormat="1" ht="11.25" customHeight="1">
      <c r="A125" s="123" t="s">
        <v>339</v>
      </c>
      <c r="B125" s="123">
        <v>1</v>
      </c>
      <c r="C125" s="126">
        <v>118</v>
      </c>
      <c r="D125" s="124" t="s">
        <v>340</v>
      </c>
      <c r="E125" s="192">
        <v>72</v>
      </c>
      <c r="F125" s="125">
        <f>ROUND(E125*Valores!$C$2,2)</f>
        <v>4242.26</v>
      </c>
      <c r="G125" s="192">
        <v>1590</v>
      </c>
      <c r="H125" s="125">
        <f>ROUND(G125*Valores!$C$2,2)</f>
        <v>93683.28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36352.07</v>
      </c>
      <c r="N125" s="125">
        <f t="shared" si="12"/>
        <v>0</v>
      </c>
      <c r="O125" s="125">
        <f>Valores!$C$16</f>
        <v>50911.51</v>
      </c>
      <c r="P125" s="125">
        <f>Valores!$D$5</f>
        <v>30120.06</v>
      </c>
      <c r="Q125" s="125">
        <f>Valores!$C$22</f>
        <v>26870.16</v>
      </c>
      <c r="R125" s="125">
        <f>IF($F$4="NO",Valores!$C$43,Valores!$C$43/2)</f>
        <v>19743.9</v>
      </c>
      <c r="S125" s="125">
        <f>Valores!$C$20</f>
        <v>27738.840000000004</v>
      </c>
      <c r="T125" s="125">
        <f t="shared" si="18"/>
        <v>27738.84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Valores!$C$95</f>
        <v>41242.8</v>
      </c>
      <c r="AA125" s="125">
        <f>Valores!$C$25</f>
        <v>1231.85</v>
      </c>
      <c r="AB125" s="214">
        <v>0</v>
      </c>
      <c r="AC125" s="125">
        <f t="shared" si="13"/>
        <v>0</v>
      </c>
      <c r="AD125" s="125">
        <f>Valores!$C$26</f>
        <v>1231.85</v>
      </c>
      <c r="AE125" s="192">
        <v>0</v>
      </c>
      <c r="AF125" s="125">
        <f>ROUND(AE125*Valores!$C$2,2)</f>
        <v>0</v>
      </c>
      <c r="AG125" s="125">
        <f>SUM(F125,H125,J125,L125,M125,N125,O125,P125,Q125,R125,T125,U125,V125,X125,Y125,Z125,AA125,AC125,AD125,AF125,AH125)*Valores!$C$69</f>
        <v>44821.283489999994</v>
      </c>
      <c r="AH125" s="125">
        <f>ROUND(IF($F$4="NO",Valores!$C$63,Valores!$C$63/2),2)</f>
        <v>14083.23</v>
      </c>
      <c r="AI125" s="125">
        <f t="shared" si="20"/>
        <v>392273.09348999994</v>
      </c>
      <c r="AJ125" s="125">
        <f>Valores!$C$31</f>
        <v>0</v>
      </c>
      <c r="AK125" s="125">
        <f>Valores!$C$88</f>
        <v>0</v>
      </c>
      <c r="AL125" s="125">
        <f>Valores!C$38*B125</f>
        <v>0</v>
      </c>
      <c r="AM125" s="125">
        <f>IF($F$3="NO",0,Valores!$C$56)</f>
        <v>0</v>
      </c>
      <c r="AN125" s="125">
        <f t="shared" si="15"/>
        <v>0</v>
      </c>
      <c r="AO125" s="125">
        <f>AI125*Valores!$C$71</f>
        <v>-43150.040283899994</v>
      </c>
      <c r="AP125" s="125">
        <f>AI125*Valores!$C$72</f>
        <v>-7845.461869799999</v>
      </c>
      <c r="AQ125" s="125">
        <f>AI125*-Valores!$C$73</f>
        <v>0</v>
      </c>
      <c r="AR125" s="125">
        <f>AI125*Valores!$C$74</f>
        <v>-21575.020141949997</v>
      </c>
      <c r="AS125" s="125">
        <f>Valores!$C$101</f>
        <v>-1270</v>
      </c>
      <c r="AT125" s="125">
        <f>IF($F$5=0,Valores!$C$102,(Valores!$C$102+$F$5*(Valores!$C$102)))</f>
        <v>-3700</v>
      </c>
      <c r="AU125" s="125">
        <f t="shared" si="17"/>
        <v>314732.57119434996</v>
      </c>
      <c r="AV125" s="125">
        <f t="shared" si="11"/>
        <v>-43150.040283899994</v>
      </c>
      <c r="AW125" s="125">
        <f t="shared" si="19"/>
        <v>-7845.461869799999</v>
      </c>
      <c r="AX125" s="125">
        <f>AI125*Valores!$C$75</f>
        <v>-10591.373524229999</v>
      </c>
      <c r="AY125" s="125">
        <f>AI125*Valores!$C$76</f>
        <v>-1176.8192804699997</v>
      </c>
      <c r="AZ125" s="125">
        <f t="shared" si="16"/>
        <v>329509.39853159996</v>
      </c>
      <c r="BA125" s="125">
        <f>AI125*Valores!$C$78</f>
        <v>62763.69495839999</v>
      </c>
      <c r="BB125" s="125">
        <f>AI125*Valores!$C$79</f>
        <v>27459.1165443</v>
      </c>
      <c r="BC125" s="125">
        <f>AI125*Valores!$C$80</f>
        <v>3922.7309348999993</v>
      </c>
      <c r="BD125" s="125">
        <f>AI125*Valores!$C$82</f>
        <v>13729.55827215</v>
      </c>
      <c r="BE125" s="125">
        <f>AI125*Valores!$C$84</f>
        <v>21182.747048459998</v>
      </c>
      <c r="BF125" s="125">
        <f>AI125*Valores!$C$83</f>
        <v>2353.6385609399995</v>
      </c>
      <c r="BG125" s="126"/>
      <c r="BH125" s="126">
        <v>25</v>
      </c>
      <c r="BI125" s="123" t="s">
        <v>4</v>
      </c>
    </row>
    <row r="126" spans="1:61" s="110" customFormat="1" ht="11.25" customHeight="1">
      <c r="A126" s="123" t="s">
        <v>341</v>
      </c>
      <c r="B126" s="123">
        <v>1</v>
      </c>
      <c r="C126" s="126">
        <v>119</v>
      </c>
      <c r="D126" s="124" t="s">
        <v>342</v>
      </c>
      <c r="E126" s="192">
        <v>72</v>
      </c>
      <c r="F126" s="125">
        <f>ROUND(E126*Valores!$C$2,2)</f>
        <v>4242.26</v>
      </c>
      <c r="G126" s="192">
        <v>1590</v>
      </c>
      <c r="H126" s="125">
        <f>ROUND(G126*Valores!$C$2,2)</f>
        <v>93683.28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36352.07</v>
      </c>
      <c r="N126" s="125">
        <f t="shared" si="12"/>
        <v>0</v>
      </c>
      <c r="O126" s="125">
        <f>Valores!$C$16</f>
        <v>50911.51</v>
      </c>
      <c r="P126" s="125">
        <f>Valores!$D$5</f>
        <v>30120.06</v>
      </c>
      <c r="Q126" s="125">
        <f>Valores!$C$22</f>
        <v>26870.16</v>
      </c>
      <c r="R126" s="125">
        <f>IF($F$4="NO",Valores!$C$43,Valores!$C$43/2)</f>
        <v>19743.9</v>
      </c>
      <c r="S126" s="125">
        <f>Valores!$C$20</f>
        <v>27738.840000000004</v>
      </c>
      <c r="T126" s="125">
        <f t="shared" si="18"/>
        <v>27738.84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Valores!$C$95</f>
        <v>41242.8</v>
      </c>
      <c r="AA126" s="125">
        <f>Valores!$C$25</f>
        <v>1231.85</v>
      </c>
      <c r="AB126" s="214">
        <v>0</v>
      </c>
      <c r="AC126" s="125">
        <f t="shared" si="13"/>
        <v>0</v>
      </c>
      <c r="AD126" s="125">
        <f>Valores!$C$26</f>
        <v>1231.85</v>
      </c>
      <c r="AE126" s="192">
        <v>94</v>
      </c>
      <c r="AF126" s="125">
        <f>ROUND(AE126*Valores!$C$2,2)</f>
        <v>5538.51</v>
      </c>
      <c r="AG126" s="125">
        <f>SUM(F126,H126,J126,L126,M126,N126,O126,P126,Q126,R126,T126,U126,V126,X126,Y126,Z126,AA126,AC126,AD126,AF126,AH126)*Valores!$C$69</f>
        <v>45535.75128</v>
      </c>
      <c r="AH126" s="125">
        <f>ROUND(IF($F$4="NO",Valores!$C$63,Valores!$C$63/2),2)</f>
        <v>14083.23</v>
      </c>
      <c r="AI126" s="125">
        <f t="shared" si="20"/>
        <v>398526.0712799999</v>
      </c>
      <c r="AJ126" s="125">
        <f>Valores!$C$31</f>
        <v>0</v>
      </c>
      <c r="AK126" s="125">
        <f>Valores!$C$88</f>
        <v>0</v>
      </c>
      <c r="AL126" s="125">
        <f>Valores!C$38*B126</f>
        <v>0</v>
      </c>
      <c r="AM126" s="125">
        <f>IF($F$3="NO",0,Valores!$C$56)</f>
        <v>0</v>
      </c>
      <c r="AN126" s="125">
        <f t="shared" si="15"/>
        <v>0</v>
      </c>
      <c r="AO126" s="125">
        <f>AI126*Valores!$C$71</f>
        <v>-43837.86784079999</v>
      </c>
      <c r="AP126" s="125">
        <f>AI126*Valores!$C$72</f>
        <v>-7970.521425599998</v>
      </c>
      <c r="AQ126" s="125">
        <f>AI126*-Valores!$C$73</f>
        <v>0</v>
      </c>
      <c r="AR126" s="125">
        <f>AI126*Valores!$C$74</f>
        <v>-21918.933920399995</v>
      </c>
      <c r="AS126" s="125">
        <f>Valores!$C$101</f>
        <v>-1270</v>
      </c>
      <c r="AT126" s="125">
        <f>IF($F$5=0,Valores!$C$102,(Valores!$C$102+$F$5*(Valores!$C$102)))</f>
        <v>-3700</v>
      </c>
      <c r="AU126" s="125">
        <f t="shared" si="17"/>
        <v>319828.7480931999</v>
      </c>
      <c r="AV126" s="125">
        <f t="shared" si="11"/>
        <v>-43837.86784079999</v>
      </c>
      <c r="AW126" s="125">
        <f t="shared" si="19"/>
        <v>-7970.521425599998</v>
      </c>
      <c r="AX126" s="125">
        <f>AI126*Valores!$C$75</f>
        <v>-10760.203924559997</v>
      </c>
      <c r="AY126" s="125">
        <f>AI126*Valores!$C$76</f>
        <v>-1195.5782138399998</v>
      </c>
      <c r="AZ126" s="125">
        <f t="shared" si="16"/>
        <v>334761.89987519995</v>
      </c>
      <c r="BA126" s="125">
        <f>AI126*Valores!$C$78</f>
        <v>63764.171404799985</v>
      </c>
      <c r="BB126" s="125">
        <f>AI126*Valores!$C$79</f>
        <v>27896.824989599998</v>
      </c>
      <c r="BC126" s="125">
        <f>AI126*Valores!$C$80</f>
        <v>3985.260712799999</v>
      </c>
      <c r="BD126" s="125">
        <f>AI126*Valores!$C$82</f>
        <v>13948.412494799999</v>
      </c>
      <c r="BE126" s="125">
        <f>AI126*Valores!$C$84</f>
        <v>21520.407849119994</v>
      </c>
      <c r="BF126" s="125">
        <f>AI126*Valores!$C$83</f>
        <v>2391.1564276799995</v>
      </c>
      <c r="BG126" s="126"/>
      <c r="BH126" s="126">
        <v>20</v>
      </c>
      <c r="BI126" s="123" t="s">
        <v>4</v>
      </c>
    </row>
    <row r="127" spans="1:61" s="110" customFormat="1" ht="11.25" customHeight="1">
      <c r="A127" s="123" t="s">
        <v>343</v>
      </c>
      <c r="B127" s="123">
        <v>1</v>
      </c>
      <c r="C127" s="126">
        <v>120</v>
      </c>
      <c r="D127" s="124" t="s">
        <v>344</v>
      </c>
      <c r="E127" s="192">
        <v>77</v>
      </c>
      <c r="F127" s="125">
        <f>ROUND(E127*Valores!$C$2,2)</f>
        <v>4536.86</v>
      </c>
      <c r="G127" s="192">
        <v>2043</v>
      </c>
      <c r="H127" s="125">
        <f>ROUND(G127*Valores!$C$2,2)</f>
        <v>120374.17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43464.79</v>
      </c>
      <c r="N127" s="125">
        <f t="shared" si="12"/>
        <v>0</v>
      </c>
      <c r="O127" s="125">
        <f>Valores!$C$11</f>
        <v>52534.17</v>
      </c>
      <c r="P127" s="125">
        <f>Valores!$D$5</f>
        <v>30120.06</v>
      </c>
      <c r="Q127" s="125">
        <f>Valores!$C$22</f>
        <v>26870.16</v>
      </c>
      <c r="R127" s="125">
        <f>IF($F$4="NO",Valores!$C$44,Valores!$C$44/2)</f>
        <v>20922.76</v>
      </c>
      <c r="S127" s="125">
        <f>Valores!$C$19</f>
        <v>28025.371999999996</v>
      </c>
      <c r="T127" s="125">
        <f t="shared" si="18"/>
        <v>28025.37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Valores!$C$95</f>
        <v>41242.8</v>
      </c>
      <c r="AA127" s="125">
        <f>Valores!$C$25</f>
        <v>1231.85</v>
      </c>
      <c r="AB127" s="214">
        <v>0</v>
      </c>
      <c r="AC127" s="125">
        <f t="shared" si="13"/>
        <v>0</v>
      </c>
      <c r="AD127" s="125">
        <f>Valores!$C$26</f>
        <v>1231.85</v>
      </c>
      <c r="AE127" s="192">
        <v>0</v>
      </c>
      <c r="AF127" s="125">
        <f>ROUND(AE127*Valores!$C$2,2)</f>
        <v>0</v>
      </c>
      <c r="AG127" s="125">
        <f>SUM(F127,H127,J127,L127,M127,N127,O127,P127,Q127,R127,T127,U127,V127,X127,Y127,Z127,AA127,AC127,AD127,AF127,AH127)*Valores!$C$69</f>
        <v>49618.31102999999</v>
      </c>
      <c r="AH127" s="125">
        <f>ROUND(IF($F$4="NO",Valores!$C$63,Valores!$C$63/2),2)</f>
        <v>14083.23</v>
      </c>
      <c r="AI127" s="125">
        <f t="shared" si="20"/>
        <v>434256.3810299999</v>
      </c>
      <c r="AJ127" s="125">
        <f>Valores!$C$31</f>
        <v>0</v>
      </c>
      <c r="AK127" s="125">
        <f>Valores!$C$88</f>
        <v>0</v>
      </c>
      <c r="AL127" s="125">
        <f>Valores!C$38*B127</f>
        <v>0</v>
      </c>
      <c r="AM127" s="125">
        <f>IF($F$3="NO",0,Valores!$C$56)</f>
        <v>0</v>
      </c>
      <c r="AN127" s="125">
        <f t="shared" si="15"/>
        <v>0</v>
      </c>
      <c r="AO127" s="125">
        <f>AI127*Valores!$C$71</f>
        <v>-47768.201913299985</v>
      </c>
      <c r="AP127" s="125">
        <f>AI127*Valores!$C$72</f>
        <v>-8685.127620599998</v>
      </c>
      <c r="AQ127" s="125">
        <f>AI127*-Valores!$C$73</f>
        <v>0</v>
      </c>
      <c r="AR127" s="125">
        <f>AI127*Valores!$C$74</f>
        <v>-23884.100956649992</v>
      </c>
      <c r="AS127" s="125">
        <f>Valores!$C$101</f>
        <v>-1270</v>
      </c>
      <c r="AT127" s="125">
        <f>IF($F$5=0,Valores!$C$102,(Valores!$C$102+$F$5*(Valores!$C$102)))</f>
        <v>-3700</v>
      </c>
      <c r="AU127" s="125">
        <f t="shared" si="17"/>
        <v>348948.9505394499</v>
      </c>
      <c r="AV127" s="125">
        <f t="shared" si="11"/>
        <v>-47768.201913299985</v>
      </c>
      <c r="AW127" s="125">
        <f t="shared" si="19"/>
        <v>-8685.127620599998</v>
      </c>
      <c r="AX127" s="125">
        <f>AI127*Valores!$C$75</f>
        <v>-11724.922287809997</v>
      </c>
      <c r="AY127" s="125">
        <f>AI127*Valores!$C$76</f>
        <v>-1302.7691430899997</v>
      </c>
      <c r="AZ127" s="125">
        <f t="shared" si="16"/>
        <v>364775.3600651999</v>
      </c>
      <c r="BA127" s="125">
        <f>AI127*Valores!$C$78</f>
        <v>69481.02096479999</v>
      </c>
      <c r="BB127" s="125">
        <f>AI127*Valores!$C$79</f>
        <v>30397.946672099995</v>
      </c>
      <c r="BC127" s="125">
        <f>AI127*Valores!$C$80</f>
        <v>4342.563810299999</v>
      </c>
      <c r="BD127" s="125">
        <f>AI127*Valores!$C$82</f>
        <v>15198.973336049998</v>
      </c>
      <c r="BE127" s="125">
        <f>AI127*Valores!$C$84</f>
        <v>23449.844575619994</v>
      </c>
      <c r="BF127" s="125">
        <f>AI127*Valores!$C$83</f>
        <v>2605.5382861799994</v>
      </c>
      <c r="BG127" s="126"/>
      <c r="BH127" s="126"/>
      <c r="BI127" s="123" t="s">
        <v>4</v>
      </c>
    </row>
    <row r="128" spans="1:61" s="110" customFormat="1" ht="11.25" customHeight="1">
      <c r="A128" s="123" t="s">
        <v>345</v>
      </c>
      <c r="B128" s="123">
        <v>1</v>
      </c>
      <c r="C128" s="126">
        <v>121</v>
      </c>
      <c r="D128" s="124" t="s">
        <v>346</v>
      </c>
      <c r="E128" s="192">
        <v>61</v>
      </c>
      <c r="F128" s="125">
        <f>ROUND(E128*Valores!$C$2,2)</f>
        <v>3594.14</v>
      </c>
      <c r="G128" s="192">
        <v>1217</v>
      </c>
      <c r="H128" s="125">
        <f>ROUND(G128*Valores!$C$2,2)</f>
        <v>71706.01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30767.36</v>
      </c>
      <c r="N128" s="125">
        <f t="shared" si="12"/>
        <v>0</v>
      </c>
      <c r="O128" s="125">
        <f>Valores!$C$16</f>
        <v>50911.51</v>
      </c>
      <c r="P128" s="125">
        <f>Valores!$D$5</f>
        <v>30120.06</v>
      </c>
      <c r="Q128" s="125">
        <f>Valores!$C$22</f>
        <v>26870.16</v>
      </c>
      <c r="R128" s="125">
        <f>IF($F$4="NO",Valores!$C$43,Valores!$C$43/2)</f>
        <v>19743.9</v>
      </c>
      <c r="S128" s="125">
        <f>Valores!$C$19</f>
        <v>28025.371999999996</v>
      </c>
      <c r="T128" s="125">
        <f t="shared" si="18"/>
        <v>28025.37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Valores!$C$95</f>
        <v>41242.8</v>
      </c>
      <c r="AA128" s="125">
        <f>Valores!$C$25</f>
        <v>1231.85</v>
      </c>
      <c r="AB128" s="214">
        <v>0</v>
      </c>
      <c r="AC128" s="125">
        <f t="shared" si="13"/>
        <v>0</v>
      </c>
      <c r="AD128" s="125">
        <f>Valores!$C$26</f>
        <v>1231.85</v>
      </c>
      <c r="AE128" s="192">
        <v>0</v>
      </c>
      <c r="AF128" s="125">
        <f>ROUND(AE128*Valores!$C$2,2)</f>
        <v>0</v>
      </c>
      <c r="AG128" s="125">
        <f>SUM(F128,H128,J128,L128,M128,N128,O128,P128,Q128,R128,T128,U128,V128,X128,Y128,Z128,AA128,AC128,AD128,AF128,AH128)*Valores!$C$69</f>
        <v>41219.14295999999</v>
      </c>
      <c r="AH128" s="125">
        <f>ROUND(IF($F$4="NO",Valores!$C$63,Valores!$C$63/2),2)</f>
        <v>14083.23</v>
      </c>
      <c r="AI128" s="125">
        <f t="shared" si="20"/>
        <v>360747.3829599999</v>
      </c>
      <c r="AJ128" s="125">
        <f>Valores!$C$31</f>
        <v>0</v>
      </c>
      <c r="AK128" s="125">
        <f>Valores!$C$88</f>
        <v>0</v>
      </c>
      <c r="AL128" s="125">
        <f>Valores!C$38*B128</f>
        <v>0</v>
      </c>
      <c r="AM128" s="125">
        <f>IF($F$3="NO",0,Valores!$C$56)</f>
        <v>0</v>
      </c>
      <c r="AN128" s="125">
        <f t="shared" si="15"/>
        <v>0</v>
      </c>
      <c r="AO128" s="125">
        <f>AI128*Valores!$C$71</f>
        <v>-39682.21212559999</v>
      </c>
      <c r="AP128" s="125">
        <f>AI128*Valores!$C$72</f>
        <v>-7214.947659199998</v>
      </c>
      <c r="AQ128" s="125">
        <f>AI128*-Valores!$C$73</f>
        <v>0</v>
      </c>
      <c r="AR128" s="125">
        <f>AI128*Valores!$C$74</f>
        <v>-19841.106062799994</v>
      </c>
      <c r="AS128" s="125">
        <f>Valores!$C$101</f>
        <v>-1270</v>
      </c>
      <c r="AT128" s="125">
        <f>IF($F$5=0,Valores!$C$102,(Valores!$C$102+$F$5*(Valores!$C$102)))</f>
        <v>-3700</v>
      </c>
      <c r="AU128" s="125">
        <f t="shared" si="17"/>
        <v>289039.1171123999</v>
      </c>
      <c r="AV128" s="125">
        <f t="shared" si="11"/>
        <v>-39682.21212559999</v>
      </c>
      <c r="AW128" s="125">
        <f t="shared" si="19"/>
        <v>-7214.947659199998</v>
      </c>
      <c r="AX128" s="125">
        <f>AI128*Valores!$C$75</f>
        <v>-9740.179339919998</v>
      </c>
      <c r="AY128" s="125">
        <f>AI128*Valores!$C$76</f>
        <v>-1082.2421488799998</v>
      </c>
      <c r="AZ128" s="125">
        <f t="shared" si="16"/>
        <v>303027.8016863999</v>
      </c>
      <c r="BA128" s="125">
        <f>AI128*Valores!$C$78</f>
        <v>57719.581273599986</v>
      </c>
      <c r="BB128" s="125">
        <f>AI128*Valores!$C$79</f>
        <v>25252.316807199997</v>
      </c>
      <c r="BC128" s="125">
        <f>AI128*Valores!$C$80</f>
        <v>3607.473829599999</v>
      </c>
      <c r="BD128" s="125">
        <f>AI128*Valores!$C$82</f>
        <v>12626.158403599999</v>
      </c>
      <c r="BE128" s="125">
        <f>AI128*Valores!$C$84</f>
        <v>19480.358679839996</v>
      </c>
      <c r="BF128" s="125">
        <f>AI128*Valores!$C$83</f>
        <v>2164.4842977599997</v>
      </c>
      <c r="BG128" s="126"/>
      <c r="BH128" s="126">
        <v>25</v>
      </c>
      <c r="BI128" s="123" t="s">
        <v>4</v>
      </c>
    </row>
    <row r="129" spans="1:61" s="110" customFormat="1" ht="11.25" customHeight="1">
      <c r="A129" s="123" t="s">
        <v>347</v>
      </c>
      <c r="B129" s="123">
        <v>1</v>
      </c>
      <c r="C129" s="126">
        <v>122</v>
      </c>
      <c r="D129" s="124" t="s">
        <v>348</v>
      </c>
      <c r="E129" s="192">
        <v>72</v>
      </c>
      <c r="F129" s="125">
        <f>ROUND(E129*Valores!$C$2,2)</f>
        <v>4242.26</v>
      </c>
      <c r="G129" s="192">
        <v>1206</v>
      </c>
      <c r="H129" s="125">
        <f>ROUND(G129*Valores!$C$2,2)</f>
        <v>71057.88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30767.35</v>
      </c>
      <c r="N129" s="125">
        <f t="shared" si="12"/>
        <v>0</v>
      </c>
      <c r="O129" s="125">
        <f>Valores!$C$16</f>
        <v>50911.51</v>
      </c>
      <c r="P129" s="125">
        <f>Valores!$D$5</f>
        <v>30120.06</v>
      </c>
      <c r="Q129" s="125">
        <f>Valores!$C$22</f>
        <v>26870.16</v>
      </c>
      <c r="R129" s="125">
        <f>IF($F$4="NO",Valores!$C$43,Valores!$C$43/2)</f>
        <v>19743.9</v>
      </c>
      <c r="S129" s="125">
        <f>Valores!$C$19</f>
        <v>28025.371999999996</v>
      </c>
      <c r="T129" s="125">
        <f t="shared" si="18"/>
        <v>28025.37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Valores!$C$95</f>
        <v>41242.8</v>
      </c>
      <c r="AA129" s="125">
        <f>Valores!$C$25</f>
        <v>1231.85</v>
      </c>
      <c r="AB129" s="214">
        <v>0</v>
      </c>
      <c r="AC129" s="125">
        <f t="shared" si="13"/>
        <v>0</v>
      </c>
      <c r="AD129" s="125">
        <f>Valores!$C$26</f>
        <v>1231.85</v>
      </c>
      <c r="AE129" s="192">
        <v>94</v>
      </c>
      <c r="AF129" s="125">
        <f>ROUND(AE129*Valores!$C$2,2)</f>
        <v>5538.51</v>
      </c>
      <c r="AG129" s="125">
        <f>SUM(F129,H129,J129,L129,M129,N129,O129,P129,Q129,R129,T129,U129,V129,X129,Y129,Z129,AA129,AC129,AD129,AF129,AH129)*Valores!$C$69</f>
        <v>41933.60816999999</v>
      </c>
      <c r="AH129" s="125">
        <f>ROUND(IF($F$4="NO",Valores!$C$63,Valores!$C$63/2),2)</f>
        <v>14083.23</v>
      </c>
      <c r="AI129" s="125">
        <f t="shared" si="20"/>
        <v>367000.3381699999</v>
      </c>
      <c r="AJ129" s="125">
        <f>Valores!$C$31</f>
        <v>0</v>
      </c>
      <c r="AK129" s="125">
        <f>Valores!$C$88</f>
        <v>0</v>
      </c>
      <c r="AL129" s="125">
        <f>Valores!C$38*B129</f>
        <v>0</v>
      </c>
      <c r="AM129" s="125">
        <f>IF($F$3="NO",0,Valores!$C$56)</f>
        <v>0</v>
      </c>
      <c r="AN129" s="125">
        <f t="shared" si="15"/>
        <v>0</v>
      </c>
      <c r="AO129" s="125">
        <f>AI129*Valores!$C$71</f>
        <v>-40370.03719869999</v>
      </c>
      <c r="AP129" s="125">
        <f>AI129*Valores!$C$72</f>
        <v>-7340.006763399998</v>
      </c>
      <c r="AQ129" s="125">
        <f>AI129*-Valores!$C$73</f>
        <v>0</v>
      </c>
      <c r="AR129" s="125">
        <f>AI129*Valores!$C$74</f>
        <v>-20185.018599349994</v>
      </c>
      <c r="AS129" s="125">
        <f>Valores!$C$101</f>
        <v>-1270</v>
      </c>
      <c r="AT129" s="125">
        <f>IF($F$5=0,Valores!$C$102,(Valores!$C$102+$F$5*(Valores!$C$102)))</f>
        <v>-3700</v>
      </c>
      <c r="AU129" s="125">
        <f t="shared" si="17"/>
        <v>294135.2756085499</v>
      </c>
      <c r="AV129" s="125">
        <f t="shared" si="11"/>
        <v>-40370.03719869999</v>
      </c>
      <c r="AW129" s="125">
        <f t="shared" si="19"/>
        <v>-7340.006763399998</v>
      </c>
      <c r="AX129" s="125">
        <f>AI129*Valores!$C$75</f>
        <v>-9909.009130589997</v>
      </c>
      <c r="AY129" s="125">
        <f>AI129*Valores!$C$76</f>
        <v>-1101.0010145099998</v>
      </c>
      <c r="AZ129" s="125">
        <f t="shared" si="16"/>
        <v>308280.2840627999</v>
      </c>
      <c r="BA129" s="125">
        <f>AI129*Valores!$C$78</f>
        <v>58720.05410719998</v>
      </c>
      <c r="BB129" s="125">
        <f>AI129*Valores!$C$79</f>
        <v>25690.023671899995</v>
      </c>
      <c r="BC129" s="125">
        <f>AI129*Valores!$C$80</f>
        <v>3670.003381699999</v>
      </c>
      <c r="BD129" s="125">
        <f>AI129*Valores!$C$82</f>
        <v>12845.011835949997</v>
      </c>
      <c r="BE129" s="125">
        <f>AI129*Valores!$C$84</f>
        <v>19818.018261179994</v>
      </c>
      <c r="BF129" s="125">
        <f>AI129*Valores!$C$83</f>
        <v>2202.0020290199996</v>
      </c>
      <c r="BG129" s="126"/>
      <c r="BH129" s="126">
        <v>20</v>
      </c>
      <c r="BI129" s="123" t="s">
        <v>4</v>
      </c>
    </row>
    <row r="130" spans="1:61" s="110" customFormat="1" ht="11.25" customHeight="1">
      <c r="A130" s="123" t="s">
        <v>349</v>
      </c>
      <c r="B130" s="123">
        <v>1</v>
      </c>
      <c r="C130" s="126">
        <v>123</v>
      </c>
      <c r="D130" s="124" t="s">
        <v>350</v>
      </c>
      <c r="E130" s="192">
        <v>61</v>
      </c>
      <c r="F130" s="125">
        <f>ROUND(E130*Valores!$C$2,2)</f>
        <v>3594.14</v>
      </c>
      <c r="G130" s="192">
        <v>1217</v>
      </c>
      <c r="H130" s="125">
        <f>ROUND(G130*Valores!$C$2,2)</f>
        <v>71706.01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30695.72</v>
      </c>
      <c r="N130" s="125">
        <f t="shared" si="12"/>
        <v>0</v>
      </c>
      <c r="O130" s="125">
        <f>Valores!$C$16</f>
        <v>50911.51</v>
      </c>
      <c r="P130" s="125">
        <f>Valores!$D$5</f>
        <v>30120.06</v>
      </c>
      <c r="Q130" s="125">
        <v>0</v>
      </c>
      <c r="R130" s="125">
        <f>IF($F$4="NO",Valores!$C$43,Valores!$C$43/2)</f>
        <v>19743.9</v>
      </c>
      <c r="S130" s="125">
        <f>Valores!$C$20</f>
        <v>27738.840000000004</v>
      </c>
      <c r="T130" s="125">
        <f t="shared" si="18"/>
        <v>27738.84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Valores!$C$95</f>
        <v>41242.8</v>
      </c>
      <c r="AA130" s="125">
        <f>Valores!$C$25</f>
        <v>1231.85</v>
      </c>
      <c r="AB130" s="214">
        <v>0</v>
      </c>
      <c r="AC130" s="125">
        <f t="shared" si="13"/>
        <v>0</v>
      </c>
      <c r="AD130" s="125">
        <f>Valores!$C$26</f>
        <v>1231.85</v>
      </c>
      <c r="AE130" s="192">
        <v>0</v>
      </c>
      <c r="AF130" s="125">
        <f>ROUND(AE130*Valores!$C$2,2)</f>
        <v>0</v>
      </c>
      <c r="AG130" s="125">
        <f>SUM(F130,H130,J130,L130,M130,N130,O130,P130,Q130,R130,T130,U130,V130,X130,Y130,Z130,AA130,AC130,AD130,AF130,AH130)*Valores!$C$69</f>
        <v>37706.68838999999</v>
      </c>
      <c r="AH130" s="125">
        <f>ROUND(IF($F$4="NO",Valores!$C$63,Valores!$C$63/2),2)</f>
        <v>14083.23</v>
      </c>
      <c r="AI130" s="125">
        <f t="shared" si="20"/>
        <v>330006.5983899999</v>
      </c>
      <c r="AJ130" s="125">
        <f>Valores!$C$31</f>
        <v>0</v>
      </c>
      <c r="AK130" s="125">
        <f>Valores!$C$88</f>
        <v>0</v>
      </c>
      <c r="AL130" s="125">
        <f>Valores!C$38*B130</f>
        <v>0</v>
      </c>
      <c r="AM130" s="125">
        <f>IF($F$3="NO",0,Valores!$C$56)</f>
        <v>0</v>
      </c>
      <c r="AN130" s="125">
        <f t="shared" si="15"/>
        <v>0</v>
      </c>
      <c r="AO130" s="125">
        <f>AI130*Valores!$C$71</f>
        <v>-36300.725822899985</v>
      </c>
      <c r="AP130" s="125">
        <f>AI130*Valores!$C$72</f>
        <v>-6600.131967799998</v>
      </c>
      <c r="AQ130" s="125">
        <f>AI130*-Valores!$C$73</f>
        <v>0</v>
      </c>
      <c r="AR130" s="125">
        <f>AI130*Valores!$C$74</f>
        <v>-18150.362911449993</v>
      </c>
      <c r="AS130" s="125">
        <f>Valores!$C$101</f>
        <v>-1270</v>
      </c>
      <c r="AT130" s="125">
        <f>IF($F$5=0,Valores!$C$102,(Valores!$C$102+$F$5*(Valores!$C$102)))</f>
        <v>-3700</v>
      </c>
      <c r="AU130" s="125">
        <f t="shared" si="17"/>
        <v>263985.3776878499</v>
      </c>
      <c r="AV130" s="125">
        <f t="shared" si="11"/>
        <v>-36300.725822899985</v>
      </c>
      <c r="AW130" s="125">
        <f t="shared" si="19"/>
        <v>-6600.131967799998</v>
      </c>
      <c r="AX130" s="125">
        <f>AI130*Valores!$C$75</f>
        <v>-8910.178156529997</v>
      </c>
      <c r="AY130" s="125">
        <f>AI130*Valores!$C$76</f>
        <v>-990.0197951699997</v>
      </c>
      <c r="AZ130" s="125">
        <f t="shared" si="16"/>
        <v>277205.5426475999</v>
      </c>
      <c r="BA130" s="125">
        <f>AI130*Valores!$C$78</f>
        <v>52801.055742399985</v>
      </c>
      <c r="BB130" s="125">
        <f>AI130*Valores!$C$79</f>
        <v>23100.461887299993</v>
      </c>
      <c r="BC130" s="125">
        <f>AI130*Valores!$C$80</f>
        <v>3300.065983899999</v>
      </c>
      <c r="BD130" s="125">
        <f>AI130*Valores!$C$82</f>
        <v>11550.230943649996</v>
      </c>
      <c r="BE130" s="125">
        <f>AI130*Valores!$C$84</f>
        <v>17820.356313059994</v>
      </c>
      <c r="BF130" s="125">
        <f>AI130*Valores!$C$83</f>
        <v>1980.0395903399994</v>
      </c>
      <c r="BG130" s="126"/>
      <c r="BH130" s="126"/>
      <c r="BI130" s="123" t="s">
        <v>8</v>
      </c>
    </row>
    <row r="131" spans="1:61" s="110" customFormat="1" ht="11.25" customHeight="1">
      <c r="A131" s="123" t="s">
        <v>351</v>
      </c>
      <c r="B131" s="123">
        <v>1</v>
      </c>
      <c r="C131" s="126">
        <v>124</v>
      </c>
      <c r="D131" s="124" t="s">
        <v>352</v>
      </c>
      <c r="E131" s="192">
        <v>1278</v>
      </c>
      <c r="F131" s="125">
        <f>ROUND(E131*Valores!$C$2,2)</f>
        <v>75300.14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30990.44</v>
      </c>
      <c r="N131" s="125">
        <f t="shared" si="12"/>
        <v>0</v>
      </c>
      <c r="O131" s="125">
        <f>Valores!$C$16</f>
        <v>50911.51</v>
      </c>
      <c r="P131" s="125">
        <f>Valores!$D$5</f>
        <v>30120.06</v>
      </c>
      <c r="Q131" s="125">
        <f>Valores!$C$22</f>
        <v>26870.16</v>
      </c>
      <c r="R131" s="125">
        <f>IF($F$4="NO",Valores!$C$44,Valores!$C$44/2)</f>
        <v>20922.76</v>
      </c>
      <c r="S131" s="125">
        <f>Valores!$C$20</f>
        <v>27738.840000000004</v>
      </c>
      <c r="T131" s="125">
        <f t="shared" si="18"/>
        <v>27738.84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Valores!$C$95</f>
        <v>41242.8</v>
      </c>
      <c r="AA131" s="125">
        <f>Valores!$C$25</f>
        <v>1231.85</v>
      </c>
      <c r="AB131" s="214">
        <v>0</v>
      </c>
      <c r="AC131" s="125">
        <f t="shared" si="13"/>
        <v>0</v>
      </c>
      <c r="AD131" s="125">
        <f>Valores!$C$26</f>
        <v>1231.85</v>
      </c>
      <c r="AE131" s="192">
        <v>0</v>
      </c>
      <c r="AF131" s="125">
        <f>ROUND(AE131*Valores!$C$2,2)</f>
        <v>0</v>
      </c>
      <c r="AG131" s="125">
        <f>SUM(F131,H131,J131,L131,M131,N131,O131,P131,Q131,R131,T131,U131,V131,X131,Y131,Z131,AA131,AC131,AD131,AF131,AH131)*Valores!$C$69</f>
        <v>41363.029559999995</v>
      </c>
      <c r="AH131" s="125">
        <f>ROUND(IF($F$4="NO",Valores!$C$63,Valores!$C$63/2),2)</f>
        <v>14083.23</v>
      </c>
      <c r="AI131" s="125">
        <f t="shared" si="20"/>
        <v>362006.66955999995</v>
      </c>
      <c r="AJ131" s="125">
        <f>Valores!$C$31</f>
        <v>0</v>
      </c>
      <c r="AK131" s="125">
        <f>Valores!$C$88</f>
        <v>0</v>
      </c>
      <c r="AL131" s="125">
        <f>Valores!C$38*B131</f>
        <v>0</v>
      </c>
      <c r="AM131" s="125">
        <f>IF($F$3="NO",0,Valores!$C$56)</f>
        <v>0</v>
      </c>
      <c r="AN131" s="125">
        <f t="shared" si="15"/>
        <v>0</v>
      </c>
      <c r="AO131" s="125">
        <f>AI131*Valores!$C$71</f>
        <v>-39820.73365159999</v>
      </c>
      <c r="AP131" s="125">
        <f>AI131*Valores!$C$72</f>
        <v>-7240.133391199999</v>
      </c>
      <c r="AQ131" s="125">
        <f>AI131*-Valores!$C$73</f>
        <v>0</v>
      </c>
      <c r="AR131" s="125">
        <f>AI131*Valores!$C$74</f>
        <v>-19910.366825799996</v>
      </c>
      <c r="AS131" s="125">
        <f>Valores!$C$101</f>
        <v>-1270</v>
      </c>
      <c r="AT131" s="125">
        <f>IF($F$5=0,Valores!$C$102,(Valores!$C$102+$F$5*(Valores!$C$102)))</f>
        <v>-3700</v>
      </c>
      <c r="AU131" s="125">
        <f t="shared" si="17"/>
        <v>290065.43569139997</v>
      </c>
      <c r="AV131" s="125">
        <f t="shared" si="11"/>
        <v>-39820.73365159999</v>
      </c>
      <c r="AW131" s="125">
        <f t="shared" si="19"/>
        <v>-7240.133391199999</v>
      </c>
      <c r="AX131" s="125">
        <f>AI131*Valores!$C$75</f>
        <v>-9774.180078119998</v>
      </c>
      <c r="AY131" s="125">
        <f>AI131*Valores!$C$76</f>
        <v>-1086.0200086799998</v>
      </c>
      <c r="AZ131" s="125">
        <f t="shared" si="16"/>
        <v>304085.6024304</v>
      </c>
      <c r="BA131" s="125">
        <f>AI131*Valores!$C$78</f>
        <v>57921.06712959999</v>
      </c>
      <c r="BB131" s="125">
        <f>AI131*Valores!$C$79</f>
        <v>25340.466869199998</v>
      </c>
      <c r="BC131" s="125">
        <f>AI131*Valores!$C$80</f>
        <v>3620.0666955999995</v>
      </c>
      <c r="BD131" s="125">
        <f>AI131*Valores!$C$82</f>
        <v>12670.233434599999</v>
      </c>
      <c r="BE131" s="125">
        <f>AI131*Valores!$C$84</f>
        <v>19548.360156239996</v>
      </c>
      <c r="BF131" s="125">
        <f>AI131*Valores!$C$83</f>
        <v>2172.0400173599996</v>
      </c>
      <c r="BG131" s="126"/>
      <c r="BH131" s="126">
        <v>22</v>
      </c>
      <c r="BI131" s="123" t="s">
        <v>4</v>
      </c>
    </row>
    <row r="132" spans="1:61" s="110" customFormat="1" ht="11.25" customHeight="1">
      <c r="A132" s="123" t="s">
        <v>353</v>
      </c>
      <c r="B132" s="123">
        <v>1</v>
      </c>
      <c r="C132" s="126">
        <v>125</v>
      </c>
      <c r="D132" s="124" t="s">
        <v>354</v>
      </c>
      <c r="E132" s="192">
        <v>1278</v>
      </c>
      <c r="F132" s="125">
        <f>ROUND(E132*Valores!$C$2,2)</f>
        <v>75300.14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31062.07</v>
      </c>
      <c r="N132" s="125">
        <f t="shared" si="12"/>
        <v>0</v>
      </c>
      <c r="O132" s="125">
        <f>Valores!$C$16</f>
        <v>50911.51</v>
      </c>
      <c r="P132" s="125">
        <f>Valores!$D$5</f>
        <v>30120.06</v>
      </c>
      <c r="Q132" s="125">
        <f>Valores!$C$22</f>
        <v>26870.16</v>
      </c>
      <c r="R132" s="125">
        <f>IF($F$4="NO",Valores!$C$44,Valores!$C$44/2)</f>
        <v>20922.76</v>
      </c>
      <c r="S132" s="125">
        <f>Valores!$C$19</f>
        <v>28025.371999999996</v>
      </c>
      <c r="T132" s="125">
        <f t="shared" si="18"/>
        <v>28025.37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Valores!$C$95</f>
        <v>41242.8</v>
      </c>
      <c r="AA132" s="125">
        <f>Valores!$C$25</f>
        <v>1231.85</v>
      </c>
      <c r="AB132" s="214">
        <v>0</v>
      </c>
      <c r="AC132" s="125">
        <f t="shared" si="13"/>
        <v>0</v>
      </c>
      <c r="AD132" s="125">
        <f>Valores!$C$26</f>
        <v>1231.85</v>
      </c>
      <c r="AE132" s="192">
        <v>94</v>
      </c>
      <c r="AF132" s="125">
        <f>ROUND(AE132*Valores!$C$2,2)</f>
        <v>5538.51</v>
      </c>
      <c r="AG132" s="125">
        <f>SUM(F132,H132,J132,L132,M132,N132,O132,P132,Q132,R132,T132,U132,V132,X132,Y132,Z132,AA132,AC132,AD132,AF132,AH132)*Valores!$C$69</f>
        <v>42123.699989999994</v>
      </c>
      <c r="AH132" s="125">
        <f>ROUND(IF($F$4="NO",Valores!$C$63,Valores!$C$63/2),2)</f>
        <v>14083.23</v>
      </c>
      <c r="AI132" s="125">
        <f t="shared" si="20"/>
        <v>368664.00998999993</v>
      </c>
      <c r="AJ132" s="125">
        <f>Valores!$C$31</f>
        <v>0</v>
      </c>
      <c r="AK132" s="125">
        <f>Valores!$C$88</f>
        <v>0</v>
      </c>
      <c r="AL132" s="125">
        <f>Valores!C$38*B132</f>
        <v>0</v>
      </c>
      <c r="AM132" s="125">
        <f>IF($F$3="NO",0,Valores!$C$56)</f>
        <v>0</v>
      </c>
      <c r="AN132" s="125">
        <f t="shared" si="15"/>
        <v>0</v>
      </c>
      <c r="AO132" s="125">
        <f>AI132*Valores!$C$71</f>
        <v>-40553.041098899994</v>
      </c>
      <c r="AP132" s="125">
        <f>AI132*Valores!$C$72</f>
        <v>-7373.280199799999</v>
      </c>
      <c r="AQ132" s="125">
        <f>AI132*-Valores!$C$73</f>
        <v>0</v>
      </c>
      <c r="AR132" s="125">
        <f>AI132*Valores!$C$74</f>
        <v>-20276.520549449997</v>
      </c>
      <c r="AS132" s="125">
        <f>Valores!$C$101</f>
        <v>-1270</v>
      </c>
      <c r="AT132" s="125">
        <f>IF($F$5=0,Valores!$C$102,(Valores!$C$102+$F$5*(Valores!$C$102)))</f>
        <v>-3700</v>
      </c>
      <c r="AU132" s="125">
        <f t="shared" si="17"/>
        <v>295491.1681418499</v>
      </c>
      <c r="AV132" s="125">
        <f t="shared" si="11"/>
        <v>-40553.041098899994</v>
      </c>
      <c r="AW132" s="125">
        <f t="shared" si="19"/>
        <v>-7373.280199799999</v>
      </c>
      <c r="AX132" s="125">
        <f>AI132*Valores!$C$75</f>
        <v>-9953.928269729999</v>
      </c>
      <c r="AY132" s="125">
        <f>AI132*Valores!$C$76</f>
        <v>-1105.9920299699997</v>
      </c>
      <c r="AZ132" s="125">
        <f t="shared" si="16"/>
        <v>309677.76839159994</v>
      </c>
      <c r="BA132" s="125">
        <f>AI132*Valores!$C$78</f>
        <v>58986.24159839999</v>
      </c>
      <c r="BB132" s="125">
        <f>AI132*Valores!$C$79</f>
        <v>25806.4806993</v>
      </c>
      <c r="BC132" s="125">
        <f>AI132*Valores!$C$80</f>
        <v>3686.6400998999993</v>
      </c>
      <c r="BD132" s="125">
        <f>AI132*Valores!$C$82</f>
        <v>12903.24034965</v>
      </c>
      <c r="BE132" s="125">
        <f>AI132*Valores!$C$84</f>
        <v>19907.856539459997</v>
      </c>
      <c r="BF132" s="125">
        <f>AI132*Valores!$C$83</f>
        <v>2211.9840599399995</v>
      </c>
      <c r="BG132" s="126"/>
      <c r="BH132" s="126">
        <v>20</v>
      </c>
      <c r="BI132" s="123" t="s">
        <v>4</v>
      </c>
    </row>
    <row r="133" spans="1:61" s="110" customFormat="1" ht="11.25" customHeight="1">
      <c r="A133" s="123" t="s">
        <v>355</v>
      </c>
      <c r="B133" s="123">
        <v>1</v>
      </c>
      <c r="C133" s="126">
        <v>126</v>
      </c>
      <c r="D133" s="124" t="s">
        <v>356</v>
      </c>
      <c r="E133" s="192">
        <v>936</v>
      </c>
      <c r="F133" s="125">
        <f>ROUND(E133*Valores!$C$2,2)</f>
        <v>55149.4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25658.04</v>
      </c>
      <c r="N133" s="125">
        <f t="shared" si="12"/>
        <v>0</v>
      </c>
      <c r="O133" s="125">
        <f>Valores!$C$16</f>
        <v>50911.51</v>
      </c>
      <c r="P133" s="125">
        <f>Valores!$D$5</f>
        <v>30120.06</v>
      </c>
      <c r="Q133" s="125">
        <f>Valores!$C$23</f>
        <v>25008.96</v>
      </c>
      <c r="R133" s="125">
        <f>IF($F$4="NO",Valores!$C$43,Valores!$C$43/2)</f>
        <v>19743.9</v>
      </c>
      <c r="S133" s="125">
        <f>Valores!$C$20</f>
        <v>27738.840000000004</v>
      </c>
      <c r="T133" s="125">
        <f t="shared" si="18"/>
        <v>27738.84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Valores!$C$95</f>
        <v>41242.8</v>
      </c>
      <c r="AA133" s="125">
        <f>Valores!$C$25</f>
        <v>1231.85</v>
      </c>
      <c r="AB133" s="214">
        <v>0</v>
      </c>
      <c r="AC133" s="125">
        <f t="shared" si="13"/>
        <v>0</v>
      </c>
      <c r="AD133" s="125">
        <f>Valores!$C$26</f>
        <v>1231.85</v>
      </c>
      <c r="AE133" s="192">
        <v>94</v>
      </c>
      <c r="AF133" s="125">
        <f>ROUND(AE133*Valores!$C$2,2)</f>
        <v>5538.51</v>
      </c>
      <c r="AG133" s="125">
        <f>SUM(F133,H133,J133,L133,M133,N133,O133,P133,Q133,R133,T133,U133,V133,X133,Y133,Z133,AA133,AC133,AD133,AF133,AH133)*Valores!$C$69</f>
        <v>38398.00455</v>
      </c>
      <c r="AH133" s="125">
        <f>ROUND(IF($F$4="NO",Valores!$C$63,Valores!$C$63/2),2)</f>
        <v>14083.23</v>
      </c>
      <c r="AI133" s="125">
        <f t="shared" si="20"/>
        <v>336056.95454999997</v>
      </c>
      <c r="AJ133" s="125">
        <f>Valores!$C$31</f>
        <v>0</v>
      </c>
      <c r="AK133" s="125">
        <f>Valores!$C$88</f>
        <v>0</v>
      </c>
      <c r="AL133" s="125">
        <f>Valores!C$38*B133</f>
        <v>0</v>
      </c>
      <c r="AM133" s="125">
        <f>IF($F$3="NO",0,Valores!$C$56)</f>
        <v>0</v>
      </c>
      <c r="AN133" s="125">
        <f t="shared" si="15"/>
        <v>0</v>
      </c>
      <c r="AO133" s="125">
        <f>AI133*Valores!$C$71</f>
        <v>-36966.265000499996</v>
      </c>
      <c r="AP133" s="125">
        <f>AI133*Valores!$C$72</f>
        <v>-6721.139090999999</v>
      </c>
      <c r="AQ133" s="125">
        <f>AI133*-Valores!$C$73</f>
        <v>0</v>
      </c>
      <c r="AR133" s="125">
        <f>AI133*Valores!$C$74</f>
        <v>-18483.132500249998</v>
      </c>
      <c r="AS133" s="125">
        <f>Valores!$C$101</f>
        <v>-1270</v>
      </c>
      <c r="AT133" s="125">
        <f>IF($F$5=0,Valores!$C$102,(Valores!$C$102+$F$5*(Valores!$C$102)))</f>
        <v>-3700</v>
      </c>
      <c r="AU133" s="125">
        <f t="shared" si="17"/>
        <v>268916.41795825</v>
      </c>
      <c r="AV133" s="125">
        <f t="shared" si="11"/>
        <v>-36966.265000499996</v>
      </c>
      <c r="AW133" s="125">
        <f t="shared" si="19"/>
        <v>-6721.139090999999</v>
      </c>
      <c r="AX133" s="125">
        <f>AI133*Valores!$C$75</f>
        <v>-9073.537772849999</v>
      </c>
      <c r="AY133" s="125">
        <f>AI133*Valores!$C$76</f>
        <v>-1008.1708636499999</v>
      </c>
      <c r="AZ133" s="125">
        <f t="shared" si="16"/>
        <v>282287.841822</v>
      </c>
      <c r="BA133" s="125">
        <f>AI133*Valores!$C$78</f>
        <v>53769.11272799999</v>
      </c>
      <c r="BB133" s="125">
        <f>AI133*Valores!$C$79</f>
        <v>23523.9868185</v>
      </c>
      <c r="BC133" s="125">
        <f>AI133*Valores!$C$80</f>
        <v>3360.5695454999995</v>
      </c>
      <c r="BD133" s="125">
        <f>AI133*Valores!$C$82</f>
        <v>11761.99340925</v>
      </c>
      <c r="BE133" s="125">
        <f>AI133*Valores!$C$84</f>
        <v>18147.075545699998</v>
      </c>
      <c r="BF133" s="125">
        <f>AI133*Valores!$C$83</f>
        <v>2016.3417272999998</v>
      </c>
      <c r="BG133" s="126">
        <v>8</v>
      </c>
      <c r="BH133" s="126"/>
      <c r="BI133" s="123" t="s">
        <v>4</v>
      </c>
    </row>
    <row r="134" spans="1:61" s="110" customFormat="1" ht="11.25" customHeight="1">
      <c r="A134" s="123" t="s">
        <v>357</v>
      </c>
      <c r="B134" s="123">
        <v>1</v>
      </c>
      <c r="C134" s="126">
        <v>127</v>
      </c>
      <c r="D134" s="124" t="s">
        <v>358</v>
      </c>
      <c r="E134" s="192">
        <v>1278</v>
      </c>
      <c r="F134" s="125">
        <f>ROUND(E134*Valores!$C$2,2)</f>
        <v>75300.14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30695.72</v>
      </c>
      <c r="N134" s="125">
        <f t="shared" si="12"/>
        <v>0</v>
      </c>
      <c r="O134" s="125">
        <f>Valores!$C$8</f>
        <v>73844.92</v>
      </c>
      <c r="P134" s="125">
        <f>Valores!$D$5</f>
        <v>30120.06</v>
      </c>
      <c r="Q134" s="125">
        <v>0</v>
      </c>
      <c r="R134" s="125">
        <f>IF($F$4="NO",Valores!$C$43,Valores!$C$43/2)</f>
        <v>19743.9</v>
      </c>
      <c r="S134" s="125">
        <f>Valores!$C$20</f>
        <v>27738.840000000004</v>
      </c>
      <c r="T134" s="125">
        <f t="shared" si="18"/>
        <v>27738.84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Valores!$C$95</f>
        <v>41242.8</v>
      </c>
      <c r="AA134" s="125">
        <f>Valores!$C$25</f>
        <v>1231.85</v>
      </c>
      <c r="AB134" s="214">
        <v>0</v>
      </c>
      <c r="AC134" s="125">
        <f t="shared" si="13"/>
        <v>0</v>
      </c>
      <c r="AD134" s="125">
        <f>Valores!$C$26</f>
        <v>1231.85</v>
      </c>
      <c r="AE134" s="192">
        <v>94</v>
      </c>
      <c r="AF134" s="125">
        <f>ROUND(AE134*Valores!$C$2,2)</f>
        <v>5538.51</v>
      </c>
      <c r="AG134" s="125">
        <f>SUM(F134,H134,J134,L134,M134,N134,O134,P134,Q134,R134,T134,U134,V134,X134,Y134,Z134,AA134,AC134,AD134,AF134,AH134)*Valores!$C$69</f>
        <v>41379.56477999999</v>
      </c>
      <c r="AH134" s="125">
        <f>ROUND(IF($F$4="NO",Valores!$C$63,Valores!$C$63/2),2)</f>
        <v>14083.23</v>
      </c>
      <c r="AI134" s="125">
        <f t="shared" si="20"/>
        <v>362151.38477999996</v>
      </c>
      <c r="AJ134" s="125">
        <f>Valores!$C$31</f>
        <v>0</v>
      </c>
      <c r="AK134" s="125">
        <f>Valores!$C$88</f>
        <v>0</v>
      </c>
      <c r="AL134" s="125">
        <f>Valores!C$38*B134</f>
        <v>0</v>
      </c>
      <c r="AM134" s="125">
        <f>IF($F$3="NO",0,Valores!$C$56)</f>
        <v>0</v>
      </c>
      <c r="AN134" s="125">
        <f t="shared" si="15"/>
        <v>0</v>
      </c>
      <c r="AO134" s="125">
        <f>AI134*Valores!$C$71</f>
        <v>-39836.652325799994</v>
      </c>
      <c r="AP134" s="125">
        <f>AI134*Valores!$C$72</f>
        <v>-7243.0276956</v>
      </c>
      <c r="AQ134" s="125">
        <f>AI134*-Valores!$C$73</f>
        <v>0</v>
      </c>
      <c r="AR134" s="125">
        <f>AI134*Valores!$C$74</f>
        <v>-19918.326162899997</v>
      </c>
      <c r="AS134" s="125">
        <f>Valores!$C$101</f>
        <v>-1270</v>
      </c>
      <c r="AT134" s="125">
        <f>IF($F$5=0,Valores!$C$102,(Valores!$C$102+$F$5*(Valores!$C$102)))</f>
        <v>-3700</v>
      </c>
      <c r="AU134" s="125">
        <f t="shared" si="17"/>
        <v>290183.37859569996</v>
      </c>
      <c r="AV134" s="125">
        <f aca="true" t="shared" si="21" ref="AV134:AV196">AO134</f>
        <v>-39836.652325799994</v>
      </c>
      <c r="AW134" s="125">
        <f t="shared" si="19"/>
        <v>-7243.0276956</v>
      </c>
      <c r="AX134" s="125">
        <f>AI134*Valores!$C$75</f>
        <v>-9778.08738906</v>
      </c>
      <c r="AY134" s="125">
        <f>AI134*Valores!$C$76</f>
        <v>-1086.4541543399998</v>
      </c>
      <c r="AZ134" s="125">
        <f t="shared" si="16"/>
        <v>304207.16321519995</v>
      </c>
      <c r="BA134" s="125">
        <f>AI134*Valores!$C$78</f>
        <v>57944.2215648</v>
      </c>
      <c r="BB134" s="125">
        <f>AI134*Valores!$C$79</f>
        <v>25350.5969346</v>
      </c>
      <c r="BC134" s="125">
        <f>AI134*Valores!$C$80</f>
        <v>3621.5138478</v>
      </c>
      <c r="BD134" s="125">
        <f>AI134*Valores!$C$82</f>
        <v>12675.2984673</v>
      </c>
      <c r="BE134" s="125">
        <f>AI134*Valores!$C$84</f>
        <v>19556.17477812</v>
      </c>
      <c r="BF134" s="125">
        <f>AI134*Valores!$C$83</f>
        <v>2172.9083086799997</v>
      </c>
      <c r="BG134" s="126"/>
      <c r="BH134" s="126">
        <v>22</v>
      </c>
      <c r="BI134" s="123" t="s">
        <v>4</v>
      </c>
    </row>
    <row r="135" spans="1:61" s="110" customFormat="1" ht="11.25" customHeight="1">
      <c r="A135" s="123" t="s">
        <v>359</v>
      </c>
      <c r="B135" s="123">
        <v>1</v>
      </c>
      <c r="C135" s="126">
        <v>128</v>
      </c>
      <c r="D135" s="124" t="s">
        <v>360</v>
      </c>
      <c r="E135" s="192">
        <v>1278</v>
      </c>
      <c r="F135" s="125">
        <f>ROUND(E135*Valores!$C$2,2)</f>
        <v>75300.14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31062.07</v>
      </c>
      <c r="N135" s="125">
        <f t="shared" si="12"/>
        <v>0</v>
      </c>
      <c r="O135" s="125">
        <f>Valores!$C$8</f>
        <v>73844.92</v>
      </c>
      <c r="P135" s="125">
        <f>Valores!$D$5</f>
        <v>30120.06</v>
      </c>
      <c r="Q135" s="125">
        <f>Valores!$C$22</f>
        <v>26870.16</v>
      </c>
      <c r="R135" s="125">
        <f>IF($F$4="NO",Valores!$C$44,Valores!$C$44/2)</f>
        <v>20922.76</v>
      </c>
      <c r="S135" s="125">
        <f>Valores!$C$19</f>
        <v>28025.371999999996</v>
      </c>
      <c r="T135" s="125">
        <f t="shared" si="18"/>
        <v>28025.37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Valores!$C$95</f>
        <v>41242.8</v>
      </c>
      <c r="AA135" s="125">
        <f>Valores!$C$25</f>
        <v>1231.85</v>
      </c>
      <c r="AB135" s="214">
        <v>0</v>
      </c>
      <c r="AC135" s="125">
        <f t="shared" si="13"/>
        <v>0</v>
      </c>
      <c r="AD135" s="125">
        <f>Valores!$C$26</f>
        <v>1231.85</v>
      </c>
      <c r="AE135" s="192">
        <v>0</v>
      </c>
      <c r="AF135" s="125">
        <f>ROUND(AE135*Valores!$C$2,2)</f>
        <v>0</v>
      </c>
      <c r="AG135" s="125">
        <f>SUM(F135,H135,J135,L135,M135,N135,O135,P135,Q135,R135,T135,U135,V135,X135,Y135,Z135,AA135,AC135,AD135,AF135,AH135)*Valores!$C$69</f>
        <v>44367.642089999994</v>
      </c>
      <c r="AH135" s="125">
        <f>ROUND(IF($F$4="NO",Valores!$C$63,Valores!$C$63/2),2)</f>
        <v>14083.23</v>
      </c>
      <c r="AI135" s="125">
        <f t="shared" si="20"/>
        <v>388302.85208999994</v>
      </c>
      <c r="AJ135" s="125">
        <f>Valores!$C$31</f>
        <v>0</v>
      </c>
      <c r="AK135" s="125">
        <f>Valores!$C$88</f>
        <v>0</v>
      </c>
      <c r="AL135" s="125">
        <f>Valores!C$38*B135</f>
        <v>0</v>
      </c>
      <c r="AM135" s="125">
        <f>IF($F$3="NO",0,Valores!$C$56)</f>
        <v>0</v>
      </c>
      <c r="AN135" s="125">
        <f t="shared" si="15"/>
        <v>0</v>
      </c>
      <c r="AO135" s="125">
        <f>AI135*Valores!$C$71</f>
        <v>-42713.31372989999</v>
      </c>
      <c r="AP135" s="125">
        <f>AI135*Valores!$C$72</f>
        <v>-7766.057041799999</v>
      </c>
      <c r="AQ135" s="125">
        <f>AI135*-Valores!$C$73</f>
        <v>0</v>
      </c>
      <c r="AR135" s="125">
        <f>AI135*Valores!$C$74</f>
        <v>-21356.656864949997</v>
      </c>
      <c r="AS135" s="125">
        <f>Valores!$C$101</f>
        <v>-1270</v>
      </c>
      <c r="AT135" s="125">
        <f>IF($F$5=0,Valores!$C$102,(Valores!$C$102+$F$5*(Valores!$C$102)))</f>
        <v>-3700</v>
      </c>
      <c r="AU135" s="125">
        <f t="shared" si="17"/>
        <v>311496.8244533499</v>
      </c>
      <c r="AV135" s="125">
        <f t="shared" si="21"/>
        <v>-42713.31372989999</v>
      </c>
      <c r="AW135" s="125">
        <f t="shared" si="19"/>
        <v>-7766.057041799999</v>
      </c>
      <c r="AX135" s="125">
        <f>AI135*Valores!$C$75</f>
        <v>-10484.177006429998</v>
      </c>
      <c r="AY135" s="125">
        <f>AI135*Valores!$C$76</f>
        <v>-1164.90855627</v>
      </c>
      <c r="AZ135" s="125">
        <f t="shared" si="16"/>
        <v>326174.39575559995</v>
      </c>
      <c r="BA135" s="125">
        <f>AI135*Valores!$C$78</f>
        <v>62128.45633439999</v>
      </c>
      <c r="BB135" s="125">
        <f>AI135*Valores!$C$79</f>
        <v>27181.1996463</v>
      </c>
      <c r="BC135" s="125">
        <f>AI135*Valores!$C$80</f>
        <v>3883.0285208999994</v>
      </c>
      <c r="BD135" s="125">
        <f>AI135*Valores!$C$82</f>
        <v>13590.59982315</v>
      </c>
      <c r="BE135" s="125">
        <f>AI135*Valores!$C$84</f>
        <v>20968.354012859996</v>
      </c>
      <c r="BF135" s="125">
        <f>AI135*Valores!$C$83</f>
        <v>2329.81711254</v>
      </c>
      <c r="BG135" s="126"/>
      <c r="BH135" s="126"/>
      <c r="BI135" s="123" t="s">
        <v>4</v>
      </c>
    </row>
    <row r="136" spans="1:61" s="110" customFormat="1" ht="11.25" customHeight="1">
      <c r="A136" s="123" t="s">
        <v>361</v>
      </c>
      <c r="B136" s="123">
        <v>1</v>
      </c>
      <c r="C136" s="126">
        <v>129</v>
      </c>
      <c r="D136" s="124" t="s">
        <v>362</v>
      </c>
      <c r="E136" s="192">
        <v>1278</v>
      </c>
      <c r="F136" s="125">
        <f>ROUND(E136*Valores!$C$2,2)</f>
        <v>75300.14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31062.07</v>
      </c>
      <c r="N136" s="125">
        <f aca="true" t="shared" si="22" ref="N136:N199">ROUND(SUM(F136,H136,J136,L136,X136,R136)*$H$2,2)</f>
        <v>0</v>
      </c>
      <c r="O136" s="125">
        <f>Valores!$C$8</f>
        <v>73844.92</v>
      </c>
      <c r="P136" s="125">
        <f>Valores!$D$5</f>
        <v>30120.06</v>
      </c>
      <c r="Q136" s="125">
        <f>Valores!$C$22</f>
        <v>26870.16</v>
      </c>
      <c r="R136" s="125">
        <f>IF($F$4="NO",Valores!$C$44,Valores!$C$44/2)</f>
        <v>20922.76</v>
      </c>
      <c r="S136" s="125">
        <f>Valores!$C$19</f>
        <v>28025.371999999996</v>
      </c>
      <c r="T136" s="125">
        <f t="shared" si="18"/>
        <v>28025.37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Valores!$C$95</f>
        <v>41242.8</v>
      </c>
      <c r="AA136" s="125">
        <f>Valores!$C$25</f>
        <v>1231.85</v>
      </c>
      <c r="AB136" s="214">
        <v>0</v>
      </c>
      <c r="AC136" s="125">
        <f aca="true" t="shared" si="23" ref="AC136:AC199">ROUND(SUM(F136,H136,J136,X136,R136)*AB136,2)</f>
        <v>0</v>
      </c>
      <c r="AD136" s="125">
        <f>Valores!$C$26</f>
        <v>1231.85</v>
      </c>
      <c r="AE136" s="192">
        <v>0</v>
      </c>
      <c r="AF136" s="125">
        <f>ROUND(AE136*Valores!$C$2,2)</f>
        <v>0</v>
      </c>
      <c r="AG136" s="125">
        <f>SUM(F136,H136,J136,L136,M136,N136,O136,P136,Q136,R136,T136,U136,V136,X136,Y136,Z136,AA136,AC136,AD136,AF136,AH136)*Valores!$C$69</f>
        <v>44367.642089999994</v>
      </c>
      <c r="AH136" s="125">
        <f>ROUND(IF($F$4="NO",Valores!$C$63,Valores!$C$63/2),2)</f>
        <v>14083.23</v>
      </c>
      <c r="AI136" s="125">
        <f t="shared" si="20"/>
        <v>388302.85208999994</v>
      </c>
      <c r="AJ136" s="125">
        <f>Valores!$C$31</f>
        <v>0</v>
      </c>
      <c r="AK136" s="125">
        <f>Valores!$C$88</f>
        <v>0</v>
      </c>
      <c r="AL136" s="125">
        <f>Valores!C$38*B136</f>
        <v>0</v>
      </c>
      <c r="AM136" s="125">
        <f>IF($F$3="NO",0,Valores!$C$56)</f>
        <v>0</v>
      </c>
      <c r="AN136" s="125">
        <f aca="true" t="shared" si="24" ref="AN136:AN199">SUM(AJ136:AM136)</f>
        <v>0</v>
      </c>
      <c r="AO136" s="125">
        <f>AI136*Valores!$C$71</f>
        <v>-42713.31372989999</v>
      </c>
      <c r="AP136" s="125">
        <f>AI136*Valores!$C$72</f>
        <v>-7766.057041799999</v>
      </c>
      <c r="AQ136" s="125">
        <f>AI136*-Valores!$C$73</f>
        <v>0</v>
      </c>
      <c r="AR136" s="125">
        <f>AI136*Valores!$C$74</f>
        <v>-21356.656864949997</v>
      </c>
      <c r="AS136" s="125">
        <f>Valores!$C$101</f>
        <v>-1270</v>
      </c>
      <c r="AT136" s="125">
        <f>IF($F$5=0,Valores!$C$102,(Valores!$C$102+$F$5*(Valores!$C$102)))</f>
        <v>-3700</v>
      </c>
      <c r="AU136" s="125">
        <f t="shared" si="17"/>
        <v>311496.8244533499</v>
      </c>
      <c r="AV136" s="125">
        <f t="shared" si="21"/>
        <v>-42713.31372989999</v>
      </c>
      <c r="AW136" s="125">
        <f t="shared" si="19"/>
        <v>-7766.057041799999</v>
      </c>
      <c r="AX136" s="125">
        <f>AI136*Valores!$C$75</f>
        <v>-10484.177006429998</v>
      </c>
      <c r="AY136" s="125">
        <f>AI136*Valores!$C$76</f>
        <v>-1164.90855627</v>
      </c>
      <c r="AZ136" s="125">
        <f aca="true" t="shared" si="25" ref="AZ136:AZ199">AI136+AN136+SUM(AV136:AY136)</f>
        <v>326174.39575559995</v>
      </c>
      <c r="BA136" s="125">
        <f>AI136*Valores!$C$78</f>
        <v>62128.45633439999</v>
      </c>
      <c r="BB136" s="125">
        <f>AI136*Valores!$C$79</f>
        <v>27181.1996463</v>
      </c>
      <c r="BC136" s="125">
        <f>AI136*Valores!$C$80</f>
        <v>3883.0285208999994</v>
      </c>
      <c r="BD136" s="125">
        <f>AI136*Valores!$C$82</f>
        <v>13590.59982315</v>
      </c>
      <c r="BE136" s="125">
        <f>AI136*Valores!$C$84</f>
        <v>20968.354012859996</v>
      </c>
      <c r="BF136" s="125">
        <f>AI136*Valores!$C$83</f>
        <v>2329.81711254</v>
      </c>
      <c r="BG136" s="126"/>
      <c r="BH136" s="126"/>
      <c r="BI136" s="123" t="s">
        <v>4</v>
      </c>
    </row>
    <row r="137" spans="1:61" s="110" customFormat="1" ht="11.25" customHeight="1">
      <c r="A137" s="123" t="s">
        <v>363</v>
      </c>
      <c r="B137" s="123">
        <v>1</v>
      </c>
      <c r="C137" s="126">
        <v>130</v>
      </c>
      <c r="D137" s="124" t="s">
        <v>364</v>
      </c>
      <c r="E137" s="192">
        <v>1278</v>
      </c>
      <c r="F137" s="125">
        <f>ROUND(E137*Valores!$C$2,2)</f>
        <v>75300.14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31062.07</v>
      </c>
      <c r="N137" s="125">
        <f t="shared" si="22"/>
        <v>0</v>
      </c>
      <c r="O137" s="125">
        <f>Valores!$C$16</f>
        <v>50911.51</v>
      </c>
      <c r="P137" s="125">
        <f>Valores!$D$5</f>
        <v>30120.06</v>
      </c>
      <c r="Q137" s="125">
        <v>0</v>
      </c>
      <c r="R137" s="125">
        <f>IF($F$4="NO",Valores!$C$44,Valores!$C$44/2)</f>
        <v>20922.76</v>
      </c>
      <c r="S137" s="125">
        <f>Valores!$C$19</f>
        <v>28025.371999999996</v>
      </c>
      <c r="T137" s="125">
        <f t="shared" si="18"/>
        <v>28025.37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Valores!$C$95</f>
        <v>41242.8</v>
      </c>
      <c r="AA137" s="125">
        <f>Valores!$C$25</f>
        <v>1231.85</v>
      </c>
      <c r="AB137" s="214">
        <v>0</v>
      </c>
      <c r="AC137" s="125">
        <f t="shared" si="23"/>
        <v>0</v>
      </c>
      <c r="AD137" s="125">
        <f>Valores!$C$26</f>
        <v>1231.85</v>
      </c>
      <c r="AE137" s="192">
        <v>0</v>
      </c>
      <c r="AF137" s="125">
        <f>ROUND(AE137*Valores!$C$2,2)</f>
        <v>0</v>
      </c>
      <c r="AG137" s="125">
        <f>SUM(F137,H137,J137,L137,M137,N137,O137,P137,Q137,R137,T137,U137,V137,X137,Y137,Z137,AA137,AC137,AD137,AF137,AH137)*Valores!$C$69</f>
        <v>37942.98155999999</v>
      </c>
      <c r="AH137" s="125">
        <f>ROUND(IF($F$4="NO",Valores!$C$63,Valores!$C$63/2),2)</f>
        <v>14083.23</v>
      </c>
      <c r="AI137" s="125">
        <f t="shared" si="20"/>
        <v>332074.62155999994</v>
      </c>
      <c r="AJ137" s="125">
        <f>Valores!$C$31</f>
        <v>0</v>
      </c>
      <c r="AK137" s="125">
        <f>Valores!$C$88</f>
        <v>0</v>
      </c>
      <c r="AL137" s="125">
        <f>Valores!C$38*B137</f>
        <v>0</v>
      </c>
      <c r="AM137" s="125">
        <f>IF($F$3="NO",0,Valores!$C$56)</f>
        <v>0</v>
      </c>
      <c r="AN137" s="125">
        <f t="shared" si="24"/>
        <v>0</v>
      </c>
      <c r="AO137" s="125">
        <f>AI137*Valores!$C$71</f>
        <v>-36528.20837159999</v>
      </c>
      <c r="AP137" s="125">
        <f>AI137*Valores!$C$72</f>
        <v>-6641.492431199999</v>
      </c>
      <c r="AQ137" s="125">
        <f>AI137*-Valores!$C$73</f>
        <v>0</v>
      </c>
      <c r="AR137" s="125">
        <f>AI137*Valores!$C$74</f>
        <v>-18264.104185799995</v>
      </c>
      <c r="AS137" s="125">
        <f>Valores!$C$101</f>
        <v>-1270</v>
      </c>
      <c r="AT137" s="125">
        <f>IF($F$5=0,Valores!$C$102,(Valores!$C$102+$F$5*(Valores!$C$102)))</f>
        <v>-3700</v>
      </c>
      <c r="AU137" s="125">
        <f aca="true" t="shared" si="26" ref="AU137:AU200">AI137+SUM(AN137:AT137)</f>
        <v>265670.8165713999</v>
      </c>
      <c r="AV137" s="125">
        <f t="shared" si="21"/>
        <v>-36528.20837159999</v>
      </c>
      <c r="AW137" s="125">
        <f t="shared" si="19"/>
        <v>-6641.492431199999</v>
      </c>
      <c r="AX137" s="125">
        <f>AI137*Valores!$C$75</f>
        <v>-8966.014782119999</v>
      </c>
      <c r="AY137" s="125">
        <f>AI137*Valores!$C$76</f>
        <v>-996.2238646799998</v>
      </c>
      <c r="AZ137" s="125">
        <f t="shared" si="25"/>
        <v>278942.68211039994</v>
      </c>
      <c r="BA137" s="125">
        <f>AI137*Valores!$C$78</f>
        <v>53131.939449599995</v>
      </c>
      <c r="BB137" s="125">
        <f>AI137*Valores!$C$79</f>
        <v>23245.223509199997</v>
      </c>
      <c r="BC137" s="125">
        <f>AI137*Valores!$C$80</f>
        <v>3320.7462155999997</v>
      </c>
      <c r="BD137" s="125">
        <f>AI137*Valores!$C$82</f>
        <v>11622.611754599999</v>
      </c>
      <c r="BE137" s="125">
        <f>AI137*Valores!$C$84</f>
        <v>17932.029564239998</v>
      </c>
      <c r="BF137" s="125">
        <f>AI137*Valores!$C$83</f>
        <v>1992.4477293599996</v>
      </c>
      <c r="BG137" s="126">
        <v>12</v>
      </c>
      <c r="BH137" s="126">
        <v>15</v>
      </c>
      <c r="BI137" s="123" t="s">
        <v>8</v>
      </c>
    </row>
    <row r="138" spans="1:61" s="110" customFormat="1" ht="11.25" customHeight="1">
      <c r="A138" s="123" t="s">
        <v>365</v>
      </c>
      <c r="B138" s="123">
        <v>1</v>
      </c>
      <c r="C138" s="126">
        <v>131</v>
      </c>
      <c r="D138" s="124" t="s">
        <v>366</v>
      </c>
      <c r="E138" s="192">
        <v>616</v>
      </c>
      <c r="F138" s="125">
        <f>ROUND(E138*Valores!$C$2,2)</f>
        <v>36294.9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21310.76</v>
      </c>
      <c r="N138" s="125">
        <f t="shared" si="22"/>
        <v>0</v>
      </c>
      <c r="O138" s="125">
        <f>Valores!$C$8</f>
        <v>73844.92</v>
      </c>
      <c r="P138" s="125">
        <f>Valores!$D$5</f>
        <v>30120.06</v>
      </c>
      <c r="Q138" s="125">
        <f>Valores!$C$22</f>
        <v>26870.16</v>
      </c>
      <c r="R138" s="125">
        <f>IF($F$4="NO",Valores!$C$44,Valores!$C$44/2)</f>
        <v>20922.76</v>
      </c>
      <c r="S138" s="125">
        <f>Valores!$C$19</f>
        <v>28025.371999999996</v>
      </c>
      <c r="T138" s="125">
        <f t="shared" si="18"/>
        <v>28025.37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Valores!$C$95</f>
        <v>41242.8</v>
      </c>
      <c r="AA138" s="125">
        <f>Valores!$C$25</f>
        <v>1231.85</v>
      </c>
      <c r="AB138" s="214">
        <v>0</v>
      </c>
      <c r="AC138" s="125">
        <f t="shared" si="23"/>
        <v>0</v>
      </c>
      <c r="AD138" s="125">
        <f>Valores!$C$26</f>
        <v>1231.85</v>
      </c>
      <c r="AE138" s="192">
        <v>0</v>
      </c>
      <c r="AF138" s="125">
        <f>ROUND(AE138*Valores!$C$2,2)</f>
        <v>0</v>
      </c>
      <c r="AG138" s="125">
        <f>SUM(F138,H138,J138,L138,M138,N138,O138,P138,Q138,R138,T138,U138,V138,X138,Y138,Z138,AA138,AC138,AD138,AF138,AH138)*Valores!$C$69</f>
        <v>38078.047139999995</v>
      </c>
      <c r="AH138" s="125">
        <f>ROUND(IF($F$4="NO",Valores!$C$63,Valores!$C$63/2),2)</f>
        <v>14083.23</v>
      </c>
      <c r="AI138" s="125">
        <f t="shared" si="20"/>
        <v>333256.70713999995</v>
      </c>
      <c r="AJ138" s="125">
        <f>Valores!$C$31</f>
        <v>0</v>
      </c>
      <c r="AK138" s="125">
        <f>Valores!$C$88</f>
        <v>0</v>
      </c>
      <c r="AL138" s="125">
        <f>Valores!C$38*B138</f>
        <v>0</v>
      </c>
      <c r="AM138" s="125">
        <f>IF($F$3="NO",0,Valores!$C$56)</f>
        <v>0</v>
      </c>
      <c r="AN138" s="125">
        <f t="shared" si="24"/>
        <v>0</v>
      </c>
      <c r="AO138" s="125">
        <f>AI138*Valores!$C$71</f>
        <v>-36658.23778539999</v>
      </c>
      <c r="AP138" s="125">
        <f>AI138*Valores!$C$72</f>
        <v>-6665.1341428</v>
      </c>
      <c r="AQ138" s="125">
        <f>AI138*-Valores!$C$73</f>
        <v>0</v>
      </c>
      <c r="AR138" s="125">
        <f>AI138*Valores!$C$74</f>
        <v>-18329.118892699997</v>
      </c>
      <c r="AS138" s="125">
        <f>Valores!$C$101</f>
        <v>-1270</v>
      </c>
      <c r="AT138" s="125">
        <f>IF($F$5=0,Valores!$C$102,(Valores!$C$102+$F$5*(Valores!$C$102)))</f>
        <v>-3700</v>
      </c>
      <c r="AU138" s="125">
        <f t="shared" si="26"/>
        <v>266634.2163191</v>
      </c>
      <c r="AV138" s="125">
        <f t="shared" si="21"/>
        <v>-36658.23778539999</v>
      </c>
      <c r="AW138" s="125">
        <f t="shared" si="19"/>
        <v>-6665.1341428</v>
      </c>
      <c r="AX138" s="125">
        <f>AI138*Valores!$C$75</f>
        <v>-8997.931092779998</v>
      </c>
      <c r="AY138" s="125">
        <f>AI138*Valores!$C$76</f>
        <v>-999.7701214199999</v>
      </c>
      <c r="AZ138" s="125">
        <f t="shared" si="25"/>
        <v>279935.63399759994</v>
      </c>
      <c r="BA138" s="125">
        <f>AI138*Valores!$C$78</f>
        <v>53321.0731424</v>
      </c>
      <c r="BB138" s="125">
        <f>AI138*Valores!$C$79</f>
        <v>23327.969499799998</v>
      </c>
      <c r="BC138" s="125">
        <f>AI138*Valores!$C$80</f>
        <v>3332.5670714</v>
      </c>
      <c r="BD138" s="125">
        <f>AI138*Valores!$C$82</f>
        <v>11663.984749899999</v>
      </c>
      <c r="BE138" s="125">
        <f>AI138*Valores!$C$84</f>
        <v>17995.862185559996</v>
      </c>
      <c r="BF138" s="125">
        <f>AI138*Valores!$C$83</f>
        <v>1999.5402428399998</v>
      </c>
      <c r="BG138" s="126">
        <v>6</v>
      </c>
      <c r="BH138" s="126"/>
      <c r="BI138" s="123" t="s">
        <v>4</v>
      </c>
    </row>
    <row r="139" spans="1:61" s="110" customFormat="1" ht="11.25" customHeight="1">
      <c r="A139" s="123" t="s">
        <v>367</v>
      </c>
      <c r="B139" s="123">
        <v>1</v>
      </c>
      <c r="C139" s="126">
        <v>132</v>
      </c>
      <c r="D139" s="124" t="s">
        <v>368</v>
      </c>
      <c r="E139" s="192">
        <v>1278</v>
      </c>
      <c r="F139" s="125">
        <f>ROUND(E139*Valores!$C$2,2)</f>
        <v>75300.14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30990.44</v>
      </c>
      <c r="N139" s="125">
        <f t="shared" si="22"/>
        <v>0</v>
      </c>
      <c r="O139" s="125">
        <f>Valores!$C$16</f>
        <v>50911.51</v>
      </c>
      <c r="P139" s="125">
        <f>Valores!$D$5</f>
        <v>30120.06</v>
      </c>
      <c r="Q139" s="125">
        <v>0</v>
      </c>
      <c r="R139" s="125">
        <f>IF($F$4="NO",Valores!$C$44,Valores!$C$44/2)</f>
        <v>20922.76</v>
      </c>
      <c r="S139" s="125">
        <f>Valores!$C$20</f>
        <v>27738.840000000004</v>
      </c>
      <c r="T139" s="125">
        <f aca="true" t="shared" si="27" ref="T139:T202">ROUND(S139*(1+$H$2),2)</f>
        <v>27738.84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Valores!$C$95</f>
        <v>41242.8</v>
      </c>
      <c r="AA139" s="125">
        <f>Valores!$C$25</f>
        <v>1231.85</v>
      </c>
      <c r="AB139" s="214">
        <v>0</v>
      </c>
      <c r="AC139" s="125">
        <f t="shared" si="23"/>
        <v>0</v>
      </c>
      <c r="AD139" s="125">
        <f>Valores!$C$26</f>
        <v>1231.85</v>
      </c>
      <c r="AE139" s="192">
        <v>0</v>
      </c>
      <c r="AF139" s="125">
        <f>ROUND(AE139*Valores!$C$2,2)</f>
        <v>0</v>
      </c>
      <c r="AG139" s="125">
        <f>SUM(F139,H139,J139,L139,M139,N139,O139,P139,Q139,R139,T139,U139,V139,X139,Y139,Z139,AA139,AC139,AD139,AF139,AH139)*Valores!$C$69</f>
        <v>37896.77891999999</v>
      </c>
      <c r="AH139" s="125">
        <f>ROUND(IF($F$4="NO",Valores!$C$63,Valores!$C$63/2),2)</f>
        <v>14083.23</v>
      </c>
      <c r="AI139" s="125">
        <f t="shared" si="20"/>
        <v>331670.25891999993</v>
      </c>
      <c r="AJ139" s="125">
        <f>Valores!$C$31</f>
        <v>0</v>
      </c>
      <c r="AK139" s="125">
        <f>Valores!$C$88</f>
        <v>0</v>
      </c>
      <c r="AL139" s="125">
        <f>Valores!C$38*B139</f>
        <v>0</v>
      </c>
      <c r="AM139" s="125">
        <f>(IF($F$3="NO",0,Valores!$C$58))</f>
        <v>0</v>
      </c>
      <c r="AN139" s="125">
        <f t="shared" si="24"/>
        <v>0</v>
      </c>
      <c r="AO139" s="125">
        <f>AI139*Valores!$C$71</f>
        <v>-36483.72848119999</v>
      </c>
      <c r="AP139" s="125">
        <f>AI139*Valores!$C$72</f>
        <v>-6633.4051783999985</v>
      </c>
      <c r="AQ139" s="125">
        <f>AI139*-Valores!$C$73</f>
        <v>0</v>
      </c>
      <c r="AR139" s="125">
        <f>AI139*Valores!$C$74</f>
        <v>-18241.864240599996</v>
      </c>
      <c r="AS139" s="125">
        <f>Valores!$C$101</f>
        <v>-1270</v>
      </c>
      <c r="AT139" s="125">
        <f>IF($F$5=0,Valores!$C$102,(Valores!$C$102+$F$5*(Valores!$C$102)))</f>
        <v>-3700</v>
      </c>
      <c r="AU139" s="125">
        <f t="shared" si="26"/>
        <v>265341.2610198</v>
      </c>
      <c r="AV139" s="125">
        <f t="shared" si="21"/>
        <v>-36483.72848119999</v>
      </c>
      <c r="AW139" s="125">
        <f t="shared" si="19"/>
        <v>-6633.4051783999985</v>
      </c>
      <c r="AX139" s="125">
        <f>AI139*Valores!$C$75</f>
        <v>-8955.096990839998</v>
      </c>
      <c r="AY139" s="125">
        <f>AI139*Valores!$C$76</f>
        <v>-995.0107767599998</v>
      </c>
      <c r="AZ139" s="125">
        <f t="shared" si="25"/>
        <v>278603.01749279996</v>
      </c>
      <c r="BA139" s="125">
        <f>AI139*Valores!$C$78</f>
        <v>53067.24142719999</v>
      </c>
      <c r="BB139" s="125">
        <f>AI139*Valores!$C$79</f>
        <v>23216.9181244</v>
      </c>
      <c r="BC139" s="125">
        <f>AI139*Valores!$C$80</f>
        <v>3316.7025891999992</v>
      </c>
      <c r="BD139" s="125">
        <f>AI139*Valores!$C$82</f>
        <v>11608.4590622</v>
      </c>
      <c r="BE139" s="125">
        <f>AI139*Valores!$C$84</f>
        <v>17910.193981679997</v>
      </c>
      <c r="BF139" s="125">
        <f>AI139*Valores!$C$83</f>
        <v>1990.0215535199995</v>
      </c>
      <c r="BG139" s="126">
        <v>12</v>
      </c>
      <c r="BH139" s="126">
        <v>15</v>
      </c>
      <c r="BI139" s="123" t="s">
        <v>4</v>
      </c>
    </row>
    <row r="140" spans="1:61" s="110" customFormat="1" ht="11.25" customHeight="1">
      <c r="A140" s="123" t="s">
        <v>369</v>
      </c>
      <c r="B140" s="123">
        <v>1</v>
      </c>
      <c r="C140" s="126">
        <v>133</v>
      </c>
      <c r="D140" s="124" t="s">
        <v>370</v>
      </c>
      <c r="E140" s="192">
        <v>1983</v>
      </c>
      <c r="F140" s="125">
        <f>ROUND(E140*Valores!$C$2,2)</f>
        <v>116838.95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41446.77</v>
      </c>
      <c r="N140" s="125">
        <f t="shared" si="22"/>
        <v>0</v>
      </c>
      <c r="O140" s="125">
        <f>Valores!$C$8</f>
        <v>73844.92</v>
      </c>
      <c r="P140" s="125">
        <f>Valores!$D$5</f>
        <v>30120.06</v>
      </c>
      <c r="Q140" s="125">
        <f>Valores!$C$22</f>
        <v>26870.16</v>
      </c>
      <c r="R140" s="125">
        <f>IF($F$4="NO",Valores!$C$44,Valores!$C$44/2)</f>
        <v>20922.76</v>
      </c>
      <c r="S140" s="125">
        <f>Valores!$C$19</f>
        <v>28025.371999999996</v>
      </c>
      <c r="T140" s="125">
        <f t="shared" si="27"/>
        <v>28025.37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Valores!$C$95</f>
        <v>41242.8</v>
      </c>
      <c r="AA140" s="125">
        <f>Valores!$C$25</f>
        <v>1231.85</v>
      </c>
      <c r="AB140" s="214">
        <v>0</v>
      </c>
      <c r="AC140" s="125">
        <f t="shared" si="23"/>
        <v>0</v>
      </c>
      <c r="AD140" s="125">
        <f>Valores!$C$26</f>
        <v>1231.85</v>
      </c>
      <c r="AE140" s="192">
        <v>94</v>
      </c>
      <c r="AF140" s="125">
        <f>ROUND(AE140*Valores!$C$2,2)</f>
        <v>5538.51</v>
      </c>
      <c r="AG140" s="125">
        <f>SUM(F140,H140,J140,L140,M140,N140,O140,P140,Q140,R140,T140,U140,V140,X140,Y140,Z140,AA140,AC140,AD140,AF140,AH140)*Valores!$C$69</f>
        <v>51780.24266999999</v>
      </c>
      <c r="AH140" s="125">
        <f>ROUND(IF($F$4="NO",Valores!$C$63,Valores!$C$63/2),2)</f>
        <v>14083.23</v>
      </c>
      <c r="AI140" s="125">
        <f t="shared" si="20"/>
        <v>453177.47266999993</v>
      </c>
      <c r="AJ140" s="125">
        <f>Valores!$C$31</f>
        <v>0</v>
      </c>
      <c r="AK140" s="125">
        <f>Valores!$C$88</f>
        <v>0</v>
      </c>
      <c r="AL140" s="125">
        <f>Valores!C$38*B140</f>
        <v>0</v>
      </c>
      <c r="AM140" s="125">
        <f>IF($F$3="NO",0,Valores!$C$56)</f>
        <v>0</v>
      </c>
      <c r="AN140" s="125">
        <f t="shared" si="24"/>
        <v>0</v>
      </c>
      <c r="AO140" s="125">
        <f>AI140*Valores!$C$71</f>
        <v>-49849.52199369999</v>
      </c>
      <c r="AP140" s="125">
        <f>AI140*Valores!$C$72</f>
        <v>-9063.549453399999</v>
      </c>
      <c r="AQ140" s="125">
        <f>AI140*-Valores!$C$73</f>
        <v>0</v>
      </c>
      <c r="AR140" s="125">
        <f>AI140*Valores!$C$74</f>
        <v>-24924.760996849996</v>
      </c>
      <c r="AS140" s="125">
        <f>Valores!$C$101</f>
        <v>-1270</v>
      </c>
      <c r="AT140" s="125">
        <f>IF($F$5=0,Valores!$C$102,(Valores!$C$102+$F$5*(Valores!$C$102)))</f>
        <v>-3700</v>
      </c>
      <c r="AU140" s="125">
        <f t="shared" si="26"/>
        <v>364369.64022604993</v>
      </c>
      <c r="AV140" s="125">
        <f t="shared" si="21"/>
        <v>-49849.52199369999</v>
      </c>
      <c r="AW140" s="125">
        <f aca="true" t="shared" si="28" ref="AW140:AW203">AP140</f>
        <v>-9063.549453399999</v>
      </c>
      <c r="AX140" s="125">
        <f>AI140*Valores!$C$75</f>
        <v>-12235.791762089997</v>
      </c>
      <c r="AY140" s="125">
        <f>AI140*Valores!$C$76</f>
        <v>-1359.53241801</v>
      </c>
      <c r="AZ140" s="125">
        <f t="shared" si="25"/>
        <v>380669.0770427999</v>
      </c>
      <c r="BA140" s="125">
        <f>AI140*Valores!$C$78</f>
        <v>72508.39562719999</v>
      </c>
      <c r="BB140" s="125">
        <f>AI140*Valores!$C$79</f>
        <v>31722.4230869</v>
      </c>
      <c r="BC140" s="125">
        <f>AI140*Valores!$C$80</f>
        <v>4531.7747266999995</v>
      </c>
      <c r="BD140" s="125">
        <f>AI140*Valores!$C$82</f>
        <v>15861.21154345</v>
      </c>
      <c r="BE140" s="125">
        <f>AI140*Valores!$C$84</f>
        <v>24471.583524179994</v>
      </c>
      <c r="BF140" s="125">
        <f>AI140*Valores!$C$83</f>
        <v>2719.06483602</v>
      </c>
      <c r="BG140" s="126"/>
      <c r="BH140" s="126"/>
      <c r="BI140" s="123" t="s">
        <v>8</v>
      </c>
    </row>
    <row r="141" spans="1:61" s="110" customFormat="1" ht="11.25" customHeight="1">
      <c r="A141" s="123" t="s">
        <v>371</v>
      </c>
      <c r="B141" s="123">
        <v>1</v>
      </c>
      <c r="C141" s="126">
        <v>134</v>
      </c>
      <c r="D141" s="124" t="s">
        <v>372</v>
      </c>
      <c r="E141" s="192">
        <v>1378</v>
      </c>
      <c r="F141" s="125">
        <f>ROUND(E141*Valores!$C$2,2)</f>
        <v>81192.17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32463.44</v>
      </c>
      <c r="N141" s="125">
        <f t="shared" si="22"/>
        <v>0</v>
      </c>
      <c r="O141" s="125">
        <f>Valores!$C$16</f>
        <v>50911.51</v>
      </c>
      <c r="P141" s="125">
        <f>Valores!$D$5</f>
        <v>30120.06</v>
      </c>
      <c r="Q141" s="125">
        <f>Valores!$C$22</f>
        <v>26870.16</v>
      </c>
      <c r="R141" s="125">
        <f>IF($F$4="NO",Valores!$C$44,Valores!$C$44/2)</f>
        <v>20922.76</v>
      </c>
      <c r="S141" s="125">
        <f>Valores!$C$20</f>
        <v>27738.840000000004</v>
      </c>
      <c r="T141" s="125">
        <f t="shared" si="27"/>
        <v>27738.84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Valores!$C$95</f>
        <v>41242.8</v>
      </c>
      <c r="AA141" s="125">
        <f>Valores!$C$25</f>
        <v>1231.85</v>
      </c>
      <c r="AB141" s="214">
        <v>0</v>
      </c>
      <c r="AC141" s="125">
        <f t="shared" si="23"/>
        <v>0</v>
      </c>
      <c r="AD141" s="125">
        <f>Valores!$C$26</f>
        <v>1231.85</v>
      </c>
      <c r="AE141" s="192">
        <v>0</v>
      </c>
      <c r="AF141" s="125">
        <f>ROUND(AE141*Valores!$C$2,2)</f>
        <v>0</v>
      </c>
      <c r="AG141" s="125">
        <f>SUM(F141,H141,J141,L141,M141,N141,O141,P141,Q141,R141,T141,U141,V141,X141,Y141,Z141,AA141,AC141,AD141,AF141,AH141)*Valores!$C$69</f>
        <v>42313.118429999995</v>
      </c>
      <c r="AH141" s="125">
        <f>ROUND(IF($F$4="NO",Valores!$C$63,Valores!$C$63/2),2)</f>
        <v>14083.23</v>
      </c>
      <c r="AI141" s="125">
        <f t="shared" si="20"/>
        <v>370321.7884299999</v>
      </c>
      <c r="AJ141" s="125">
        <f>Valores!$C$31</f>
        <v>0</v>
      </c>
      <c r="AK141" s="125">
        <f>Valores!$C$88</f>
        <v>0</v>
      </c>
      <c r="AL141" s="125">
        <f>Valores!C$38*B141</f>
        <v>0</v>
      </c>
      <c r="AM141" s="125">
        <f>IF($F$3="NO",0,Valores!$C$56)</f>
        <v>0</v>
      </c>
      <c r="AN141" s="125">
        <f t="shared" si="24"/>
        <v>0</v>
      </c>
      <c r="AO141" s="125">
        <f>AI141*Valores!$C$71</f>
        <v>-40735.39672729999</v>
      </c>
      <c r="AP141" s="125">
        <f>AI141*Valores!$C$72</f>
        <v>-7406.4357685999985</v>
      </c>
      <c r="AQ141" s="125">
        <f>AI141*-Valores!$C$73</f>
        <v>0</v>
      </c>
      <c r="AR141" s="125">
        <f>AI141*Valores!$C$74</f>
        <v>-20367.698363649994</v>
      </c>
      <c r="AS141" s="125">
        <f>Valores!$C$101</f>
        <v>-1270</v>
      </c>
      <c r="AT141" s="125">
        <f>IF($F$5=0,Valores!$C$102,(Valores!$C$102+$F$5*(Valores!$C$102)))</f>
        <v>-3700</v>
      </c>
      <c r="AU141" s="125">
        <f t="shared" si="26"/>
        <v>296842.2575704499</v>
      </c>
      <c r="AV141" s="125">
        <f t="shared" si="21"/>
        <v>-40735.39672729999</v>
      </c>
      <c r="AW141" s="125">
        <f t="shared" si="28"/>
        <v>-7406.4357685999985</v>
      </c>
      <c r="AX141" s="125">
        <f>AI141*Valores!$C$75</f>
        <v>-9998.688287609997</v>
      </c>
      <c r="AY141" s="125">
        <f>AI141*Valores!$C$76</f>
        <v>-1110.9653652899997</v>
      </c>
      <c r="AZ141" s="125">
        <f t="shared" si="25"/>
        <v>311070.3022811999</v>
      </c>
      <c r="BA141" s="125">
        <f>AI141*Valores!$C$78</f>
        <v>59251.48614879999</v>
      </c>
      <c r="BB141" s="125">
        <f>AI141*Valores!$C$79</f>
        <v>25922.525190099994</v>
      </c>
      <c r="BC141" s="125">
        <f>AI141*Valores!$C$80</f>
        <v>3703.2178842999992</v>
      </c>
      <c r="BD141" s="125">
        <f>AI141*Valores!$C$82</f>
        <v>12961.262595049997</v>
      </c>
      <c r="BE141" s="125">
        <f>AI141*Valores!$C$84</f>
        <v>19997.376575219994</v>
      </c>
      <c r="BF141" s="125">
        <f>AI141*Valores!$C$83</f>
        <v>2221.9307305799994</v>
      </c>
      <c r="BG141" s="126"/>
      <c r="BH141" s="126">
        <v>22</v>
      </c>
      <c r="BI141" s="123" t="s">
        <v>4</v>
      </c>
    </row>
    <row r="142" spans="1:61" s="110" customFormat="1" ht="11.25" customHeight="1">
      <c r="A142" s="123" t="s">
        <v>373</v>
      </c>
      <c r="B142" s="123">
        <v>1</v>
      </c>
      <c r="C142" s="126">
        <v>135</v>
      </c>
      <c r="D142" s="124" t="s">
        <v>374</v>
      </c>
      <c r="E142" s="192">
        <v>1278</v>
      </c>
      <c r="F142" s="125">
        <f>ROUND(E142*Valores!$C$2,2)</f>
        <v>75300.14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31062.07</v>
      </c>
      <c r="N142" s="125">
        <f t="shared" si="22"/>
        <v>0</v>
      </c>
      <c r="O142" s="125">
        <f>Valores!$C$16</f>
        <v>50911.51</v>
      </c>
      <c r="P142" s="125">
        <f>Valores!$D$5</f>
        <v>30120.06</v>
      </c>
      <c r="Q142" s="125">
        <f>Valores!$C$22</f>
        <v>26870.16</v>
      </c>
      <c r="R142" s="125">
        <f>IF($F$4="NO",Valores!$C$44,Valores!$C$44/2)</f>
        <v>20922.76</v>
      </c>
      <c r="S142" s="125">
        <f>Valores!$C$19</f>
        <v>28025.371999999996</v>
      </c>
      <c r="T142" s="125">
        <f t="shared" si="27"/>
        <v>28025.37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Valores!$C$95</f>
        <v>41242.8</v>
      </c>
      <c r="AA142" s="125">
        <f>Valores!$C$25</f>
        <v>1231.85</v>
      </c>
      <c r="AB142" s="214">
        <v>0</v>
      </c>
      <c r="AC142" s="125">
        <f t="shared" si="23"/>
        <v>0</v>
      </c>
      <c r="AD142" s="125">
        <f>Valores!$C$26</f>
        <v>1231.85</v>
      </c>
      <c r="AE142" s="192">
        <v>0</v>
      </c>
      <c r="AF142" s="125">
        <f>ROUND(AE142*Valores!$C$2,2)</f>
        <v>0</v>
      </c>
      <c r="AG142" s="125">
        <f>SUM(F142,H142,J142,L142,M142,N142,O142,P142,Q142,R142,T142,U142,V142,X142,Y142,Z142,AA142,AC142,AD142,AF142,AH142)*Valores!$C$69</f>
        <v>41409.23219999999</v>
      </c>
      <c r="AH142" s="125">
        <f>ROUND(IF($F$4="NO",Valores!$C$63,Valores!$C$63/2),2)</f>
        <v>14083.23</v>
      </c>
      <c r="AI142" s="125">
        <f t="shared" si="20"/>
        <v>362411.0321999999</v>
      </c>
      <c r="AJ142" s="125">
        <f>Valores!$C$31</f>
        <v>0</v>
      </c>
      <c r="AK142" s="125">
        <f>Valores!$C$88</f>
        <v>0</v>
      </c>
      <c r="AL142" s="125">
        <f>Valores!C$38*B142</f>
        <v>0</v>
      </c>
      <c r="AM142" s="125">
        <f>IF($F$3="NO",0,Valores!$C$56)</f>
        <v>0</v>
      </c>
      <c r="AN142" s="125">
        <f t="shared" si="24"/>
        <v>0</v>
      </c>
      <c r="AO142" s="125">
        <f>AI142*Valores!$C$71</f>
        <v>-39865.21354199999</v>
      </c>
      <c r="AP142" s="125">
        <f>AI142*Valores!$C$72</f>
        <v>-7248.220643999998</v>
      </c>
      <c r="AQ142" s="125">
        <f>AI142*-Valores!$C$73</f>
        <v>0</v>
      </c>
      <c r="AR142" s="125">
        <f>AI142*Valores!$C$74</f>
        <v>-19932.606770999995</v>
      </c>
      <c r="AS142" s="125">
        <f>Valores!$C$101</f>
        <v>-1270</v>
      </c>
      <c r="AT142" s="125">
        <f>IF($F$5=0,Valores!$C$102,(Valores!$C$102+$F$5*(Valores!$C$102)))</f>
        <v>-3700</v>
      </c>
      <c r="AU142" s="125">
        <f t="shared" si="26"/>
        <v>290394.9912429999</v>
      </c>
      <c r="AV142" s="125">
        <f t="shared" si="21"/>
        <v>-39865.21354199999</v>
      </c>
      <c r="AW142" s="125">
        <f t="shared" si="28"/>
        <v>-7248.220643999998</v>
      </c>
      <c r="AX142" s="125">
        <f>AI142*Valores!$C$75</f>
        <v>-9785.097869399997</v>
      </c>
      <c r="AY142" s="125">
        <f>AI142*Valores!$C$76</f>
        <v>-1087.2330965999997</v>
      </c>
      <c r="AZ142" s="125">
        <f t="shared" si="25"/>
        <v>304425.2670479999</v>
      </c>
      <c r="BA142" s="125">
        <f>AI142*Valores!$C$78</f>
        <v>57985.765151999985</v>
      </c>
      <c r="BB142" s="125">
        <f>AI142*Valores!$C$79</f>
        <v>25368.772253999996</v>
      </c>
      <c r="BC142" s="125">
        <f>AI142*Valores!$C$80</f>
        <v>3624.110321999999</v>
      </c>
      <c r="BD142" s="125">
        <f>AI142*Valores!$C$82</f>
        <v>12684.386126999998</v>
      </c>
      <c r="BE142" s="125">
        <f>AI142*Valores!$C$84</f>
        <v>19570.195738799994</v>
      </c>
      <c r="BF142" s="125">
        <f>AI142*Valores!$C$83</f>
        <v>2174.4661931999995</v>
      </c>
      <c r="BG142" s="126"/>
      <c r="BH142" s="126">
        <v>22</v>
      </c>
      <c r="BI142" s="123" t="s">
        <v>4</v>
      </c>
    </row>
    <row r="143" spans="1:61" s="110" customFormat="1" ht="11.25" customHeight="1">
      <c r="A143" s="123" t="s">
        <v>375</v>
      </c>
      <c r="B143" s="123">
        <v>1</v>
      </c>
      <c r="C143" s="126">
        <v>136</v>
      </c>
      <c r="D143" s="124" t="s">
        <v>376</v>
      </c>
      <c r="E143" s="192">
        <v>1278</v>
      </c>
      <c r="F143" s="125">
        <f>ROUND(E143*Valores!$C$2,2)</f>
        <v>75300.14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31062.07</v>
      </c>
      <c r="N143" s="125">
        <f t="shared" si="22"/>
        <v>0</v>
      </c>
      <c r="O143" s="125">
        <f>Valores!$C$16</f>
        <v>50911.51</v>
      </c>
      <c r="P143" s="125">
        <f>Valores!$D$5</f>
        <v>30120.06</v>
      </c>
      <c r="Q143" s="125">
        <f>Valores!$C$22</f>
        <v>26870.16</v>
      </c>
      <c r="R143" s="125">
        <f>IF($F$4="NO",Valores!$C$44,Valores!$C$44/2)</f>
        <v>20922.76</v>
      </c>
      <c r="S143" s="125">
        <f>Valores!$C$19</f>
        <v>28025.371999999996</v>
      </c>
      <c r="T143" s="125">
        <f t="shared" si="27"/>
        <v>28025.37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Valores!$C$95</f>
        <v>41242.8</v>
      </c>
      <c r="AA143" s="125">
        <f>Valores!$C$25</f>
        <v>1231.85</v>
      </c>
      <c r="AB143" s="214">
        <v>0</v>
      </c>
      <c r="AC143" s="125">
        <f t="shared" si="23"/>
        <v>0</v>
      </c>
      <c r="AD143" s="125">
        <f>Valores!$C$26</f>
        <v>1231.85</v>
      </c>
      <c r="AE143" s="192">
        <v>0</v>
      </c>
      <c r="AF143" s="125">
        <f>ROUND(AE143*Valores!$C$2,2)</f>
        <v>0</v>
      </c>
      <c r="AG143" s="125">
        <f>SUM(F143,H143,J143,L143,M143,N143,O143,P143,Q143,R143,T143,U143,V143,X143,Y143,Z143,AA143,AC143,AD143,AF143,AH143)*Valores!$C$69</f>
        <v>41409.23219999999</v>
      </c>
      <c r="AH143" s="125">
        <f>ROUND(IF($F$4="NO",Valores!$C$63,Valores!$C$63/2),2)</f>
        <v>14083.23</v>
      </c>
      <c r="AI143" s="125">
        <f t="shared" si="20"/>
        <v>362411.0321999999</v>
      </c>
      <c r="AJ143" s="125">
        <f>Valores!$C$31</f>
        <v>0</v>
      </c>
      <c r="AK143" s="125">
        <f>Valores!$C$88</f>
        <v>0</v>
      </c>
      <c r="AL143" s="125">
        <f>Valores!C$38*B143</f>
        <v>0</v>
      </c>
      <c r="AM143" s="125">
        <f>IF($F$3="NO",0,Valores!$C$56)</f>
        <v>0</v>
      </c>
      <c r="AN143" s="125">
        <f t="shared" si="24"/>
        <v>0</v>
      </c>
      <c r="AO143" s="125">
        <f>AI143*Valores!$C$71</f>
        <v>-39865.21354199999</v>
      </c>
      <c r="AP143" s="125">
        <f>AI143*Valores!$C$72</f>
        <v>-7248.220643999998</v>
      </c>
      <c r="AQ143" s="125">
        <f>AI143*-Valores!$C$73</f>
        <v>0</v>
      </c>
      <c r="AR143" s="125">
        <f>AI143*Valores!$C$74</f>
        <v>-19932.606770999995</v>
      </c>
      <c r="AS143" s="125">
        <f>Valores!$C$101</f>
        <v>-1270</v>
      </c>
      <c r="AT143" s="125">
        <f>IF($F$5=0,Valores!$C$102,(Valores!$C$102+$F$5*(Valores!$C$102)))</f>
        <v>-3700</v>
      </c>
      <c r="AU143" s="125">
        <f t="shared" si="26"/>
        <v>290394.9912429999</v>
      </c>
      <c r="AV143" s="125">
        <f t="shared" si="21"/>
        <v>-39865.21354199999</v>
      </c>
      <c r="AW143" s="125">
        <f t="shared" si="28"/>
        <v>-7248.220643999998</v>
      </c>
      <c r="AX143" s="125">
        <f>AI143*Valores!$C$75</f>
        <v>-9785.097869399997</v>
      </c>
      <c r="AY143" s="125">
        <f>AI143*Valores!$C$76</f>
        <v>-1087.2330965999997</v>
      </c>
      <c r="AZ143" s="125">
        <f t="shared" si="25"/>
        <v>304425.2670479999</v>
      </c>
      <c r="BA143" s="125">
        <f>AI143*Valores!$C$78</f>
        <v>57985.765151999985</v>
      </c>
      <c r="BB143" s="125">
        <f>AI143*Valores!$C$79</f>
        <v>25368.772253999996</v>
      </c>
      <c r="BC143" s="125">
        <f>AI143*Valores!$C$80</f>
        <v>3624.110321999999</v>
      </c>
      <c r="BD143" s="125">
        <f>AI143*Valores!$C$82</f>
        <v>12684.386126999998</v>
      </c>
      <c r="BE143" s="125">
        <f>AI143*Valores!$C$84</f>
        <v>19570.195738799994</v>
      </c>
      <c r="BF143" s="125">
        <f>AI143*Valores!$C$83</f>
        <v>2174.4661931999995</v>
      </c>
      <c r="BG143" s="126"/>
      <c r="BH143" s="126"/>
      <c r="BI143" s="123" t="s">
        <v>4</v>
      </c>
    </row>
    <row r="144" spans="1:61" s="110" customFormat="1" ht="11.25" customHeight="1">
      <c r="A144" s="123" t="s">
        <v>377</v>
      </c>
      <c r="B144" s="123">
        <v>1</v>
      </c>
      <c r="C144" s="126">
        <v>137</v>
      </c>
      <c r="D144" s="124" t="s">
        <v>378</v>
      </c>
      <c r="E144" s="192">
        <v>1278</v>
      </c>
      <c r="F144" s="125">
        <f>ROUND(E144*Valores!$C$2,2)</f>
        <v>75300.14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31062.07</v>
      </c>
      <c r="N144" s="125">
        <f t="shared" si="22"/>
        <v>0</v>
      </c>
      <c r="O144" s="125">
        <f>Valores!$C$16</f>
        <v>50911.51</v>
      </c>
      <c r="P144" s="125">
        <f>Valores!$D$5</f>
        <v>30120.06</v>
      </c>
      <c r="Q144" s="125">
        <f>Valores!$C$22</f>
        <v>26870.16</v>
      </c>
      <c r="R144" s="125">
        <f>IF($F$4="NO",Valores!$C$44,Valores!$C$44/2)</f>
        <v>20922.76</v>
      </c>
      <c r="S144" s="125">
        <f>Valores!$C$19</f>
        <v>28025.371999999996</v>
      </c>
      <c r="T144" s="125">
        <f t="shared" si="27"/>
        <v>28025.37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Valores!$C$95</f>
        <v>41242.8</v>
      </c>
      <c r="AA144" s="125">
        <f>Valores!$C$25</f>
        <v>1231.85</v>
      </c>
      <c r="AB144" s="214">
        <v>0</v>
      </c>
      <c r="AC144" s="125">
        <f t="shared" si="23"/>
        <v>0</v>
      </c>
      <c r="AD144" s="125">
        <f>Valores!$C$26</f>
        <v>1231.85</v>
      </c>
      <c r="AE144" s="192">
        <v>0</v>
      </c>
      <c r="AF144" s="125">
        <f>ROUND(AE144*Valores!$C$2,2)</f>
        <v>0</v>
      </c>
      <c r="AG144" s="125">
        <f>SUM(F144,H144,J144,L144,M144,N144,O144,P144,Q144,R144,T144,U144,V144,X144,Y144,Z144,AA144,AC144,AD144,AF144,AH144)*Valores!$C$69</f>
        <v>41409.23219999999</v>
      </c>
      <c r="AH144" s="125">
        <f>ROUND(IF($F$4="NO",Valores!$C$63,Valores!$C$63/2),2)</f>
        <v>14083.23</v>
      </c>
      <c r="AI144" s="125">
        <f t="shared" si="20"/>
        <v>362411.0321999999</v>
      </c>
      <c r="AJ144" s="125">
        <f>Valores!$C$31</f>
        <v>0</v>
      </c>
      <c r="AK144" s="125">
        <f>Valores!$C$88</f>
        <v>0</v>
      </c>
      <c r="AL144" s="125">
        <f>Valores!C$38*B144</f>
        <v>0</v>
      </c>
      <c r="AM144" s="125">
        <f>IF($F$3="NO",0,Valores!$C$56)</f>
        <v>0</v>
      </c>
      <c r="AN144" s="125">
        <f t="shared" si="24"/>
        <v>0</v>
      </c>
      <c r="AO144" s="125">
        <f>AI144*Valores!$C$71</f>
        <v>-39865.21354199999</v>
      </c>
      <c r="AP144" s="125">
        <f>AI144*Valores!$C$72</f>
        <v>-7248.220643999998</v>
      </c>
      <c r="AQ144" s="125">
        <f>AI144*-Valores!$C$73</f>
        <v>0</v>
      </c>
      <c r="AR144" s="125">
        <f>AI144*Valores!$C$74</f>
        <v>-19932.606770999995</v>
      </c>
      <c r="AS144" s="125">
        <f>Valores!$C$101</f>
        <v>-1270</v>
      </c>
      <c r="AT144" s="125">
        <f>IF($F$5=0,Valores!$C$102,(Valores!$C$102+$F$5*(Valores!$C$102)))</f>
        <v>-3700</v>
      </c>
      <c r="AU144" s="125">
        <f t="shared" si="26"/>
        <v>290394.9912429999</v>
      </c>
      <c r="AV144" s="125">
        <f t="shared" si="21"/>
        <v>-39865.21354199999</v>
      </c>
      <c r="AW144" s="125">
        <f t="shared" si="28"/>
        <v>-7248.220643999998</v>
      </c>
      <c r="AX144" s="125">
        <f>AI144*Valores!$C$75</f>
        <v>-9785.097869399997</v>
      </c>
      <c r="AY144" s="125">
        <f>AI144*Valores!$C$76</f>
        <v>-1087.2330965999997</v>
      </c>
      <c r="AZ144" s="125">
        <f t="shared" si="25"/>
        <v>304425.2670479999</v>
      </c>
      <c r="BA144" s="125">
        <f>AI144*Valores!$C$78</f>
        <v>57985.765151999985</v>
      </c>
      <c r="BB144" s="125">
        <f>AI144*Valores!$C$79</f>
        <v>25368.772253999996</v>
      </c>
      <c r="BC144" s="125">
        <f>AI144*Valores!$C$80</f>
        <v>3624.110321999999</v>
      </c>
      <c r="BD144" s="125">
        <f>AI144*Valores!$C$82</f>
        <v>12684.386126999998</v>
      </c>
      <c r="BE144" s="125">
        <f>AI144*Valores!$C$84</f>
        <v>19570.195738799994</v>
      </c>
      <c r="BF144" s="125">
        <f>AI144*Valores!$C$83</f>
        <v>2174.4661931999995</v>
      </c>
      <c r="BG144" s="126"/>
      <c r="BH144" s="126">
        <v>20</v>
      </c>
      <c r="BI144" s="123" t="s">
        <v>4</v>
      </c>
    </row>
    <row r="145" spans="1:61" s="110" customFormat="1" ht="11.25" customHeight="1">
      <c r="A145" s="123" t="s">
        <v>379</v>
      </c>
      <c r="B145" s="123">
        <v>1</v>
      </c>
      <c r="C145" s="126">
        <v>138</v>
      </c>
      <c r="D145" s="124" t="s">
        <v>380</v>
      </c>
      <c r="E145" s="192">
        <v>1278</v>
      </c>
      <c r="F145" s="125">
        <f>ROUND(E145*Valores!$C$2,2)</f>
        <v>75300.14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31062.07</v>
      </c>
      <c r="N145" s="125">
        <f t="shared" si="22"/>
        <v>0</v>
      </c>
      <c r="O145" s="125">
        <f>Valores!$C$16</f>
        <v>50911.51</v>
      </c>
      <c r="P145" s="125">
        <f>Valores!$D$5</f>
        <v>30120.06</v>
      </c>
      <c r="Q145" s="125">
        <f>Valores!$C$22</f>
        <v>26870.16</v>
      </c>
      <c r="R145" s="125">
        <f>IF($F$4="NO",Valores!$C$44,Valores!$C$44/2)</f>
        <v>20922.76</v>
      </c>
      <c r="S145" s="125">
        <f>Valores!$C$19</f>
        <v>28025.371999999996</v>
      </c>
      <c r="T145" s="125">
        <f t="shared" si="27"/>
        <v>28025.37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Valores!$C$95</f>
        <v>41242.8</v>
      </c>
      <c r="AA145" s="125">
        <f>Valores!$C$25</f>
        <v>1231.85</v>
      </c>
      <c r="AB145" s="214">
        <v>0</v>
      </c>
      <c r="AC145" s="125">
        <f t="shared" si="23"/>
        <v>0</v>
      </c>
      <c r="AD145" s="125">
        <f>Valores!$C$26</f>
        <v>1231.85</v>
      </c>
      <c r="AE145" s="192">
        <v>94</v>
      </c>
      <c r="AF145" s="125">
        <f>ROUND(AE145*Valores!$C$2,2)</f>
        <v>5538.51</v>
      </c>
      <c r="AG145" s="125">
        <f>SUM(F145,H145,J145,L145,M145,N145,O145,P145,Q145,R145,T145,U145,V145,X145,Y145,Z145,AA145,AC145,AD145,AF145,AH145)*Valores!$C$69</f>
        <v>42123.699989999994</v>
      </c>
      <c r="AH145" s="125">
        <f>ROUND(IF($F$4="NO",Valores!$C$63,Valores!$C$63/2),2)</f>
        <v>14083.23</v>
      </c>
      <c r="AI145" s="125">
        <f t="shared" si="20"/>
        <v>368664.00998999993</v>
      </c>
      <c r="AJ145" s="125">
        <f>Valores!$C$31</f>
        <v>0</v>
      </c>
      <c r="AK145" s="125">
        <f>Valores!$C$88</f>
        <v>0</v>
      </c>
      <c r="AL145" s="125">
        <f>Valores!C$38*B145</f>
        <v>0</v>
      </c>
      <c r="AM145" s="125">
        <f>IF($F$3="NO",0,Valores!$C$56)</f>
        <v>0</v>
      </c>
      <c r="AN145" s="125">
        <f t="shared" si="24"/>
        <v>0</v>
      </c>
      <c r="AO145" s="125">
        <f>AI145*Valores!$C$71</f>
        <v>-40553.041098899994</v>
      </c>
      <c r="AP145" s="125">
        <f>AI145*Valores!$C$72</f>
        <v>-7373.280199799999</v>
      </c>
      <c r="AQ145" s="125">
        <f>AI145*-Valores!$C$73</f>
        <v>0</v>
      </c>
      <c r="AR145" s="125">
        <f>AI145*Valores!$C$74</f>
        <v>-20276.520549449997</v>
      </c>
      <c r="AS145" s="125">
        <f>Valores!$C$101</f>
        <v>-1270</v>
      </c>
      <c r="AT145" s="125">
        <f>IF($F$5=0,Valores!$C$102,(Valores!$C$102+$F$5*(Valores!$C$102)))</f>
        <v>-3700</v>
      </c>
      <c r="AU145" s="125">
        <f t="shared" si="26"/>
        <v>295491.1681418499</v>
      </c>
      <c r="AV145" s="125">
        <f t="shared" si="21"/>
        <v>-40553.041098899994</v>
      </c>
      <c r="AW145" s="125">
        <f t="shared" si="28"/>
        <v>-7373.280199799999</v>
      </c>
      <c r="AX145" s="125">
        <f>AI145*Valores!$C$75</f>
        <v>-9953.928269729999</v>
      </c>
      <c r="AY145" s="125">
        <f>AI145*Valores!$C$76</f>
        <v>-1105.9920299699997</v>
      </c>
      <c r="AZ145" s="125">
        <f t="shared" si="25"/>
        <v>309677.76839159994</v>
      </c>
      <c r="BA145" s="125">
        <f>AI145*Valores!$C$78</f>
        <v>58986.24159839999</v>
      </c>
      <c r="BB145" s="125">
        <f>AI145*Valores!$C$79</f>
        <v>25806.4806993</v>
      </c>
      <c r="BC145" s="125">
        <f>AI145*Valores!$C$80</f>
        <v>3686.6400998999993</v>
      </c>
      <c r="BD145" s="125">
        <f>AI145*Valores!$C$82</f>
        <v>12903.24034965</v>
      </c>
      <c r="BE145" s="125">
        <f>AI145*Valores!$C$84</f>
        <v>19907.856539459997</v>
      </c>
      <c r="BF145" s="125">
        <f>AI145*Valores!$C$83</f>
        <v>2211.9840599399995</v>
      </c>
      <c r="BG145" s="126"/>
      <c r="BH145" s="126">
        <v>20</v>
      </c>
      <c r="BI145" s="123" t="s">
        <v>4</v>
      </c>
    </row>
    <row r="146" spans="1:61" s="110" customFormat="1" ht="11.25" customHeight="1">
      <c r="A146" s="123" t="s">
        <v>381</v>
      </c>
      <c r="B146" s="123">
        <v>1</v>
      </c>
      <c r="C146" s="126">
        <v>139</v>
      </c>
      <c r="D146" s="124" t="s">
        <v>382</v>
      </c>
      <c r="E146" s="192">
        <v>1278</v>
      </c>
      <c r="F146" s="125">
        <f>ROUND(E146*Valores!$C$2,2)</f>
        <v>75300.14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31062.07</v>
      </c>
      <c r="N146" s="125">
        <f t="shared" si="22"/>
        <v>0</v>
      </c>
      <c r="O146" s="125">
        <f>Valores!$C$16</f>
        <v>50911.51</v>
      </c>
      <c r="P146" s="125">
        <f>Valores!$D$5</f>
        <v>30120.06</v>
      </c>
      <c r="Q146" s="125">
        <f>Valores!$C$22</f>
        <v>26870.16</v>
      </c>
      <c r="R146" s="125">
        <f>IF($F$4="NO",Valores!$C$44,Valores!$C$44/2)</f>
        <v>20922.76</v>
      </c>
      <c r="S146" s="125">
        <f>Valores!$C$19</f>
        <v>28025.371999999996</v>
      </c>
      <c r="T146" s="125">
        <f t="shared" si="27"/>
        <v>28025.37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Valores!$C$95</f>
        <v>41242.8</v>
      </c>
      <c r="AA146" s="125">
        <f>Valores!$C$25</f>
        <v>1231.85</v>
      </c>
      <c r="AB146" s="214">
        <v>0</v>
      </c>
      <c r="AC146" s="125">
        <f t="shared" si="23"/>
        <v>0</v>
      </c>
      <c r="AD146" s="125">
        <f>Valores!$C$26</f>
        <v>1231.85</v>
      </c>
      <c r="AE146" s="192">
        <v>0</v>
      </c>
      <c r="AF146" s="125">
        <f>ROUND(AE146*Valores!$C$2,2)</f>
        <v>0</v>
      </c>
      <c r="AG146" s="125">
        <f>SUM(F146,H146,J146,L146,M146,N146,O146,P146,Q146,R146,T146,U146,V146,X146,Y146,Z146,AA146,AC146,AD146,AF146,AH146)*Valores!$C$69</f>
        <v>41409.23219999999</v>
      </c>
      <c r="AH146" s="125">
        <f>ROUND(IF($F$4="NO",Valores!$C$63,Valores!$C$63/2),2)</f>
        <v>14083.23</v>
      </c>
      <c r="AI146" s="125">
        <f t="shared" si="20"/>
        <v>362411.0321999999</v>
      </c>
      <c r="AJ146" s="125">
        <f>Valores!$C$31</f>
        <v>0</v>
      </c>
      <c r="AK146" s="125">
        <f>Valores!$C$88</f>
        <v>0</v>
      </c>
      <c r="AL146" s="125">
        <f>Valores!C$38*B146</f>
        <v>0</v>
      </c>
      <c r="AM146" s="125">
        <f>IF($F$3="NO",0,Valores!$C$56)</f>
        <v>0</v>
      </c>
      <c r="AN146" s="125">
        <f t="shared" si="24"/>
        <v>0</v>
      </c>
      <c r="AO146" s="125">
        <f>AI146*Valores!$C$71</f>
        <v>-39865.21354199999</v>
      </c>
      <c r="AP146" s="125">
        <f>AI146*Valores!$C$72</f>
        <v>-7248.220643999998</v>
      </c>
      <c r="AQ146" s="125">
        <f>AI146*-Valores!$C$73</f>
        <v>0</v>
      </c>
      <c r="AR146" s="125">
        <f>AI146*Valores!$C$74</f>
        <v>-19932.606770999995</v>
      </c>
      <c r="AS146" s="125">
        <f>Valores!$C$101</f>
        <v>-1270</v>
      </c>
      <c r="AT146" s="125">
        <f>IF($F$5=0,Valores!$C$102,(Valores!$C$102+$F$5*(Valores!$C$102)))</f>
        <v>-3700</v>
      </c>
      <c r="AU146" s="125">
        <f t="shared" si="26"/>
        <v>290394.9912429999</v>
      </c>
      <c r="AV146" s="125">
        <f t="shared" si="21"/>
        <v>-39865.21354199999</v>
      </c>
      <c r="AW146" s="125">
        <f t="shared" si="28"/>
        <v>-7248.220643999998</v>
      </c>
      <c r="AX146" s="125">
        <f>AI146*Valores!$C$75</f>
        <v>-9785.097869399997</v>
      </c>
      <c r="AY146" s="125">
        <f>AI146*Valores!$C$76</f>
        <v>-1087.2330965999997</v>
      </c>
      <c r="AZ146" s="125">
        <f t="shared" si="25"/>
        <v>304425.2670479999</v>
      </c>
      <c r="BA146" s="125">
        <f>AI146*Valores!$C$78</f>
        <v>57985.765151999985</v>
      </c>
      <c r="BB146" s="125">
        <f>AI146*Valores!$C$79</f>
        <v>25368.772253999996</v>
      </c>
      <c r="BC146" s="125">
        <f>AI146*Valores!$C$80</f>
        <v>3624.110321999999</v>
      </c>
      <c r="BD146" s="125">
        <f>AI146*Valores!$C$82</f>
        <v>12684.386126999998</v>
      </c>
      <c r="BE146" s="125">
        <f>AI146*Valores!$C$84</f>
        <v>19570.195738799994</v>
      </c>
      <c r="BF146" s="125">
        <f>AI146*Valores!$C$83</f>
        <v>2174.4661931999995</v>
      </c>
      <c r="BG146" s="126"/>
      <c r="BH146" s="126">
        <v>22</v>
      </c>
      <c r="BI146" s="123" t="s">
        <v>4</v>
      </c>
    </row>
    <row r="147" spans="1:61" s="110" customFormat="1" ht="11.25" customHeight="1">
      <c r="A147" s="123" t="s">
        <v>383</v>
      </c>
      <c r="B147" s="123">
        <v>1</v>
      </c>
      <c r="C147" s="126">
        <v>140</v>
      </c>
      <c r="D147" s="124" t="s">
        <v>384</v>
      </c>
      <c r="E147" s="192">
        <v>1278</v>
      </c>
      <c r="F147" s="125">
        <f>ROUND(E147*Valores!$C$2,2)</f>
        <v>75300.14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30990.44</v>
      </c>
      <c r="N147" s="125">
        <f t="shared" si="22"/>
        <v>0</v>
      </c>
      <c r="O147" s="125">
        <f>Valores!$C$16</f>
        <v>50911.51</v>
      </c>
      <c r="P147" s="125">
        <f>Valores!$D$5</f>
        <v>30120.06</v>
      </c>
      <c r="Q147" s="125">
        <v>0</v>
      </c>
      <c r="R147" s="125">
        <f>IF($F$4="NO",Valores!$C$44,Valores!$C$44/2)</f>
        <v>20922.76</v>
      </c>
      <c r="S147" s="125">
        <f>Valores!$C$20</f>
        <v>27738.840000000004</v>
      </c>
      <c r="T147" s="125">
        <f t="shared" si="27"/>
        <v>27738.84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Valores!$C$95</f>
        <v>41242.8</v>
      </c>
      <c r="AA147" s="125">
        <f>Valores!$C$25</f>
        <v>1231.85</v>
      </c>
      <c r="AB147" s="214">
        <v>0</v>
      </c>
      <c r="AC147" s="125">
        <f t="shared" si="23"/>
        <v>0</v>
      </c>
      <c r="AD147" s="125">
        <f>Valores!$C$26</f>
        <v>1231.85</v>
      </c>
      <c r="AE147" s="192">
        <v>0</v>
      </c>
      <c r="AF147" s="125">
        <f>ROUND(AE147*Valores!$C$2,2)</f>
        <v>0</v>
      </c>
      <c r="AG147" s="125">
        <f>SUM(F147,H147,J147,L147,M147,N147,O147,P147,Q147,R147,T147,U147,V147,X147,Y147,Z147,AA147,AC147,AD147,AF147,AH147)*Valores!$C$69</f>
        <v>37896.77891999999</v>
      </c>
      <c r="AH147" s="125">
        <f>ROUND(IF($F$4="NO",Valores!$C$63,Valores!$C$63/2),2)</f>
        <v>14083.23</v>
      </c>
      <c r="AI147" s="125">
        <f t="shared" si="20"/>
        <v>331670.25891999993</v>
      </c>
      <c r="AJ147" s="125">
        <f>Valores!$C$31</f>
        <v>0</v>
      </c>
      <c r="AK147" s="125">
        <f>Valores!$C$88</f>
        <v>0</v>
      </c>
      <c r="AL147" s="125">
        <f>Valores!C$38*B147</f>
        <v>0</v>
      </c>
      <c r="AM147" s="125">
        <f>IF($F$3="NO",0,Valores!$C$56)</f>
        <v>0</v>
      </c>
      <c r="AN147" s="125">
        <f t="shared" si="24"/>
        <v>0</v>
      </c>
      <c r="AO147" s="125">
        <f>AI147*Valores!$C$71</f>
        <v>-36483.72848119999</v>
      </c>
      <c r="AP147" s="125">
        <f>AI147*Valores!$C$72</f>
        <v>-6633.4051783999985</v>
      </c>
      <c r="AQ147" s="125">
        <f>AI147*-Valores!$C$73</f>
        <v>0</v>
      </c>
      <c r="AR147" s="125">
        <f>AI147*Valores!$C$74</f>
        <v>-18241.864240599996</v>
      </c>
      <c r="AS147" s="125">
        <f>Valores!$C$101</f>
        <v>-1270</v>
      </c>
      <c r="AT147" s="125">
        <f>IF($F$5=0,Valores!$C$102,(Valores!$C$102+$F$5*(Valores!$C$102)))</f>
        <v>-3700</v>
      </c>
      <c r="AU147" s="125">
        <f t="shared" si="26"/>
        <v>265341.2610198</v>
      </c>
      <c r="AV147" s="125">
        <f t="shared" si="21"/>
        <v>-36483.72848119999</v>
      </c>
      <c r="AW147" s="125">
        <f t="shared" si="28"/>
        <v>-6633.4051783999985</v>
      </c>
      <c r="AX147" s="125">
        <f>AI147*Valores!$C$75</f>
        <v>-8955.096990839998</v>
      </c>
      <c r="AY147" s="125">
        <f>AI147*Valores!$C$76</f>
        <v>-995.0107767599998</v>
      </c>
      <c r="AZ147" s="125">
        <f t="shared" si="25"/>
        <v>278603.01749279996</v>
      </c>
      <c r="BA147" s="125">
        <f>AI147*Valores!$C$78</f>
        <v>53067.24142719999</v>
      </c>
      <c r="BB147" s="125">
        <f>AI147*Valores!$C$79</f>
        <v>23216.9181244</v>
      </c>
      <c r="BC147" s="125">
        <f>AI147*Valores!$C$80</f>
        <v>3316.7025891999992</v>
      </c>
      <c r="BD147" s="125">
        <f>AI147*Valores!$C$82</f>
        <v>11608.4590622</v>
      </c>
      <c r="BE147" s="125">
        <f>AI147*Valores!$C$84</f>
        <v>17910.193981679997</v>
      </c>
      <c r="BF147" s="125">
        <f>AI147*Valores!$C$83</f>
        <v>1990.0215535199995</v>
      </c>
      <c r="BG147" s="126"/>
      <c r="BH147" s="126"/>
      <c r="BI147" s="123" t="s">
        <v>8</v>
      </c>
    </row>
    <row r="148" spans="1:61" s="110" customFormat="1" ht="11.25" customHeight="1">
      <c r="A148" s="123" t="s">
        <v>385</v>
      </c>
      <c r="B148" s="123">
        <v>1</v>
      </c>
      <c r="C148" s="126">
        <v>141</v>
      </c>
      <c r="D148" s="124" t="s">
        <v>386</v>
      </c>
      <c r="E148" s="192">
        <v>1278</v>
      </c>
      <c r="F148" s="125">
        <f>ROUND(E148*Valores!$C$2,2)</f>
        <v>75300.14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30990.44</v>
      </c>
      <c r="N148" s="125">
        <f t="shared" si="22"/>
        <v>0</v>
      </c>
      <c r="O148" s="125">
        <f>Valores!$C$16</f>
        <v>50911.51</v>
      </c>
      <c r="P148" s="125">
        <f>Valores!$D$5</f>
        <v>30120.06</v>
      </c>
      <c r="Q148" s="125">
        <v>0</v>
      </c>
      <c r="R148" s="125">
        <f>IF($F$4="NO",Valores!$C$44,Valores!$C$44/2)</f>
        <v>20922.76</v>
      </c>
      <c r="S148" s="125">
        <f>Valores!$C$20</f>
        <v>27738.840000000004</v>
      </c>
      <c r="T148" s="125">
        <f t="shared" si="27"/>
        <v>27738.84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Valores!$C$95</f>
        <v>41242.8</v>
      </c>
      <c r="AA148" s="125">
        <f>Valores!$C$25</f>
        <v>1231.85</v>
      </c>
      <c r="AB148" s="214">
        <v>0</v>
      </c>
      <c r="AC148" s="125">
        <f t="shared" si="23"/>
        <v>0</v>
      </c>
      <c r="AD148" s="125">
        <f>Valores!$C$26</f>
        <v>1231.85</v>
      </c>
      <c r="AE148" s="192">
        <v>0</v>
      </c>
      <c r="AF148" s="125">
        <f>ROUND(AE148*Valores!$C$2,2)</f>
        <v>0</v>
      </c>
      <c r="AG148" s="125">
        <f>SUM(F148,H148,J148,L148,M148,N148,O148,P148,Q148,R148,T148,U148,V148,X148,Y148,Z148,AA148,AC148,AD148,AF148,AH148)*Valores!$C$69</f>
        <v>37896.77891999999</v>
      </c>
      <c r="AH148" s="125">
        <f>ROUND(IF($F$4="NO",Valores!$C$63,Valores!$C$63/2),2)</f>
        <v>14083.23</v>
      </c>
      <c r="AI148" s="125">
        <f t="shared" si="20"/>
        <v>331670.25891999993</v>
      </c>
      <c r="AJ148" s="125">
        <f>Valores!$C$31</f>
        <v>0</v>
      </c>
      <c r="AK148" s="125">
        <f>Valores!$C$88</f>
        <v>0</v>
      </c>
      <c r="AL148" s="125">
        <f>Valores!C$38*B148</f>
        <v>0</v>
      </c>
      <c r="AM148" s="125">
        <f>IF($F$3="NO",0,Valores!$C$56)</f>
        <v>0</v>
      </c>
      <c r="AN148" s="125">
        <f t="shared" si="24"/>
        <v>0</v>
      </c>
      <c r="AO148" s="125">
        <f>AI148*Valores!$C$71</f>
        <v>-36483.72848119999</v>
      </c>
      <c r="AP148" s="125">
        <f>AI148*Valores!$C$72</f>
        <v>-6633.4051783999985</v>
      </c>
      <c r="AQ148" s="125">
        <f>AI148*-Valores!$C$73</f>
        <v>0</v>
      </c>
      <c r="AR148" s="125">
        <f>AI148*Valores!$C$74</f>
        <v>-18241.864240599996</v>
      </c>
      <c r="AS148" s="125">
        <f>Valores!$C$101</f>
        <v>-1270</v>
      </c>
      <c r="AT148" s="125">
        <f>IF($F$5=0,Valores!$C$102,(Valores!$C$102+$F$5*(Valores!$C$102)))</f>
        <v>-3700</v>
      </c>
      <c r="AU148" s="125">
        <f t="shared" si="26"/>
        <v>265341.2610198</v>
      </c>
      <c r="AV148" s="125">
        <f t="shared" si="21"/>
        <v>-36483.72848119999</v>
      </c>
      <c r="AW148" s="125">
        <f t="shared" si="28"/>
        <v>-6633.4051783999985</v>
      </c>
      <c r="AX148" s="125">
        <f>AI148*Valores!$C$75</f>
        <v>-8955.096990839998</v>
      </c>
      <c r="AY148" s="125">
        <f>AI148*Valores!$C$76</f>
        <v>-995.0107767599998</v>
      </c>
      <c r="AZ148" s="125">
        <f t="shared" si="25"/>
        <v>278603.01749279996</v>
      </c>
      <c r="BA148" s="125">
        <f>AI148*Valores!$C$78</f>
        <v>53067.24142719999</v>
      </c>
      <c r="BB148" s="125">
        <f>AI148*Valores!$C$79</f>
        <v>23216.9181244</v>
      </c>
      <c r="BC148" s="125">
        <f>AI148*Valores!$C$80</f>
        <v>3316.7025891999992</v>
      </c>
      <c r="BD148" s="125">
        <f>AI148*Valores!$C$82</f>
        <v>11608.4590622</v>
      </c>
      <c r="BE148" s="125">
        <f>AI148*Valores!$C$84</f>
        <v>17910.193981679997</v>
      </c>
      <c r="BF148" s="125">
        <f>AI148*Valores!$C$83</f>
        <v>1990.0215535199995</v>
      </c>
      <c r="BG148" s="126"/>
      <c r="BH148" s="126"/>
      <c r="BI148" s="123" t="s">
        <v>8</v>
      </c>
    </row>
    <row r="149" spans="1:61" s="110" customFormat="1" ht="11.25" customHeight="1">
      <c r="A149" s="123" t="s">
        <v>387</v>
      </c>
      <c r="B149" s="123">
        <v>1</v>
      </c>
      <c r="C149" s="126">
        <v>142</v>
      </c>
      <c r="D149" s="124" t="s">
        <v>388</v>
      </c>
      <c r="E149" s="192">
        <v>1060</v>
      </c>
      <c r="F149" s="125">
        <f>ROUND(E149*Valores!$C$2,2)</f>
        <v>62455.52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27850.91</v>
      </c>
      <c r="N149" s="125">
        <f t="shared" si="22"/>
        <v>0</v>
      </c>
      <c r="O149" s="125">
        <f>Valores!$C$16</f>
        <v>50911.51</v>
      </c>
      <c r="P149" s="125">
        <f>Valores!$D$5</f>
        <v>30120.06</v>
      </c>
      <c r="Q149" s="125">
        <f>Valores!$C$22</f>
        <v>26870.16</v>
      </c>
      <c r="R149" s="125">
        <f>IF($F$4="NO",Valores!$C$44,Valores!$C$44/2)</f>
        <v>20922.76</v>
      </c>
      <c r="S149" s="125">
        <f>Valores!$C$19</f>
        <v>28025.371999999996</v>
      </c>
      <c r="T149" s="125">
        <f t="shared" si="27"/>
        <v>28025.37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Valores!$C$95</f>
        <v>41242.8</v>
      </c>
      <c r="AA149" s="125">
        <f>Valores!$C$25</f>
        <v>1231.85</v>
      </c>
      <c r="AB149" s="214">
        <v>0</v>
      </c>
      <c r="AC149" s="125">
        <f t="shared" si="23"/>
        <v>0</v>
      </c>
      <c r="AD149" s="125">
        <f>Valores!$C$26</f>
        <v>1231.85</v>
      </c>
      <c r="AE149" s="192">
        <v>0</v>
      </c>
      <c r="AF149" s="125">
        <f>ROUND(AE149*Valores!$C$2,2)</f>
        <v>0</v>
      </c>
      <c r="AG149" s="125">
        <f>SUM(F149,H149,J149,L149,M149,N149,O149,P149,Q149,R149,T149,U149,V149,X149,Y149,Z149,AA149,AC149,AD149,AF149,AH149)*Valores!$C$69</f>
        <v>39338.03657999999</v>
      </c>
      <c r="AH149" s="125">
        <f>ROUND(IF($F$4="NO",Valores!$C$63,Valores!$C$63/2),2)</f>
        <v>14083.23</v>
      </c>
      <c r="AI149" s="125">
        <f t="shared" si="20"/>
        <v>344284.05658</v>
      </c>
      <c r="AJ149" s="125">
        <f>Valores!$C$31</f>
        <v>0</v>
      </c>
      <c r="AK149" s="125">
        <f>Valores!$C$88</f>
        <v>0</v>
      </c>
      <c r="AL149" s="125">
        <f>Valores!C$38*B149</f>
        <v>0</v>
      </c>
      <c r="AM149" s="125">
        <f>IF($F$3="NO",0,Valores!$C$56)</f>
        <v>0</v>
      </c>
      <c r="AN149" s="125">
        <f t="shared" si="24"/>
        <v>0</v>
      </c>
      <c r="AO149" s="125">
        <f>AI149*Valores!$C$71</f>
        <v>-37871.2462238</v>
      </c>
      <c r="AP149" s="125">
        <f>AI149*Valores!$C$72</f>
        <v>-6885.681131599999</v>
      </c>
      <c r="AQ149" s="125">
        <f>AI149*-Valores!$C$73</f>
        <v>0</v>
      </c>
      <c r="AR149" s="125">
        <f>AI149*Valores!$C$74</f>
        <v>-18935.6231119</v>
      </c>
      <c r="AS149" s="125">
        <f>Valores!$C$101</f>
        <v>-1270</v>
      </c>
      <c r="AT149" s="125">
        <f>IF($F$5=0,Valores!$C$102,(Valores!$C$102+$F$5*(Valores!$C$102)))</f>
        <v>-3700</v>
      </c>
      <c r="AU149" s="125">
        <f t="shared" si="26"/>
        <v>275621.5061127</v>
      </c>
      <c r="AV149" s="125">
        <f t="shared" si="21"/>
        <v>-37871.2462238</v>
      </c>
      <c r="AW149" s="125">
        <f t="shared" si="28"/>
        <v>-6885.681131599999</v>
      </c>
      <c r="AX149" s="125">
        <f>AI149*Valores!$C$75</f>
        <v>-9295.669527659998</v>
      </c>
      <c r="AY149" s="125">
        <f>AI149*Valores!$C$76</f>
        <v>-1032.85216974</v>
      </c>
      <c r="AZ149" s="125">
        <f t="shared" si="25"/>
        <v>289198.60752719996</v>
      </c>
      <c r="BA149" s="125">
        <f>AI149*Valores!$C$78</f>
        <v>55085.449052799995</v>
      </c>
      <c r="BB149" s="125">
        <f>AI149*Valores!$C$79</f>
        <v>24099.8839606</v>
      </c>
      <c r="BC149" s="125">
        <f>AI149*Valores!$C$80</f>
        <v>3442.8405657999997</v>
      </c>
      <c r="BD149" s="125">
        <f>AI149*Valores!$C$82</f>
        <v>12049.9419803</v>
      </c>
      <c r="BE149" s="125">
        <f>AI149*Valores!$C$84</f>
        <v>18591.339055319997</v>
      </c>
      <c r="BF149" s="125">
        <f>AI149*Valores!$C$83</f>
        <v>2065.70433948</v>
      </c>
      <c r="BG149" s="126"/>
      <c r="BH149" s="126"/>
      <c r="BI149" s="123" t="s">
        <v>4</v>
      </c>
    </row>
    <row r="150" spans="1:61" s="110" customFormat="1" ht="11.25" customHeight="1">
      <c r="A150" s="123" t="s">
        <v>389</v>
      </c>
      <c r="B150" s="123">
        <v>1</v>
      </c>
      <c r="C150" s="126">
        <v>143</v>
      </c>
      <c r="D150" s="124" t="s">
        <v>390</v>
      </c>
      <c r="E150" s="192">
        <v>1278</v>
      </c>
      <c r="F150" s="125">
        <f>ROUND(E150*Valores!$C$2,2)</f>
        <v>75300.14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30990.44</v>
      </c>
      <c r="N150" s="125">
        <f t="shared" si="22"/>
        <v>0</v>
      </c>
      <c r="O150" s="125">
        <f>Valores!$C$16</f>
        <v>50911.51</v>
      </c>
      <c r="P150" s="125">
        <f>Valores!$D$5</f>
        <v>30120.06</v>
      </c>
      <c r="Q150" s="125">
        <f>Valores!$C$22</f>
        <v>26870.16</v>
      </c>
      <c r="R150" s="125">
        <f>IF($F$4="NO",Valores!$C$44,Valores!$C$44/2)</f>
        <v>20922.76</v>
      </c>
      <c r="S150" s="125">
        <f>Valores!$C$20</f>
        <v>27738.840000000004</v>
      </c>
      <c r="T150" s="125">
        <f t="shared" si="27"/>
        <v>27738.84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Valores!$C$95</f>
        <v>41242.8</v>
      </c>
      <c r="AA150" s="125">
        <f>Valores!$C$25</f>
        <v>1231.85</v>
      </c>
      <c r="AB150" s="214">
        <v>0</v>
      </c>
      <c r="AC150" s="125">
        <f t="shared" si="23"/>
        <v>0</v>
      </c>
      <c r="AD150" s="125">
        <f>Valores!$C$26</f>
        <v>1231.85</v>
      </c>
      <c r="AE150" s="192">
        <v>0</v>
      </c>
      <c r="AF150" s="125">
        <f>ROUND(AE150*Valores!$C$2,2)</f>
        <v>0</v>
      </c>
      <c r="AG150" s="125">
        <f>SUM(F150,H150,J150,L150,M150,N150,O150,P150,Q150,R150,T150,U150,V150,X150,Y150,Z150,AA150,AC150,AD150,AF150,AH150)*Valores!$C$69</f>
        <v>41363.029559999995</v>
      </c>
      <c r="AH150" s="125">
        <f>ROUND(IF($F$4="NO",Valores!$C$63,Valores!$C$63/2),2)</f>
        <v>14083.23</v>
      </c>
      <c r="AI150" s="125">
        <f t="shared" si="20"/>
        <v>362006.66955999995</v>
      </c>
      <c r="AJ150" s="125">
        <f>Valores!$C$31</f>
        <v>0</v>
      </c>
      <c r="AK150" s="125">
        <f>Valores!$C$88</f>
        <v>0</v>
      </c>
      <c r="AL150" s="125">
        <f>Valores!C$38*B150</f>
        <v>0</v>
      </c>
      <c r="AM150" s="125">
        <f>IF($F$3="NO",0,Valores!$C$56)</f>
        <v>0</v>
      </c>
      <c r="AN150" s="125">
        <f t="shared" si="24"/>
        <v>0</v>
      </c>
      <c r="AO150" s="125">
        <f>AI150*Valores!$C$71</f>
        <v>-39820.73365159999</v>
      </c>
      <c r="AP150" s="125">
        <f>AI150*Valores!$C$72</f>
        <v>-7240.133391199999</v>
      </c>
      <c r="AQ150" s="125">
        <f>AI150*-Valores!$C$73</f>
        <v>0</v>
      </c>
      <c r="AR150" s="125">
        <f>AI150*Valores!$C$74</f>
        <v>-19910.366825799996</v>
      </c>
      <c r="AS150" s="125">
        <f>Valores!$C$101</f>
        <v>-1270</v>
      </c>
      <c r="AT150" s="125">
        <f>IF($F$5=0,Valores!$C$102,(Valores!$C$102+$F$5*(Valores!$C$102)))</f>
        <v>-3700</v>
      </c>
      <c r="AU150" s="125">
        <f t="shared" si="26"/>
        <v>290065.43569139997</v>
      </c>
      <c r="AV150" s="125">
        <f t="shared" si="21"/>
        <v>-39820.73365159999</v>
      </c>
      <c r="AW150" s="125">
        <f t="shared" si="28"/>
        <v>-7240.133391199999</v>
      </c>
      <c r="AX150" s="125">
        <f>AI150*Valores!$C$75</f>
        <v>-9774.180078119998</v>
      </c>
      <c r="AY150" s="125">
        <f>AI150*Valores!$C$76</f>
        <v>-1086.0200086799998</v>
      </c>
      <c r="AZ150" s="125">
        <f t="shared" si="25"/>
        <v>304085.6024304</v>
      </c>
      <c r="BA150" s="125">
        <f>AI150*Valores!$C$78</f>
        <v>57921.06712959999</v>
      </c>
      <c r="BB150" s="125">
        <f>AI150*Valores!$C$79</f>
        <v>25340.466869199998</v>
      </c>
      <c r="BC150" s="125">
        <f>AI150*Valores!$C$80</f>
        <v>3620.0666955999995</v>
      </c>
      <c r="BD150" s="125">
        <f>AI150*Valores!$C$82</f>
        <v>12670.233434599999</v>
      </c>
      <c r="BE150" s="125">
        <f>AI150*Valores!$C$84</f>
        <v>19548.360156239996</v>
      </c>
      <c r="BF150" s="125">
        <f>AI150*Valores!$C$83</f>
        <v>2172.0400173599996</v>
      </c>
      <c r="BG150" s="126"/>
      <c r="BH150" s="126">
        <v>22</v>
      </c>
      <c r="BI150" s="123" t="s">
        <v>4</v>
      </c>
    </row>
    <row r="151" spans="1:61" s="110" customFormat="1" ht="11.25" customHeight="1">
      <c r="A151" s="123" t="s">
        <v>391</v>
      </c>
      <c r="B151" s="123">
        <v>1</v>
      </c>
      <c r="C151" s="126">
        <v>144</v>
      </c>
      <c r="D151" s="124" t="s">
        <v>392</v>
      </c>
      <c r="E151" s="192">
        <v>1278</v>
      </c>
      <c r="F151" s="125">
        <f>ROUND(E151*Valores!$C$2,2)</f>
        <v>75300.14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31062.07</v>
      </c>
      <c r="N151" s="125">
        <f t="shared" si="22"/>
        <v>0</v>
      </c>
      <c r="O151" s="125">
        <f>Valores!$C$16</f>
        <v>50911.51</v>
      </c>
      <c r="P151" s="125">
        <f>Valores!$D$5</f>
        <v>30120.06</v>
      </c>
      <c r="Q151" s="125">
        <f>Valores!$C$22</f>
        <v>26870.16</v>
      </c>
      <c r="R151" s="125">
        <f>IF($F$4="NO",Valores!$C$44,Valores!$C$44/2)</f>
        <v>20922.76</v>
      </c>
      <c r="S151" s="125">
        <f>Valores!$C$19</f>
        <v>28025.371999999996</v>
      </c>
      <c r="T151" s="125">
        <f t="shared" si="27"/>
        <v>28025.37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Valores!$C$95</f>
        <v>41242.8</v>
      </c>
      <c r="AA151" s="125">
        <f>Valores!$C$25</f>
        <v>1231.85</v>
      </c>
      <c r="AB151" s="214">
        <v>0</v>
      </c>
      <c r="AC151" s="125">
        <f t="shared" si="23"/>
        <v>0</v>
      </c>
      <c r="AD151" s="125">
        <f>Valores!$C$26</f>
        <v>1231.85</v>
      </c>
      <c r="AE151" s="192">
        <v>0</v>
      </c>
      <c r="AF151" s="125">
        <f>ROUND(AE151*Valores!$C$2,2)</f>
        <v>0</v>
      </c>
      <c r="AG151" s="125">
        <f>SUM(F151,H151,J151,L151,M151,N151,O151,P151,Q151,R151,T151,U151,V151,X151,Y151,Z151,AA151,AC151,AD151,AF151,AH151)*Valores!$C$69</f>
        <v>41409.23219999999</v>
      </c>
      <c r="AH151" s="125">
        <f>ROUND(IF($F$4="NO",Valores!$C$63,Valores!$C$63/2),2)</f>
        <v>14083.23</v>
      </c>
      <c r="AI151" s="125">
        <f t="shared" si="20"/>
        <v>362411.0321999999</v>
      </c>
      <c r="AJ151" s="125">
        <f>Valores!$C$31</f>
        <v>0</v>
      </c>
      <c r="AK151" s="125">
        <f>Valores!$C$88</f>
        <v>0</v>
      </c>
      <c r="AL151" s="125">
        <f>Valores!C$38*B151</f>
        <v>0</v>
      </c>
      <c r="AM151" s="125">
        <f>IF($F$3="NO",0,Valores!$C$56)</f>
        <v>0</v>
      </c>
      <c r="AN151" s="125">
        <f t="shared" si="24"/>
        <v>0</v>
      </c>
      <c r="AO151" s="125">
        <f>AI151*Valores!$C$71</f>
        <v>-39865.21354199999</v>
      </c>
      <c r="AP151" s="125">
        <f>AI151*Valores!$C$72</f>
        <v>-7248.220643999998</v>
      </c>
      <c r="AQ151" s="125">
        <f>AI151*-Valores!$C$73</f>
        <v>0</v>
      </c>
      <c r="AR151" s="125">
        <f>AI151*Valores!$C$74</f>
        <v>-19932.606770999995</v>
      </c>
      <c r="AS151" s="125">
        <f>Valores!$C$101</f>
        <v>-1270</v>
      </c>
      <c r="AT151" s="125">
        <f>IF($F$5=0,Valores!$C$102,(Valores!$C$102+$F$5*(Valores!$C$102)))</f>
        <v>-3700</v>
      </c>
      <c r="AU151" s="125">
        <f t="shared" si="26"/>
        <v>290394.9912429999</v>
      </c>
      <c r="AV151" s="125">
        <f t="shared" si="21"/>
        <v>-39865.21354199999</v>
      </c>
      <c r="AW151" s="125">
        <f t="shared" si="28"/>
        <v>-7248.220643999998</v>
      </c>
      <c r="AX151" s="125">
        <f>AI151*Valores!$C$75</f>
        <v>-9785.097869399997</v>
      </c>
      <c r="AY151" s="125">
        <f>AI151*Valores!$C$76</f>
        <v>-1087.2330965999997</v>
      </c>
      <c r="AZ151" s="125">
        <f t="shared" si="25"/>
        <v>304425.2670479999</v>
      </c>
      <c r="BA151" s="125">
        <f>AI151*Valores!$C$78</f>
        <v>57985.765151999985</v>
      </c>
      <c r="BB151" s="125">
        <f>AI151*Valores!$C$79</f>
        <v>25368.772253999996</v>
      </c>
      <c r="BC151" s="125">
        <f>AI151*Valores!$C$80</f>
        <v>3624.110321999999</v>
      </c>
      <c r="BD151" s="125">
        <f>AI151*Valores!$C$82</f>
        <v>12684.386126999998</v>
      </c>
      <c r="BE151" s="125">
        <f>AI151*Valores!$C$84</f>
        <v>19570.195738799994</v>
      </c>
      <c r="BF151" s="125">
        <f>AI151*Valores!$C$83</f>
        <v>2174.4661931999995</v>
      </c>
      <c r="BG151" s="126"/>
      <c r="BH151" s="126">
        <v>25</v>
      </c>
      <c r="BI151" s="123" t="s">
        <v>4</v>
      </c>
    </row>
    <row r="152" spans="1:61" s="110" customFormat="1" ht="11.25" customHeight="1">
      <c r="A152" s="123" t="s">
        <v>393</v>
      </c>
      <c r="B152" s="123">
        <v>1</v>
      </c>
      <c r="C152" s="126">
        <v>145</v>
      </c>
      <c r="D152" s="124" t="s">
        <v>394</v>
      </c>
      <c r="E152" s="192">
        <v>1065</v>
      </c>
      <c r="F152" s="125">
        <f>ROUND(E152*Valores!$C$2,2)</f>
        <v>62750.12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27629.85</v>
      </c>
      <c r="N152" s="125">
        <f t="shared" si="22"/>
        <v>0</v>
      </c>
      <c r="O152" s="125">
        <f>Valores!$C$16</f>
        <v>50911.51</v>
      </c>
      <c r="P152" s="125">
        <f>Valores!$D$5</f>
        <v>30120.06</v>
      </c>
      <c r="Q152" s="125">
        <f>Valores!$C$23</f>
        <v>25008.96</v>
      </c>
      <c r="R152" s="125">
        <f>IF($F$4="NO",Valores!$C$43,Valores!$C$43/2)</f>
        <v>19743.9</v>
      </c>
      <c r="S152" s="125">
        <f>Valores!$C$19</f>
        <v>28025.371999999996</v>
      </c>
      <c r="T152" s="125">
        <f t="shared" si="27"/>
        <v>28025.37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Valores!$C$95</f>
        <v>41242.8</v>
      </c>
      <c r="AA152" s="125">
        <f>Valores!$C$25</f>
        <v>1231.85</v>
      </c>
      <c r="AB152" s="214">
        <v>0</v>
      </c>
      <c r="AC152" s="125">
        <f t="shared" si="23"/>
        <v>0</v>
      </c>
      <c r="AD152" s="125">
        <f>Valores!$C$26</f>
        <v>1231.85</v>
      </c>
      <c r="AE152" s="192">
        <v>0</v>
      </c>
      <c r="AF152" s="125">
        <f>ROUND(AE152*Valores!$C$2,2)</f>
        <v>0</v>
      </c>
      <c r="AG152" s="125">
        <f>SUM(F152,H152,J152,L152,M152,N152,O152,P152,Q152,R152,T152,U152,V152,X152,Y152,Z152,AA152,AC152,AD152,AF152,AH152)*Valores!$C$69</f>
        <v>38955.35549999999</v>
      </c>
      <c r="AH152" s="125">
        <f>ROUND(IF($F$4="NO",Valores!$C$63,Valores!$C$63/2),2)</f>
        <v>14083.23</v>
      </c>
      <c r="AI152" s="125">
        <f t="shared" si="20"/>
        <v>340934.85549999995</v>
      </c>
      <c r="AJ152" s="125">
        <f>Valores!$C$31</f>
        <v>0</v>
      </c>
      <c r="AK152" s="125">
        <f>Valores!$C$88</f>
        <v>0</v>
      </c>
      <c r="AL152" s="125">
        <f>Valores!C$38*B152</f>
        <v>0</v>
      </c>
      <c r="AM152" s="125">
        <f>IF($F$3="NO",0,Valores!$C$56)</f>
        <v>0</v>
      </c>
      <c r="AN152" s="125">
        <f t="shared" si="24"/>
        <v>0</v>
      </c>
      <c r="AO152" s="125">
        <f>AI152*Valores!$C$71</f>
        <v>-37502.834104999994</v>
      </c>
      <c r="AP152" s="125">
        <f>AI152*Valores!$C$72</f>
        <v>-6818.697109999999</v>
      </c>
      <c r="AQ152" s="125">
        <f>AI152*-Valores!$C$73</f>
        <v>0</v>
      </c>
      <c r="AR152" s="125">
        <f>AI152*Valores!$C$74</f>
        <v>-18751.417052499997</v>
      </c>
      <c r="AS152" s="125">
        <f>Valores!$C$101</f>
        <v>-1270</v>
      </c>
      <c r="AT152" s="125">
        <f>IF($F$5=0,Valores!$C$102,(Valores!$C$102+$F$5*(Valores!$C$102)))</f>
        <v>-3700</v>
      </c>
      <c r="AU152" s="125">
        <f t="shared" si="26"/>
        <v>272891.9072325</v>
      </c>
      <c r="AV152" s="125">
        <f t="shared" si="21"/>
        <v>-37502.834104999994</v>
      </c>
      <c r="AW152" s="125">
        <f t="shared" si="28"/>
        <v>-6818.697109999999</v>
      </c>
      <c r="AX152" s="125">
        <f>AI152*Valores!$C$75</f>
        <v>-9205.241098499999</v>
      </c>
      <c r="AY152" s="125">
        <f>AI152*Valores!$C$76</f>
        <v>-1022.8045664999999</v>
      </c>
      <c r="AZ152" s="125">
        <f t="shared" si="25"/>
        <v>286385.27861999994</v>
      </c>
      <c r="BA152" s="125">
        <f>AI152*Valores!$C$78</f>
        <v>54549.57687999999</v>
      </c>
      <c r="BB152" s="125">
        <f>AI152*Valores!$C$79</f>
        <v>23865.439885</v>
      </c>
      <c r="BC152" s="125">
        <f>AI152*Valores!$C$80</f>
        <v>3409.3485549999996</v>
      </c>
      <c r="BD152" s="125">
        <f>AI152*Valores!$C$82</f>
        <v>11932.7199425</v>
      </c>
      <c r="BE152" s="125">
        <f>AI152*Valores!$C$84</f>
        <v>18410.482196999998</v>
      </c>
      <c r="BF152" s="125">
        <f>AI152*Valores!$C$83</f>
        <v>2045.6091329999997</v>
      </c>
      <c r="BG152" s="126"/>
      <c r="BH152" s="126">
        <v>25</v>
      </c>
      <c r="BI152" s="123" t="s">
        <v>4</v>
      </c>
    </row>
    <row r="153" spans="1:61" s="110" customFormat="1" ht="11.25" customHeight="1">
      <c r="A153" s="123" t="s">
        <v>395</v>
      </c>
      <c r="B153" s="123">
        <v>1</v>
      </c>
      <c r="C153" s="126">
        <v>146</v>
      </c>
      <c r="D153" s="124" t="s">
        <v>396</v>
      </c>
      <c r="E153" s="192">
        <v>947</v>
      </c>
      <c r="F153" s="125">
        <f>ROUND(E153*Valores!$C$2,2)</f>
        <v>55797.52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25891.7</v>
      </c>
      <c r="N153" s="125">
        <f t="shared" si="22"/>
        <v>0</v>
      </c>
      <c r="O153" s="125">
        <f>Valores!$C$16</f>
        <v>50911.51</v>
      </c>
      <c r="P153" s="125">
        <f>Valores!$D$5</f>
        <v>30120.06</v>
      </c>
      <c r="Q153" s="125">
        <f>Valores!$C$23</f>
        <v>25008.96</v>
      </c>
      <c r="R153" s="125">
        <f>IF($F$4="NO",Valores!$C$43,Valores!$C$43/2)</f>
        <v>19743.9</v>
      </c>
      <c r="S153" s="125">
        <f>Valores!$C$19</f>
        <v>28025.371999999996</v>
      </c>
      <c r="T153" s="125">
        <f t="shared" si="27"/>
        <v>28025.37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Valores!$C$95</f>
        <v>41242.8</v>
      </c>
      <c r="AA153" s="125">
        <f>Valores!$C$25</f>
        <v>1231.85</v>
      </c>
      <c r="AB153" s="214">
        <v>0</v>
      </c>
      <c r="AC153" s="125">
        <f t="shared" si="23"/>
        <v>0</v>
      </c>
      <c r="AD153" s="125">
        <f>Valores!$C$26</f>
        <v>1231.85</v>
      </c>
      <c r="AE153" s="192">
        <v>0</v>
      </c>
      <c r="AF153" s="125">
        <f>ROUND(AE153*Valores!$C$2,2)</f>
        <v>0</v>
      </c>
      <c r="AG153" s="125">
        <f>SUM(F153,H153,J153,L153,M153,N153,O153,P153,Q153,R153,T153,U153,V153,X153,Y153,Z153,AA153,AC153,AD153,AF153,AH153)*Valores!$C$69</f>
        <v>37834.24874999999</v>
      </c>
      <c r="AH153" s="125">
        <f>ROUND(IF($F$4="NO",Valores!$C$63,Valores!$C$63/2),2)</f>
        <v>14083.23</v>
      </c>
      <c r="AI153" s="125">
        <f t="shared" si="20"/>
        <v>331122.9987499999</v>
      </c>
      <c r="AJ153" s="125">
        <f>Valores!$C$31</f>
        <v>0</v>
      </c>
      <c r="AK153" s="125">
        <f>Valores!$C$88</f>
        <v>0</v>
      </c>
      <c r="AL153" s="125">
        <f>Valores!C$38*B153</f>
        <v>0</v>
      </c>
      <c r="AM153" s="125">
        <f>IF($F$3="NO",0,Valores!$C$56)</f>
        <v>0</v>
      </c>
      <c r="AN153" s="125">
        <f t="shared" si="24"/>
        <v>0</v>
      </c>
      <c r="AO153" s="125">
        <f>AI153*Valores!$C$71</f>
        <v>-36423.52986249999</v>
      </c>
      <c r="AP153" s="125">
        <f>AI153*Valores!$C$72</f>
        <v>-6622.459974999998</v>
      </c>
      <c r="AQ153" s="125">
        <f>AI153*-Valores!$C$73</f>
        <v>0</v>
      </c>
      <c r="AR153" s="125">
        <f>AI153*Valores!$C$74</f>
        <v>-18211.764931249996</v>
      </c>
      <c r="AS153" s="125">
        <f>Valores!$C$101</f>
        <v>-1270</v>
      </c>
      <c r="AT153" s="125">
        <f>IF($F$5=0,Valores!$C$102,(Valores!$C$102+$F$5*(Valores!$C$102)))</f>
        <v>-3700</v>
      </c>
      <c r="AU153" s="125">
        <f t="shared" si="26"/>
        <v>264895.2439812499</v>
      </c>
      <c r="AV153" s="125">
        <f t="shared" si="21"/>
        <v>-36423.52986249999</v>
      </c>
      <c r="AW153" s="125">
        <f t="shared" si="28"/>
        <v>-6622.459974999998</v>
      </c>
      <c r="AX153" s="125">
        <f>AI153*Valores!$C$75</f>
        <v>-8940.320966249998</v>
      </c>
      <c r="AY153" s="125">
        <f>AI153*Valores!$C$76</f>
        <v>-993.3689962499998</v>
      </c>
      <c r="AZ153" s="125">
        <f t="shared" si="25"/>
        <v>278143.3189499999</v>
      </c>
      <c r="BA153" s="125">
        <f>AI153*Valores!$C$78</f>
        <v>52979.67979999998</v>
      </c>
      <c r="BB153" s="125">
        <f>AI153*Valores!$C$79</f>
        <v>23178.609912499996</v>
      </c>
      <c r="BC153" s="125">
        <f>AI153*Valores!$C$80</f>
        <v>3311.229987499999</v>
      </c>
      <c r="BD153" s="125">
        <f>AI153*Valores!$C$82</f>
        <v>11589.304956249998</v>
      </c>
      <c r="BE153" s="125">
        <f>AI153*Valores!$C$84</f>
        <v>17880.641932499995</v>
      </c>
      <c r="BF153" s="125">
        <f>AI153*Valores!$C$83</f>
        <v>1986.7379924999996</v>
      </c>
      <c r="BG153" s="126"/>
      <c r="BH153" s="126">
        <v>22</v>
      </c>
      <c r="BI153" s="123" t="s">
        <v>4</v>
      </c>
    </row>
    <row r="154" spans="1:61" s="110" customFormat="1" ht="11.25" customHeight="1">
      <c r="A154" s="123" t="s">
        <v>397</v>
      </c>
      <c r="B154" s="123">
        <v>1</v>
      </c>
      <c r="C154" s="126">
        <v>147</v>
      </c>
      <c r="D154" s="124" t="s">
        <v>398</v>
      </c>
      <c r="E154" s="192">
        <v>1800</v>
      </c>
      <c r="F154" s="125">
        <f>ROUND(E154*Valores!$C$2,2)</f>
        <v>106056.54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41391.88</v>
      </c>
      <c r="N154" s="125">
        <f t="shared" si="22"/>
        <v>0</v>
      </c>
      <c r="O154" s="125">
        <f>Valores!$C$8</f>
        <v>73844.92</v>
      </c>
      <c r="P154" s="125">
        <f>Valores!$D$5</f>
        <v>30120.06</v>
      </c>
      <c r="Q154" s="125">
        <f>Valores!$C$22</f>
        <v>26870.16</v>
      </c>
      <c r="R154" s="125">
        <f>IF($F$4="NO",Valores!$C$47,Valores!$C$47/2)</f>
        <v>31485.59</v>
      </c>
      <c r="S154" s="125">
        <f>Valores!$C$19</f>
        <v>28025.371999999996</v>
      </c>
      <c r="T154" s="125">
        <f t="shared" si="27"/>
        <v>28025.37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Valores!$C$97</f>
        <v>82485.58</v>
      </c>
      <c r="AA154" s="125">
        <f>Valores!$C$25</f>
        <v>1231.85</v>
      </c>
      <c r="AB154" s="214">
        <v>0</v>
      </c>
      <c r="AC154" s="125">
        <f t="shared" si="23"/>
        <v>0</v>
      </c>
      <c r="AD154" s="125">
        <f>Valores!$C$26</f>
        <v>1231.85</v>
      </c>
      <c r="AE154" s="192">
        <v>0</v>
      </c>
      <c r="AF154" s="125">
        <f>ROUND(AE154*Valores!$C$2,2)</f>
        <v>0</v>
      </c>
      <c r="AG154" s="125">
        <f>SUM(F154,H154,J154,L154,M154,N154,O154,P154,Q154,R154,T154,U154,V154,X154,Y154,Z154,AA154,AC154,AD154,AF154,AH154)*Valores!$C$69</f>
        <v>56350.68686999999</v>
      </c>
      <c r="AH154" s="125">
        <f>ROUND(IF($F$4="NO",Valores!$C$63,Valores!$C$63/2),2)</f>
        <v>14083.23</v>
      </c>
      <c r="AI154" s="125">
        <f t="shared" si="20"/>
        <v>493177.7168699999</v>
      </c>
      <c r="AJ154" s="125">
        <f>Valores!$C$31</f>
        <v>0</v>
      </c>
      <c r="AK154" s="125">
        <f>Valores!$C$90</f>
        <v>0</v>
      </c>
      <c r="AL154" s="125">
        <f>Valores!C$38*B154</f>
        <v>0</v>
      </c>
      <c r="AM154" s="125">
        <f>IF($F$3="NO",0,Valores!$C$56)</f>
        <v>0</v>
      </c>
      <c r="AN154" s="125">
        <f t="shared" si="24"/>
        <v>0</v>
      </c>
      <c r="AO154" s="125">
        <f>AI154*Valores!$C$71</f>
        <v>-54249.548855699984</v>
      </c>
      <c r="AP154" s="125">
        <f>AI154*Valores!$C$72</f>
        <v>-9863.554337399997</v>
      </c>
      <c r="AQ154" s="125">
        <f>AI154*-Valores!$C$73</f>
        <v>0</v>
      </c>
      <c r="AR154" s="125">
        <f>AI154*Valores!$C$74</f>
        <v>-27124.774427849992</v>
      </c>
      <c r="AS154" s="125">
        <f>Valores!$C$101</f>
        <v>-1270</v>
      </c>
      <c r="AT154" s="125">
        <f>IF($F$5=0,Valores!$C$102,(Valores!$C$102+$F$5*(Valores!$C$102)))</f>
        <v>-3700</v>
      </c>
      <c r="AU154" s="125">
        <f t="shared" si="26"/>
        <v>396969.8392490499</v>
      </c>
      <c r="AV154" s="125">
        <f t="shared" si="21"/>
        <v>-54249.548855699984</v>
      </c>
      <c r="AW154" s="125">
        <f t="shared" si="28"/>
        <v>-9863.554337399997</v>
      </c>
      <c r="AX154" s="125">
        <f>AI154*Valores!$C$75</f>
        <v>-13315.798355489997</v>
      </c>
      <c r="AY154" s="125">
        <f>AI154*Valores!$C$76</f>
        <v>-1479.5331506099997</v>
      </c>
      <c r="AZ154" s="125">
        <f t="shared" si="25"/>
        <v>414269.2821707999</v>
      </c>
      <c r="BA154" s="125">
        <f>AI154*Valores!$C$78</f>
        <v>78908.43469919998</v>
      </c>
      <c r="BB154" s="125">
        <f>AI154*Valores!$C$79</f>
        <v>34522.4401809</v>
      </c>
      <c r="BC154" s="125">
        <f>AI154*Valores!$C$80</f>
        <v>4931.777168699999</v>
      </c>
      <c r="BD154" s="125">
        <f>AI154*Valores!$C$82</f>
        <v>17261.22009045</v>
      </c>
      <c r="BE154" s="125">
        <f>AI154*Valores!$C$84</f>
        <v>26631.596710979993</v>
      </c>
      <c r="BF154" s="125">
        <f>AI154*Valores!$C$83</f>
        <v>2959.0663012199993</v>
      </c>
      <c r="BG154" s="126"/>
      <c r="BH154" s="126"/>
      <c r="BI154" s="123" t="s">
        <v>4</v>
      </c>
    </row>
    <row r="155" spans="1:61" s="110" customFormat="1" ht="11.25" customHeight="1">
      <c r="A155" s="123" t="s">
        <v>399</v>
      </c>
      <c r="B155" s="123">
        <v>1</v>
      </c>
      <c r="C155" s="126">
        <v>148</v>
      </c>
      <c r="D155" s="124" t="s">
        <v>400</v>
      </c>
      <c r="E155" s="192">
        <v>1278</v>
      </c>
      <c r="F155" s="125">
        <f>ROUND(E155*Valores!$C$2,2)</f>
        <v>75300.14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31062.07</v>
      </c>
      <c r="N155" s="125">
        <f t="shared" si="22"/>
        <v>0</v>
      </c>
      <c r="O155" s="125">
        <f>Valores!$C$8</f>
        <v>73844.92</v>
      </c>
      <c r="P155" s="125">
        <f>Valores!$D$5</f>
        <v>30120.06</v>
      </c>
      <c r="Q155" s="125">
        <f>Valores!$C$22</f>
        <v>26870.16</v>
      </c>
      <c r="R155" s="125">
        <f>IF($F$4="NO",Valores!$C$44,Valores!$C$44/2)</f>
        <v>20922.76</v>
      </c>
      <c r="S155" s="125">
        <f>Valores!$C$19</f>
        <v>28025.371999999996</v>
      </c>
      <c r="T155" s="125">
        <f t="shared" si="27"/>
        <v>28025.37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Valores!$C$95</f>
        <v>41242.8</v>
      </c>
      <c r="AA155" s="125">
        <f>Valores!$C$25</f>
        <v>1231.85</v>
      </c>
      <c r="AB155" s="214">
        <v>0</v>
      </c>
      <c r="AC155" s="125">
        <f t="shared" si="23"/>
        <v>0</v>
      </c>
      <c r="AD155" s="125">
        <f>Valores!$C$26</f>
        <v>1231.85</v>
      </c>
      <c r="AE155" s="192">
        <v>0</v>
      </c>
      <c r="AF155" s="125">
        <f>ROUND(AE155*Valores!$C$2,2)</f>
        <v>0</v>
      </c>
      <c r="AG155" s="125">
        <f>SUM(F155,H155,J155,L155,M155,N155,O155,P155,Q155,R155,T155,U155,V155,X155,Y155,Z155,AA155,AC155,AD155,AF155,AH155)*Valores!$C$69</f>
        <v>44367.642089999994</v>
      </c>
      <c r="AH155" s="125">
        <f>ROUND(IF($F$4="NO",Valores!$C$63,Valores!$C$63/2),2)</f>
        <v>14083.23</v>
      </c>
      <c r="AI155" s="125">
        <f t="shared" si="20"/>
        <v>388302.85208999994</v>
      </c>
      <c r="AJ155" s="125">
        <f>Valores!$C$31</f>
        <v>0</v>
      </c>
      <c r="AK155" s="125">
        <f>Valores!$C$88</f>
        <v>0</v>
      </c>
      <c r="AL155" s="125">
        <f>Valores!C$38*B155</f>
        <v>0</v>
      </c>
      <c r="AM155" s="125">
        <f>IF($F$3="NO",0,Valores!$C$56)</f>
        <v>0</v>
      </c>
      <c r="AN155" s="125">
        <f t="shared" si="24"/>
        <v>0</v>
      </c>
      <c r="AO155" s="125">
        <f>AI155*Valores!$C$71</f>
        <v>-42713.31372989999</v>
      </c>
      <c r="AP155" s="125">
        <f>AI155*Valores!$C$72</f>
        <v>-7766.057041799999</v>
      </c>
      <c r="AQ155" s="125">
        <f>AI155*-Valores!$C$73</f>
        <v>0</v>
      </c>
      <c r="AR155" s="125">
        <f>AI155*Valores!$C$74</f>
        <v>-21356.656864949997</v>
      </c>
      <c r="AS155" s="125">
        <f>Valores!$C$101</f>
        <v>-1270</v>
      </c>
      <c r="AT155" s="125">
        <f>IF($F$5=0,Valores!$C$102,(Valores!$C$102+$F$5*(Valores!$C$102)))</f>
        <v>-3700</v>
      </c>
      <c r="AU155" s="125">
        <f t="shared" si="26"/>
        <v>311496.8244533499</v>
      </c>
      <c r="AV155" s="125">
        <f t="shared" si="21"/>
        <v>-42713.31372989999</v>
      </c>
      <c r="AW155" s="125">
        <f t="shared" si="28"/>
        <v>-7766.057041799999</v>
      </c>
      <c r="AX155" s="125">
        <f>AI155*Valores!$C$75</f>
        <v>-10484.177006429998</v>
      </c>
      <c r="AY155" s="125">
        <f>AI155*Valores!$C$76</f>
        <v>-1164.90855627</v>
      </c>
      <c r="AZ155" s="125">
        <f t="shared" si="25"/>
        <v>326174.39575559995</v>
      </c>
      <c r="BA155" s="125">
        <f>AI155*Valores!$C$78</f>
        <v>62128.45633439999</v>
      </c>
      <c r="BB155" s="125">
        <f>AI155*Valores!$C$79</f>
        <v>27181.1996463</v>
      </c>
      <c r="BC155" s="125">
        <f>AI155*Valores!$C$80</f>
        <v>3883.0285208999994</v>
      </c>
      <c r="BD155" s="125">
        <f>AI155*Valores!$C$82</f>
        <v>13590.59982315</v>
      </c>
      <c r="BE155" s="125">
        <f>AI155*Valores!$C$84</f>
        <v>20968.354012859996</v>
      </c>
      <c r="BF155" s="125">
        <f>AI155*Valores!$C$83</f>
        <v>2329.81711254</v>
      </c>
      <c r="BG155" s="126"/>
      <c r="BH155" s="126">
        <v>27</v>
      </c>
      <c r="BI155" s="123" t="s">
        <v>4</v>
      </c>
    </row>
    <row r="156" spans="1:61" s="110" customFormat="1" ht="11.25" customHeight="1">
      <c r="A156" s="123" t="s">
        <v>401</v>
      </c>
      <c r="B156" s="123">
        <v>1</v>
      </c>
      <c r="C156" s="126">
        <v>149</v>
      </c>
      <c r="D156" s="124" t="s">
        <v>402</v>
      </c>
      <c r="E156" s="192">
        <v>1214</v>
      </c>
      <c r="F156" s="125">
        <f>ROUND(E156*Valores!$C$2,2)</f>
        <v>71529.24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30119.34</v>
      </c>
      <c r="N156" s="125">
        <f t="shared" si="22"/>
        <v>0</v>
      </c>
      <c r="O156" s="125">
        <f>Valores!$C$16</f>
        <v>50911.51</v>
      </c>
      <c r="P156" s="125">
        <f>Valores!$D$5</f>
        <v>30120.06</v>
      </c>
      <c r="Q156" s="125">
        <f>Valores!$C$22</f>
        <v>26870.16</v>
      </c>
      <c r="R156" s="125">
        <f>IF($F$4="NO",Valores!$C$44,Valores!$C$44/2)</f>
        <v>20922.76</v>
      </c>
      <c r="S156" s="125">
        <f>Valores!$C$19</f>
        <v>28025.371999999996</v>
      </c>
      <c r="T156" s="125">
        <f t="shared" si="27"/>
        <v>28025.37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Valores!$C$95</f>
        <v>41242.8</v>
      </c>
      <c r="AA156" s="125">
        <f>Valores!$C$25</f>
        <v>1231.85</v>
      </c>
      <c r="AB156" s="214">
        <v>0</v>
      </c>
      <c r="AC156" s="125">
        <f t="shared" si="23"/>
        <v>0</v>
      </c>
      <c r="AD156" s="125">
        <f>Valores!$C$26</f>
        <v>1231.85</v>
      </c>
      <c r="AE156" s="192">
        <v>0</v>
      </c>
      <c r="AF156" s="125">
        <f>ROUND(AE156*Valores!$C$2,2)</f>
        <v>0</v>
      </c>
      <c r="AG156" s="125">
        <f>SUM(F156,H156,J156,L156,M156,N156,O156,P156,Q156,R156,T156,U156,V156,X156,Y156,Z156,AA156,AC156,AD156,AF156,AH156)*Valores!$C$69</f>
        <v>40801.17392999999</v>
      </c>
      <c r="AH156" s="125">
        <f>ROUND(IF($F$4="NO",Valores!$C$63,Valores!$C$63/2),2)</f>
        <v>14083.23</v>
      </c>
      <c r="AI156" s="125">
        <f t="shared" si="20"/>
        <v>357089.3439299999</v>
      </c>
      <c r="AJ156" s="125">
        <f>Valores!$C$31</f>
        <v>0</v>
      </c>
      <c r="AK156" s="125">
        <f>Valores!$C$88</f>
        <v>0</v>
      </c>
      <c r="AL156" s="125">
        <f>Valores!C$38*B156</f>
        <v>0</v>
      </c>
      <c r="AM156" s="125">
        <f>IF($F$3="NO",0,Valores!$C$56)</f>
        <v>0</v>
      </c>
      <c r="AN156" s="125">
        <f t="shared" si="24"/>
        <v>0</v>
      </c>
      <c r="AO156" s="125">
        <f>AI156*Valores!$C$71</f>
        <v>-39279.82783229999</v>
      </c>
      <c r="AP156" s="125">
        <f>AI156*Valores!$C$72</f>
        <v>-7141.786878599998</v>
      </c>
      <c r="AQ156" s="125">
        <f>AI156*-Valores!$C$73</f>
        <v>0</v>
      </c>
      <c r="AR156" s="125">
        <f>AI156*Valores!$C$74</f>
        <v>-19639.913916149995</v>
      </c>
      <c r="AS156" s="125">
        <f>Valores!$C$101</f>
        <v>-1270</v>
      </c>
      <c r="AT156" s="125">
        <f>IF($F$5=0,Valores!$C$102,(Valores!$C$102+$F$5*(Valores!$C$102)))</f>
        <v>-3700</v>
      </c>
      <c r="AU156" s="125">
        <f t="shared" si="26"/>
        <v>286057.8153029499</v>
      </c>
      <c r="AV156" s="125">
        <f t="shared" si="21"/>
        <v>-39279.82783229999</v>
      </c>
      <c r="AW156" s="125">
        <f t="shared" si="28"/>
        <v>-7141.786878599998</v>
      </c>
      <c r="AX156" s="125">
        <f>AI156*Valores!$C$75</f>
        <v>-9641.412286109997</v>
      </c>
      <c r="AY156" s="125">
        <f>AI156*Valores!$C$76</f>
        <v>-1071.2680317899997</v>
      </c>
      <c r="AZ156" s="125">
        <f t="shared" si="25"/>
        <v>299955.04890119995</v>
      </c>
      <c r="BA156" s="125">
        <f>AI156*Valores!$C$78</f>
        <v>57134.295028799985</v>
      </c>
      <c r="BB156" s="125">
        <f>AI156*Valores!$C$79</f>
        <v>24996.254075099998</v>
      </c>
      <c r="BC156" s="125">
        <f>AI156*Valores!$C$80</f>
        <v>3570.893439299999</v>
      </c>
      <c r="BD156" s="125">
        <f>AI156*Valores!$C$82</f>
        <v>12498.127037549999</v>
      </c>
      <c r="BE156" s="125">
        <f>AI156*Valores!$C$84</f>
        <v>19282.824572219994</v>
      </c>
      <c r="BF156" s="125">
        <f>AI156*Valores!$C$83</f>
        <v>2142.5360635799993</v>
      </c>
      <c r="BG156" s="126"/>
      <c r="BH156" s="126"/>
      <c r="BI156" s="123" t="s">
        <v>4</v>
      </c>
    </row>
    <row r="157" spans="1:61" s="110" customFormat="1" ht="11.25" customHeight="1">
      <c r="A157" s="123" t="s">
        <v>403</v>
      </c>
      <c r="B157" s="123">
        <v>1</v>
      </c>
      <c r="C157" s="126">
        <v>150</v>
      </c>
      <c r="D157" s="124" t="s">
        <v>404</v>
      </c>
      <c r="E157" s="192">
        <f>1106+78</f>
        <v>1184</v>
      </c>
      <c r="F157" s="125">
        <f>ROUND(E157*Valores!$C$2,2)</f>
        <v>69761.64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29605.81</v>
      </c>
      <c r="N157" s="125">
        <f t="shared" si="22"/>
        <v>0</v>
      </c>
      <c r="O157" s="125">
        <f>Valores!$C$16</f>
        <v>50911.51</v>
      </c>
      <c r="P157" s="125">
        <f>Valores!$D$5</f>
        <v>30120.06</v>
      </c>
      <c r="Q157" s="125">
        <v>0</v>
      </c>
      <c r="R157" s="125">
        <f>IF($F$4="NO",Valores!$C$44,Valores!$C$44/2)</f>
        <v>20922.76</v>
      </c>
      <c r="S157" s="125">
        <f>Valores!$C$20</f>
        <v>27738.840000000004</v>
      </c>
      <c r="T157" s="125">
        <f t="shared" si="27"/>
        <v>27738.84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Valores!$C$95</f>
        <v>41242.8</v>
      </c>
      <c r="AA157" s="125">
        <f>Valores!$C$25</f>
        <v>1231.85</v>
      </c>
      <c r="AB157" s="214">
        <v>0</v>
      </c>
      <c r="AC157" s="125">
        <f t="shared" si="23"/>
        <v>0</v>
      </c>
      <c r="AD157" s="125">
        <f>Valores!$C$26</f>
        <v>1231.85</v>
      </c>
      <c r="AE157" s="192">
        <v>0</v>
      </c>
      <c r="AF157" s="125">
        <f>ROUND(AE157*Valores!$C$2,2)</f>
        <v>0</v>
      </c>
      <c r="AG157" s="125">
        <f>SUM(F157,H157,J157,L157,M157,N157,O157,P157,Q157,R157,T157,U157,V157,X157,Y157,Z157,AA157,AC157,AD157,AF157,AH157)*Valores!$C$69</f>
        <v>37003.69514999999</v>
      </c>
      <c r="AH157" s="125">
        <f>ROUND(IF($F$4="NO",Valores!$C$63,Valores!$C$63/2),2)</f>
        <v>14083.23</v>
      </c>
      <c r="AI157" s="125">
        <f aca="true" t="shared" si="29" ref="AI157:AI220">SUM(F157,H157,J157,L157,M157,N157,O157,P157,Q157,R157,T157,U157,V157,X157,Y157,Z157,AA157,AC157,AD157,AF157,AG157,AH157)</f>
        <v>323854.0451499999</v>
      </c>
      <c r="AJ157" s="125">
        <f>Valores!$C$31</f>
        <v>0</v>
      </c>
      <c r="AK157" s="125">
        <f>Valores!$C$88</f>
        <v>0</v>
      </c>
      <c r="AL157" s="125">
        <f>Valores!C$38*B157</f>
        <v>0</v>
      </c>
      <c r="AM157" s="125">
        <f>IF($F$3="NO",0,Valores!$C$56)</f>
        <v>0</v>
      </c>
      <c r="AN157" s="125">
        <f t="shared" si="24"/>
        <v>0</v>
      </c>
      <c r="AO157" s="125">
        <f>AI157*Valores!$C$71</f>
        <v>-35623.94496649999</v>
      </c>
      <c r="AP157" s="125">
        <f>AI157*Valores!$C$72</f>
        <v>-6477.080902999998</v>
      </c>
      <c r="AQ157" s="125">
        <f>AI157*-Valores!$C$73</f>
        <v>0</v>
      </c>
      <c r="AR157" s="125">
        <f>AI157*Valores!$C$74</f>
        <v>-17811.972483249996</v>
      </c>
      <c r="AS157" s="125">
        <f>Valores!$C$101</f>
        <v>-1270</v>
      </c>
      <c r="AT157" s="125">
        <f>IF($F$5=0,Valores!$C$102,(Valores!$C$102+$F$5*(Valores!$C$102)))</f>
        <v>-3700</v>
      </c>
      <c r="AU157" s="125">
        <f t="shared" si="26"/>
        <v>258971.04679724993</v>
      </c>
      <c r="AV157" s="125">
        <f t="shared" si="21"/>
        <v>-35623.94496649999</v>
      </c>
      <c r="AW157" s="125">
        <f t="shared" si="28"/>
        <v>-6477.080902999998</v>
      </c>
      <c r="AX157" s="125">
        <f>AI157*Valores!$C$75</f>
        <v>-8744.059219049997</v>
      </c>
      <c r="AY157" s="125">
        <f>AI157*Valores!$C$76</f>
        <v>-971.5621354499997</v>
      </c>
      <c r="AZ157" s="125">
        <f t="shared" si="25"/>
        <v>272037.39792599995</v>
      </c>
      <c r="BA157" s="125">
        <f>AI157*Valores!$C$78</f>
        <v>51816.647223999986</v>
      </c>
      <c r="BB157" s="125">
        <f>AI157*Valores!$C$79</f>
        <v>22669.783160499996</v>
      </c>
      <c r="BC157" s="125">
        <f>AI157*Valores!$C$80</f>
        <v>3238.540451499999</v>
      </c>
      <c r="BD157" s="125">
        <f>AI157*Valores!$C$82</f>
        <v>11334.891580249998</v>
      </c>
      <c r="BE157" s="125">
        <f>AI157*Valores!$C$84</f>
        <v>17488.118438099995</v>
      </c>
      <c r="BF157" s="125">
        <f>AI157*Valores!$C$83</f>
        <v>1943.1242708999994</v>
      </c>
      <c r="BG157" s="126"/>
      <c r="BH157" s="126"/>
      <c r="BI157" s="123" t="s">
        <v>8</v>
      </c>
    </row>
    <row r="158" spans="1:61" s="110" customFormat="1" ht="11.25" customHeight="1">
      <c r="A158" s="123" t="s">
        <v>405</v>
      </c>
      <c r="B158" s="123">
        <v>1</v>
      </c>
      <c r="C158" s="126">
        <v>151</v>
      </c>
      <c r="D158" s="124" t="s">
        <v>406</v>
      </c>
      <c r="E158" s="192">
        <v>971</v>
      </c>
      <c r="F158" s="125">
        <f>ROUND(E158*Valores!$C$2,2)</f>
        <v>57211.61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26245.22</v>
      </c>
      <c r="N158" s="125">
        <f t="shared" si="22"/>
        <v>0</v>
      </c>
      <c r="O158" s="125">
        <f>Valores!$C$16</f>
        <v>50911.51</v>
      </c>
      <c r="P158" s="125">
        <f>Valores!$D$5</f>
        <v>30120.06</v>
      </c>
      <c r="Q158" s="125">
        <f>Valores!$C$23</f>
        <v>25008.96</v>
      </c>
      <c r="R158" s="125">
        <f>IF($F$4="NO",Valores!$C$43,Valores!$C$43/2)</f>
        <v>19743.9</v>
      </c>
      <c r="S158" s="125">
        <f>Valores!$C$19</f>
        <v>28025.371999999996</v>
      </c>
      <c r="T158" s="125">
        <f t="shared" si="27"/>
        <v>28025.37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Valores!$C$95</f>
        <v>41242.8</v>
      </c>
      <c r="AA158" s="125">
        <f>Valores!$C$25</f>
        <v>1231.85</v>
      </c>
      <c r="AB158" s="214">
        <v>0</v>
      </c>
      <c r="AC158" s="125">
        <f t="shared" si="23"/>
        <v>0</v>
      </c>
      <c r="AD158" s="125">
        <f>Valores!$C$25</f>
        <v>1231.85</v>
      </c>
      <c r="AE158" s="192">
        <v>0</v>
      </c>
      <c r="AF158" s="125">
        <f>ROUND(AE158*Valores!$C$2,2)</f>
        <v>0</v>
      </c>
      <c r="AG158" s="125">
        <f>SUM(F158,H158,J158,L158,M158,N158,O158,P158,Q158,R158,T158,U158,V158,X158,Y158,Z158,AA158,AC158,AD158,AF158,AH158)*Valores!$C$69</f>
        <v>38062.27043999999</v>
      </c>
      <c r="AH158" s="125">
        <f>ROUND(IF($F$4="NO",Valores!$C$63,Valores!$C$63/2),2)</f>
        <v>14083.23</v>
      </c>
      <c r="AI158" s="125">
        <f t="shared" si="29"/>
        <v>333118.6304399999</v>
      </c>
      <c r="AJ158" s="125">
        <f>Valores!$C$31</f>
        <v>0</v>
      </c>
      <c r="AK158" s="125">
        <f>Valores!$C$88</f>
        <v>0</v>
      </c>
      <c r="AL158" s="125">
        <f>Valores!C$38*B158</f>
        <v>0</v>
      </c>
      <c r="AM158" s="125">
        <f>(IF($F$3="NO",0,Valores!$C$58))</f>
        <v>0</v>
      </c>
      <c r="AN158" s="125">
        <f t="shared" si="24"/>
        <v>0</v>
      </c>
      <c r="AO158" s="125">
        <f>AI158*Valores!$C$71</f>
        <v>-36643.04934839999</v>
      </c>
      <c r="AP158" s="125">
        <f>AI158*Valores!$C$72</f>
        <v>-6662.3726087999985</v>
      </c>
      <c r="AQ158" s="125">
        <f>AI158*-Valores!$C$73</f>
        <v>0</v>
      </c>
      <c r="AR158" s="125">
        <f>AI158*Valores!$C$74</f>
        <v>-18321.524674199994</v>
      </c>
      <c r="AS158" s="125">
        <f>Valores!$C$101</f>
        <v>-1270</v>
      </c>
      <c r="AT158" s="125">
        <f>IF($F$5=0,Valores!$C$102,(Valores!$C$102+$F$5*(Valores!$C$102)))</f>
        <v>-3700</v>
      </c>
      <c r="AU158" s="125">
        <f t="shared" si="26"/>
        <v>266521.68380859995</v>
      </c>
      <c r="AV158" s="125">
        <f t="shared" si="21"/>
        <v>-36643.04934839999</v>
      </c>
      <c r="AW158" s="125">
        <f t="shared" si="28"/>
        <v>-6662.3726087999985</v>
      </c>
      <c r="AX158" s="125">
        <f>AI158*Valores!$C$75</f>
        <v>-8994.203021879997</v>
      </c>
      <c r="AY158" s="125">
        <f>AI158*Valores!$C$76</f>
        <v>-999.3558913199997</v>
      </c>
      <c r="AZ158" s="125">
        <f t="shared" si="25"/>
        <v>279819.64956959995</v>
      </c>
      <c r="BA158" s="125">
        <f>AI158*Valores!$C$78</f>
        <v>53298.98087039999</v>
      </c>
      <c r="BB158" s="125">
        <f>AI158*Valores!$C$79</f>
        <v>23318.304130799996</v>
      </c>
      <c r="BC158" s="125">
        <f>AI158*Valores!$C$80</f>
        <v>3331.1863043999992</v>
      </c>
      <c r="BD158" s="125">
        <f>AI158*Valores!$C$82</f>
        <v>11659.152065399998</v>
      </c>
      <c r="BE158" s="125">
        <f>AI158*Valores!$C$84</f>
        <v>17988.406043759995</v>
      </c>
      <c r="BF158" s="125">
        <f>AI158*Valores!$C$83</f>
        <v>1998.7117826399995</v>
      </c>
      <c r="BG158" s="126">
        <v>12</v>
      </c>
      <c r="BH158" s="126">
        <v>12</v>
      </c>
      <c r="BI158" s="123" t="s">
        <v>4</v>
      </c>
    </row>
    <row r="159" spans="1:61" s="110" customFormat="1" ht="11.25" customHeight="1">
      <c r="A159" s="123" t="s">
        <v>405</v>
      </c>
      <c r="B159" s="123">
        <v>1</v>
      </c>
      <c r="C159" s="126">
        <v>152</v>
      </c>
      <c r="D159" s="124" t="s">
        <v>407</v>
      </c>
      <c r="E159" s="192">
        <v>971</v>
      </c>
      <c r="F159" s="125">
        <f>ROUND(E159*Valores!$C$2,2)</f>
        <v>57211.61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35072.67</v>
      </c>
      <c r="N159" s="125">
        <f t="shared" si="22"/>
        <v>0</v>
      </c>
      <c r="O159" s="125">
        <f>Valores!$C$16</f>
        <v>50911.51</v>
      </c>
      <c r="P159" s="125">
        <f>Valores!$D$5</f>
        <v>30120.06</v>
      </c>
      <c r="Q159" s="125">
        <f>Valores!$C$23</f>
        <v>25008.96</v>
      </c>
      <c r="R159" s="125">
        <f>IF($F$4="NO",Valores!$C$47,Valores!$C$47/2)</f>
        <v>31485.59</v>
      </c>
      <c r="S159" s="125">
        <f>Valores!$C$19</f>
        <v>28025.371999999996</v>
      </c>
      <c r="T159" s="125">
        <f t="shared" si="27"/>
        <v>28025.37</v>
      </c>
      <c r="U159" s="125">
        <v>0</v>
      </c>
      <c r="V159" s="125">
        <v>0</v>
      </c>
      <c r="W159" s="192">
        <v>400</v>
      </c>
      <c r="X159" s="125">
        <f>ROUND(W159*Valores!$C$2,2)</f>
        <v>23568.12</v>
      </c>
      <c r="Y159" s="125">
        <f>ROUND(SUM(J159,H159,F159,R159)*Valores!$C$3,2)</f>
        <v>13304.58</v>
      </c>
      <c r="Z159" s="125">
        <f>Valores!$C$95</f>
        <v>41242.8</v>
      </c>
      <c r="AA159" s="125">
        <f>Valores!$C$25</f>
        <v>1231.85</v>
      </c>
      <c r="AB159" s="214">
        <v>0</v>
      </c>
      <c r="AC159" s="125">
        <f t="shared" si="23"/>
        <v>0</v>
      </c>
      <c r="AD159" s="125">
        <f>Valores!$C$25</f>
        <v>1231.85</v>
      </c>
      <c r="AE159" s="192">
        <v>94</v>
      </c>
      <c r="AF159" s="125">
        <f>ROUND(AE159*Valores!$C$2,2)</f>
        <v>5538.51</v>
      </c>
      <c r="AG159" s="125">
        <f>SUM(F159,H159,J159,L159,M159,N159,O159,P159,Q159,R159,T159,U159,V159,X159,Y159,Z159,AA159,AC159,AD159,AF159,AH159)*Valores!$C$69</f>
        <v>46186.73559</v>
      </c>
      <c r="AH159" s="125">
        <f>ROUND(IF($F$4="NO",Valores!$C$63,Valores!$C$63/2),2)</f>
        <v>14083.23</v>
      </c>
      <c r="AI159" s="125">
        <f t="shared" si="29"/>
        <v>404223.44558999996</v>
      </c>
      <c r="AJ159" s="125">
        <f>Valores!$C$31</f>
        <v>0</v>
      </c>
      <c r="AK159" s="125">
        <f>Valores!$C$88</f>
        <v>0</v>
      </c>
      <c r="AL159" s="125">
        <f>Valores!C$38*B159</f>
        <v>0</v>
      </c>
      <c r="AM159" s="125">
        <f>(IF($F$3="NO",0,Valores!$C$58))</f>
        <v>0</v>
      </c>
      <c r="AN159" s="125">
        <f t="shared" si="24"/>
        <v>0</v>
      </c>
      <c r="AO159" s="125">
        <f>AI159*Valores!$C$71</f>
        <v>-44464.579014899995</v>
      </c>
      <c r="AP159" s="125">
        <f>AI159*Valores!$C$72</f>
        <v>-8084.4689118</v>
      </c>
      <c r="AQ159" s="125">
        <f>AI159*-Valores!$C$73</f>
        <v>0</v>
      </c>
      <c r="AR159" s="125">
        <f>AI159*Valores!$C$74</f>
        <v>-22232.289507449997</v>
      </c>
      <c r="AS159" s="125">
        <f>Valores!$C$101</f>
        <v>-1270</v>
      </c>
      <c r="AT159" s="125">
        <f>IF($F$5=0,Valores!$C$102,(Valores!$C$102+$F$5*(Valores!$C$102)))</f>
        <v>-3700</v>
      </c>
      <c r="AU159" s="125">
        <f t="shared" si="26"/>
        <v>324472.10815585</v>
      </c>
      <c r="AV159" s="125">
        <f t="shared" si="21"/>
        <v>-44464.579014899995</v>
      </c>
      <c r="AW159" s="125">
        <f t="shared" si="28"/>
        <v>-8084.4689118</v>
      </c>
      <c r="AX159" s="125">
        <f>AI159*Valores!$C$75</f>
        <v>-10914.033030929999</v>
      </c>
      <c r="AY159" s="125">
        <f>AI159*Valores!$C$76</f>
        <v>-1212.67033677</v>
      </c>
      <c r="AZ159" s="125">
        <f t="shared" si="25"/>
        <v>339547.69429559994</v>
      </c>
      <c r="BA159" s="125">
        <f>AI159*Valores!$C$78</f>
        <v>64675.7512944</v>
      </c>
      <c r="BB159" s="125">
        <f>AI159*Valores!$C$79</f>
        <v>28295.6411913</v>
      </c>
      <c r="BC159" s="125">
        <f>AI159*Valores!$C$80</f>
        <v>4042.2344559</v>
      </c>
      <c r="BD159" s="125">
        <f>AI159*Valores!$C$82</f>
        <v>14147.82059565</v>
      </c>
      <c r="BE159" s="125">
        <f>AI159*Valores!$C$84</f>
        <v>21828.066061859998</v>
      </c>
      <c r="BF159" s="125">
        <f>AI159*Valores!$C$83</f>
        <v>2425.34067354</v>
      </c>
      <c r="BG159" s="126">
        <v>12</v>
      </c>
      <c r="BH159" s="126">
        <v>18</v>
      </c>
      <c r="BI159" s="123" t="s">
        <v>4</v>
      </c>
    </row>
    <row r="160" spans="1:61" s="110" customFormat="1" ht="11.25" customHeight="1">
      <c r="A160" s="123" t="s">
        <v>408</v>
      </c>
      <c r="B160" s="123">
        <v>1</v>
      </c>
      <c r="C160" s="126">
        <v>153</v>
      </c>
      <c r="D160" s="124" t="s">
        <v>409</v>
      </c>
      <c r="E160" s="192">
        <v>810</v>
      </c>
      <c r="F160" s="125">
        <f>ROUND(E160*Valores!$C$2,2)</f>
        <v>47725.44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23802.05</v>
      </c>
      <c r="N160" s="125">
        <f t="shared" si="22"/>
        <v>0</v>
      </c>
      <c r="O160" s="125">
        <f>Valores!$C$16</f>
        <v>50911.51</v>
      </c>
      <c r="P160" s="125">
        <f>Valores!$D$5</f>
        <v>30120.06</v>
      </c>
      <c r="Q160" s="125">
        <f>Valores!$C$23</f>
        <v>25008.96</v>
      </c>
      <c r="R160" s="125">
        <f>IF($F$4="NO",Valores!$C$43,Valores!$C$43/2)</f>
        <v>19743.9</v>
      </c>
      <c r="S160" s="125">
        <f>Valores!$C$20</f>
        <v>27738.840000000004</v>
      </c>
      <c r="T160" s="125">
        <f t="shared" si="27"/>
        <v>27738.84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Valores!$C$95</f>
        <v>41242.8</v>
      </c>
      <c r="AA160" s="125">
        <f>Valores!$C$25</f>
        <v>1231.85</v>
      </c>
      <c r="AB160" s="214">
        <v>0</v>
      </c>
      <c r="AC160" s="125">
        <f t="shared" si="23"/>
        <v>0</v>
      </c>
      <c r="AD160" s="125">
        <f>Valores!$C$26</f>
        <v>1231.85</v>
      </c>
      <c r="AE160" s="192">
        <v>0</v>
      </c>
      <c r="AF160" s="125">
        <f>ROUND(AE160*Valores!$C$2,2)</f>
        <v>0</v>
      </c>
      <c r="AG160" s="125">
        <f>SUM(F160,H160,J160,L160,M160,N160,O160,P160,Q160,R160,T160,U160,V160,X160,Y160,Z160,AA160,AC160,AD160,AF160,AH160)*Valores!$C$69</f>
        <v>36486.42320999999</v>
      </c>
      <c r="AH160" s="125">
        <f>ROUND(IF($F$4="NO",Valores!$C$63,Valores!$C$63/2),2)</f>
        <v>14083.23</v>
      </c>
      <c r="AI160" s="125">
        <f t="shared" si="29"/>
        <v>319326.9132099999</v>
      </c>
      <c r="AJ160" s="125">
        <f>Valores!$C$31</f>
        <v>0</v>
      </c>
      <c r="AK160" s="125">
        <f>Valores!$C$88</f>
        <v>0</v>
      </c>
      <c r="AL160" s="125">
        <f>Valores!C$38*B160</f>
        <v>0</v>
      </c>
      <c r="AM160" s="125">
        <f>IF($F$3="NO",0,Valores!$C$56)</f>
        <v>0</v>
      </c>
      <c r="AN160" s="125">
        <f t="shared" si="24"/>
        <v>0</v>
      </c>
      <c r="AO160" s="125">
        <f>AI160*Valores!$C$71</f>
        <v>-35125.96045309999</v>
      </c>
      <c r="AP160" s="125">
        <f>AI160*Valores!$C$72</f>
        <v>-6386.538264199999</v>
      </c>
      <c r="AQ160" s="125">
        <f>AI160*-Valores!$C$73</f>
        <v>0</v>
      </c>
      <c r="AR160" s="125">
        <f>AI160*Valores!$C$74</f>
        <v>-17562.980226549997</v>
      </c>
      <c r="AS160" s="125">
        <f>Valores!$C$101</f>
        <v>-1270</v>
      </c>
      <c r="AT160" s="125">
        <f>IF($F$5=0,Valores!$C$102,(Valores!$C$102+$F$5*(Valores!$C$102)))</f>
        <v>-3700</v>
      </c>
      <c r="AU160" s="125">
        <f t="shared" si="26"/>
        <v>255281.43426614994</v>
      </c>
      <c r="AV160" s="125">
        <f t="shared" si="21"/>
        <v>-35125.96045309999</v>
      </c>
      <c r="AW160" s="125">
        <f t="shared" si="28"/>
        <v>-6386.538264199999</v>
      </c>
      <c r="AX160" s="125">
        <f>AI160*Valores!$C$75</f>
        <v>-8621.826656669997</v>
      </c>
      <c r="AY160" s="125">
        <f>AI160*Valores!$C$76</f>
        <v>-957.9807396299998</v>
      </c>
      <c r="AZ160" s="125">
        <f t="shared" si="25"/>
        <v>268234.60709639994</v>
      </c>
      <c r="BA160" s="125">
        <f>AI160*Valores!$C$78</f>
        <v>51092.30611359999</v>
      </c>
      <c r="BB160" s="125">
        <f>AI160*Valores!$C$79</f>
        <v>22352.883924699996</v>
      </c>
      <c r="BC160" s="125">
        <f>AI160*Valores!$C$80</f>
        <v>3193.2691320999993</v>
      </c>
      <c r="BD160" s="125">
        <f>AI160*Valores!$C$82</f>
        <v>11176.441962349998</v>
      </c>
      <c r="BE160" s="125">
        <f>AI160*Valores!$C$84</f>
        <v>17243.653313339993</v>
      </c>
      <c r="BF160" s="125">
        <f>AI160*Valores!$C$83</f>
        <v>1915.9614792599996</v>
      </c>
      <c r="BG160" s="126"/>
      <c r="BH160" s="126"/>
      <c r="BI160" s="123" t="s">
        <v>4</v>
      </c>
    </row>
    <row r="161" spans="1:61" s="110" customFormat="1" ht="11.25" customHeight="1">
      <c r="A161" s="123" t="s">
        <v>410</v>
      </c>
      <c r="B161" s="123">
        <v>1</v>
      </c>
      <c r="C161" s="126">
        <v>154</v>
      </c>
      <c r="D161" s="124" t="s">
        <v>411</v>
      </c>
      <c r="E161" s="192">
        <v>1065</v>
      </c>
      <c r="F161" s="125">
        <f>ROUND(E161*Valores!$C$2,2)</f>
        <v>62750.12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27629.85</v>
      </c>
      <c r="N161" s="125">
        <f t="shared" si="22"/>
        <v>0</v>
      </c>
      <c r="O161" s="125">
        <f>Valores!$C$16</f>
        <v>50911.51</v>
      </c>
      <c r="P161" s="125">
        <f>Valores!$D$5</f>
        <v>30120.06</v>
      </c>
      <c r="Q161" s="125">
        <f>Valores!$C$23</f>
        <v>25008.96</v>
      </c>
      <c r="R161" s="125">
        <f>IF($F$4="NO",Valores!$C$43,Valores!$C$43/2)</f>
        <v>19743.9</v>
      </c>
      <c r="S161" s="125">
        <f>Valores!$C$19</f>
        <v>28025.371999999996</v>
      </c>
      <c r="T161" s="125">
        <f t="shared" si="27"/>
        <v>28025.37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Valores!$C$95</f>
        <v>41242.8</v>
      </c>
      <c r="AA161" s="125">
        <f>Valores!$C$25</f>
        <v>1231.85</v>
      </c>
      <c r="AB161" s="214">
        <v>0</v>
      </c>
      <c r="AC161" s="125">
        <f t="shared" si="23"/>
        <v>0</v>
      </c>
      <c r="AD161" s="125">
        <f>Valores!$C$26</f>
        <v>1231.85</v>
      </c>
      <c r="AE161" s="192">
        <v>0</v>
      </c>
      <c r="AF161" s="125">
        <f>ROUND(AE161*Valores!$C$2,2)</f>
        <v>0</v>
      </c>
      <c r="AG161" s="125">
        <f>SUM(F161,H161,J161,L161,M161,N161,O161,P161,Q161,R161,T161,U161,V161,X161,Y161,Z161,AA161,AC161,AD161,AF161,AH161)*Valores!$C$69</f>
        <v>38955.35549999999</v>
      </c>
      <c r="AH161" s="125">
        <f>ROUND(IF($F$4="NO",Valores!$C$63,Valores!$C$63/2),2)</f>
        <v>14083.23</v>
      </c>
      <c r="AI161" s="125">
        <f t="shared" si="29"/>
        <v>340934.85549999995</v>
      </c>
      <c r="AJ161" s="125">
        <f>Valores!$C$31</f>
        <v>0</v>
      </c>
      <c r="AK161" s="125">
        <f>Valores!$C$88</f>
        <v>0</v>
      </c>
      <c r="AL161" s="125">
        <f>Valores!C$38*B161</f>
        <v>0</v>
      </c>
      <c r="AM161" s="125">
        <f>IF($F$3="NO",0,Valores!$C$56)</f>
        <v>0</v>
      </c>
      <c r="AN161" s="125">
        <f t="shared" si="24"/>
        <v>0</v>
      </c>
      <c r="AO161" s="125">
        <f>AI161*Valores!$C$71</f>
        <v>-37502.834104999994</v>
      </c>
      <c r="AP161" s="125">
        <f>AI161*Valores!$C$72</f>
        <v>-6818.697109999999</v>
      </c>
      <c r="AQ161" s="125">
        <f>AI161*-Valores!$C$73</f>
        <v>0</v>
      </c>
      <c r="AR161" s="125">
        <f>AI161*Valores!$C$74</f>
        <v>-18751.417052499997</v>
      </c>
      <c r="AS161" s="125">
        <f>Valores!$C$101</f>
        <v>-1270</v>
      </c>
      <c r="AT161" s="125">
        <f>IF($F$5=0,Valores!$C$102,(Valores!$C$102+$F$5*(Valores!$C$102)))</f>
        <v>-3700</v>
      </c>
      <c r="AU161" s="125">
        <f t="shared" si="26"/>
        <v>272891.9072325</v>
      </c>
      <c r="AV161" s="125">
        <f t="shared" si="21"/>
        <v>-37502.834104999994</v>
      </c>
      <c r="AW161" s="125">
        <f t="shared" si="28"/>
        <v>-6818.697109999999</v>
      </c>
      <c r="AX161" s="125">
        <f>AI161*Valores!$C$75</f>
        <v>-9205.241098499999</v>
      </c>
      <c r="AY161" s="125">
        <f>AI161*Valores!$C$76</f>
        <v>-1022.8045664999999</v>
      </c>
      <c r="AZ161" s="125">
        <f t="shared" si="25"/>
        <v>286385.27861999994</v>
      </c>
      <c r="BA161" s="125">
        <f>AI161*Valores!$C$78</f>
        <v>54549.57687999999</v>
      </c>
      <c r="BB161" s="125">
        <f>AI161*Valores!$C$79</f>
        <v>23865.439885</v>
      </c>
      <c r="BC161" s="125">
        <f>AI161*Valores!$C$80</f>
        <v>3409.3485549999996</v>
      </c>
      <c r="BD161" s="125">
        <f>AI161*Valores!$C$82</f>
        <v>11932.7199425</v>
      </c>
      <c r="BE161" s="125">
        <f>AI161*Valores!$C$84</f>
        <v>18410.482196999998</v>
      </c>
      <c r="BF161" s="125">
        <f>AI161*Valores!$C$83</f>
        <v>2045.6091329999997</v>
      </c>
      <c r="BG161" s="126"/>
      <c r="BH161" s="126">
        <v>27</v>
      </c>
      <c r="BI161" s="123" t="s">
        <v>4</v>
      </c>
    </row>
    <row r="162" spans="1:61" s="110" customFormat="1" ht="11.25" customHeight="1">
      <c r="A162" s="123" t="s">
        <v>410</v>
      </c>
      <c r="B162" s="123">
        <v>1</v>
      </c>
      <c r="C162" s="126">
        <v>155</v>
      </c>
      <c r="D162" s="124" t="s">
        <v>412</v>
      </c>
      <c r="E162" s="192">
        <v>1065</v>
      </c>
      <c r="F162" s="125">
        <f>ROUND(E162*Valores!$C$2,2)</f>
        <v>62750.12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27629.85</v>
      </c>
      <c r="N162" s="125">
        <f t="shared" si="22"/>
        <v>0</v>
      </c>
      <c r="O162" s="125">
        <f>Valores!$C$16</f>
        <v>50911.51</v>
      </c>
      <c r="P162" s="125">
        <f>Valores!$D$5</f>
        <v>30120.06</v>
      </c>
      <c r="Q162" s="125">
        <f>Valores!$C$23</f>
        <v>25008.96</v>
      </c>
      <c r="R162" s="125">
        <f>IF($F$4="NO",Valores!$C$43,Valores!$C$43/2)</f>
        <v>19743.9</v>
      </c>
      <c r="S162" s="125">
        <f>Valores!$C$19</f>
        <v>28025.371999999996</v>
      </c>
      <c r="T162" s="125">
        <f t="shared" si="27"/>
        <v>28025.37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Valores!$C$95</f>
        <v>41242.8</v>
      </c>
      <c r="AA162" s="125">
        <f>Valores!$C$25</f>
        <v>1231.85</v>
      </c>
      <c r="AB162" s="214">
        <v>0</v>
      </c>
      <c r="AC162" s="125">
        <f t="shared" si="23"/>
        <v>0</v>
      </c>
      <c r="AD162" s="125">
        <f>Valores!$C$26</f>
        <v>1231.85</v>
      </c>
      <c r="AE162" s="192">
        <v>94</v>
      </c>
      <c r="AF162" s="125">
        <f>ROUND(AE162*Valores!$C$2,2)</f>
        <v>5538.51</v>
      </c>
      <c r="AG162" s="125">
        <f>SUM(F162,H162,J162,L162,M162,N162,O162,P162,Q162,R162,T162,U162,V162,X162,Y162,Z162,AA162,AC162,AD162,AF162,AH162)*Valores!$C$69</f>
        <v>39669.82328999999</v>
      </c>
      <c r="AH162" s="125">
        <f>ROUND(IF($F$4="NO",Valores!$C$63,Valores!$C$63/2),2)</f>
        <v>14083.23</v>
      </c>
      <c r="AI162" s="125">
        <f t="shared" si="29"/>
        <v>347187.8332899999</v>
      </c>
      <c r="AJ162" s="125">
        <f>Valores!$C$31</f>
        <v>0</v>
      </c>
      <c r="AK162" s="125">
        <f>Valores!$C$88</f>
        <v>0</v>
      </c>
      <c r="AL162" s="125">
        <f>Valores!C$38*B162</f>
        <v>0</v>
      </c>
      <c r="AM162" s="125">
        <f>IF($F$3="NO",0,Valores!$C$56)</f>
        <v>0</v>
      </c>
      <c r="AN162" s="125">
        <f t="shared" si="24"/>
        <v>0</v>
      </c>
      <c r="AO162" s="125">
        <f>AI162*Valores!$C$71</f>
        <v>-38190.66166189999</v>
      </c>
      <c r="AP162" s="125">
        <f>AI162*Valores!$C$72</f>
        <v>-6943.756665799999</v>
      </c>
      <c r="AQ162" s="125">
        <f>AI162*-Valores!$C$73</f>
        <v>0</v>
      </c>
      <c r="AR162" s="125">
        <f>AI162*Valores!$C$74</f>
        <v>-19095.330830949995</v>
      </c>
      <c r="AS162" s="125">
        <f>Valores!$C$101</f>
        <v>-1270</v>
      </c>
      <c r="AT162" s="125">
        <f>IF($F$5=0,Valores!$C$102,(Valores!$C$102+$F$5*(Valores!$C$102)))</f>
        <v>-3700</v>
      </c>
      <c r="AU162" s="125">
        <f t="shared" si="26"/>
        <v>277988.0841313499</v>
      </c>
      <c r="AV162" s="125">
        <f t="shared" si="21"/>
        <v>-38190.66166189999</v>
      </c>
      <c r="AW162" s="125">
        <f t="shared" si="28"/>
        <v>-6943.756665799999</v>
      </c>
      <c r="AX162" s="125">
        <f>AI162*Valores!$C$75</f>
        <v>-9374.071498829997</v>
      </c>
      <c r="AY162" s="125">
        <f>AI162*Valores!$C$76</f>
        <v>-1041.5634998699998</v>
      </c>
      <c r="AZ162" s="125">
        <f t="shared" si="25"/>
        <v>291637.7799635999</v>
      </c>
      <c r="BA162" s="125">
        <f>AI162*Valores!$C$78</f>
        <v>55550.05332639999</v>
      </c>
      <c r="BB162" s="125">
        <f>AI162*Valores!$C$79</f>
        <v>24303.1483303</v>
      </c>
      <c r="BC162" s="125">
        <f>AI162*Valores!$C$80</f>
        <v>3471.8783328999994</v>
      </c>
      <c r="BD162" s="125">
        <f>AI162*Valores!$C$82</f>
        <v>12151.57416515</v>
      </c>
      <c r="BE162" s="125">
        <f>AI162*Valores!$C$84</f>
        <v>18748.142997659994</v>
      </c>
      <c r="BF162" s="125">
        <f>AI162*Valores!$C$83</f>
        <v>2083.1269997399995</v>
      </c>
      <c r="BG162" s="126"/>
      <c r="BH162" s="126">
        <v>27</v>
      </c>
      <c r="BI162" s="123" t="s">
        <v>4</v>
      </c>
    </row>
    <row r="163" spans="1:61" s="110" customFormat="1" ht="11.25" customHeight="1">
      <c r="A163" s="123" t="s">
        <v>413</v>
      </c>
      <c r="B163" s="123">
        <v>1</v>
      </c>
      <c r="C163" s="126">
        <v>156</v>
      </c>
      <c r="D163" s="124" t="s">
        <v>414</v>
      </c>
      <c r="E163" s="192">
        <v>98</v>
      </c>
      <c r="F163" s="125">
        <f>ROUND(E163*Valores!$C$2,2)</f>
        <v>5774.19</v>
      </c>
      <c r="G163" s="192">
        <v>2686</v>
      </c>
      <c r="H163" s="125">
        <f>ROUND(G163*Valores!$C$2,2)</f>
        <v>158259.93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66197.32</v>
      </c>
      <c r="N163" s="125">
        <f t="shared" si="22"/>
        <v>0</v>
      </c>
      <c r="O163" s="125">
        <f>Valores!$C$8</f>
        <v>73844.92</v>
      </c>
      <c r="P163" s="125">
        <f>Valores!$D$5</f>
        <v>30120.06</v>
      </c>
      <c r="Q163" s="125">
        <f>Valores!$C$22</f>
        <v>26870.16</v>
      </c>
      <c r="R163" s="125">
        <f>IF($F$4="NO",Valores!$C$47,Valores!$C$47/2)</f>
        <v>31485.59</v>
      </c>
      <c r="S163" s="125">
        <f>Valores!$C$19</f>
        <v>28025.371999999996</v>
      </c>
      <c r="T163" s="125">
        <f t="shared" si="27"/>
        <v>28025.37</v>
      </c>
      <c r="U163" s="125">
        <v>0</v>
      </c>
      <c r="V163" s="125">
        <v>0</v>
      </c>
      <c r="W163" s="192">
        <v>700</v>
      </c>
      <c r="X163" s="125">
        <f>ROUND(W163*Valores!$C$2,2)</f>
        <v>41244.21</v>
      </c>
      <c r="Y163" s="125">
        <f>ROUND(SUM(J163,H163,F163,R163)*Valores!$C$3,2)</f>
        <v>29327.96</v>
      </c>
      <c r="Z163" s="125">
        <f>Valores!$C$97</f>
        <v>82485.58</v>
      </c>
      <c r="AA163" s="125">
        <f>Valores!$C$25</f>
        <v>1231.85</v>
      </c>
      <c r="AB163" s="214">
        <v>0</v>
      </c>
      <c r="AC163" s="125">
        <f t="shared" si="23"/>
        <v>0</v>
      </c>
      <c r="AD163" s="125">
        <f>Valores!$C$26</f>
        <v>1231.85</v>
      </c>
      <c r="AE163" s="192">
        <v>94</v>
      </c>
      <c r="AF163" s="125">
        <f>ROUND(AE163*Valores!$C$2,2)</f>
        <v>5538.51</v>
      </c>
      <c r="AG163" s="125">
        <f>SUM(F163,H163,J163,L163,M163,N163,O163,P163,Q163,R163,T163,U163,V163,X163,Y163,Z163,AA163,AC163,AD163,AF163,AH163)*Valores!$C$69</f>
        <v>76847.97417</v>
      </c>
      <c r="AH163" s="125">
        <f>ROUND(IF($F$4="NO",Valores!$C$63,Valores!$C$63/2),2)</f>
        <v>14083.23</v>
      </c>
      <c r="AI163" s="125">
        <f t="shared" si="29"/>
        <v>672568.70417</v>
      </c>
      <c r="AJ163" s="125">
        <f>Valores!$C$31</f>
        <v>0</v>
      </c>
      <c r="AK163" s="125">
        <f>Valores!$C$90</f>
        <v>0</v>
      </c>
      <c r="AL163" s="125">
        <f>Valores!C$38*B163</f>
        <v>0</v>
      </c>
      <c r="AM163" s="125">
        <f>IF($F$3="NO",0,224.5)</f>
        <v>0</v>
      </c>
      <c r="AN163" s="125">
        <f t="shared" si="24"/>
        <v>0</v>
      </c>
      <c r="AO163" s="125">
        <f>AI163*Valores!$C$71</f>
        <v>-73982.5574587</v>
      </c>
      <c r="AP163" s="125">
        <f>AI163*Valores!$C$72</f>
        <v>-13451.374083400002</v>
      </c>
      <c r="AQ163" s="125">
        <f>AI163*-Valores!$C$73</f>
        <v>0</v>
      </c>
      <c r="AR163" s="125">
        <f>AI163*Valores!$C$74</f>
        <v>-36991.27872935</v>
      </c>
      <c r="AS163" s="125">
        <f>Valores!$C$101</f>
        <v>-1270</v>
      </c>
      <c r="AT163" s="125">
        <f>IF($F$5=0,Valores!$C$102,(Valores!$C$102+$F$5*(Valores!$C$102)))</f>
        <v>-3700</v>
      </c>
      <c r="AU163" s="125">
        <f t="shared" si="26"/>
        <v>543173.49389855</v>
      </c>
      <c r="AV163" s="125">
        <f t="shared" si="21"/>
        <v>-73982.5574587</v>
      </c>
      <c r="AW163" s="125">
        <f t="shared" si="28"/>
        <v>-13451.374083400002</v>
      </c>
      <c r="AX163" s="125">
        <f>AI163*Valores!$C$75</f>
        <v>-18159.35501259</v>
      </c>
      <c r="AY163" s="125">
        <f>AI163*Valores!$C$76</f>
        <v>-2017.7061125100001</v>
      </c>
      <c r="AZ163" s="125">
        <f t="shared" si="25"/>
        <v>564957.7115028</v>
      </c>
      <c r="BA163" s="125">
        <f>AI163*Valores!$C$78</f>
        <v>107610.99266720001</v>
      </c>
      <c r="BB163" s="125">
        <f>AI163*Valores!$C$79</f>
        <v>47079.809291900005</v>
      </c>
      <c r="BC163" s="125">
        <f>AI163*Valores!$C$80</f>
        <v>6725.687041700001</v>
      </c>
      <c r="BD163" s="125">
        <f>AI163*Valores!$C$82</f>
        <v>23539.904645950002</v>
      </c>
      <c r="BE163" s="125">
        <f>AI163*Valores!$C$84</f>
        <v>36318.71002518</v>
      </c>
      <c r="BF163" s="125">
        <f>AI163*Valores!$C$83</f>
        <v>4035.4122250200003</v>
      </c>
      <c r="BG163" s="126"/>
      <c r="BH163" s="126">
        <v>45</v>
      </c>
      <c r="BI163" s="123" t="s">
        <v>4</v>
      </c>
    </row>
    <row r="164" spans="1:61" s="110" customFormat="1" ht="11.25" customHeight="1">
      <c r="A164" s="123" t="s">
        <v>415</v>
      </c>
      <c r="B164" s="123">
        <v>1</v>
      </c>
      <c r="C164" s="126">
        <v>157</v>
      </c>
      <c r="D164" s="124" t="s">
        <v>416</v>
      </c>
      <c r="E164" s="192">
        <v>93</v>
      </c>
      <c r="F164" s="125">
        <f>ROUND(E164*Valores!$C$2,2)</f>
        <v>5479.59</v>
      </c>
      <c r="G164" s="192">
        <v>2547</v>
      </c>
      <c r="H164" s="125">
        <f>ROUND(G164*Valores!$C$2,2)</f>
        <v>150070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64076.19</v>
      </c>
      <c r="N164" s="125">
        <f t="shared" si="22"/>
        <v>0</v>
      </c>
      <c r="O164" s="125">
        <f>Valores!$C$16</f>
        <v>50911.51</v>
      </c>
      <c r="P164" s="125">
        <f>Valores!$D$5</f>
        <v>30120.06</v>
      </c>
      <c r="Q164" s="125">
        <f>Valores!$C$22</f>
        <v>26870.16</v>
      </c>
      <c r="R164" s="125">
        <f>IF($F$4="NO",Valores!$C$47,Valores!$C$47/2)</f>
        <v>31485.59</v>
      </c>
      <c r="S164" s="125">
        <f>Valores!$C$19</f>
        <v>28025.371999999996</v>
      </c>
      <c r="T164" s="125">
        <f t="shared" si="27"/>
        <v>28025.37</v>
      </c>
      <c r="U164" s="125">
        <v>0</v>
      </c>
      <c r="V164" s="125">
        <v>0</v>
      </c>
      <c r="W164" s="192">
        <v>700</v>
      </c>
      <c r="X164" s="125">
        <f>ROUND(W164*Valores!$C$2,2)</f>
        <v>41244.21</v>
      </c>
      <c r="Y164" s="125">
        <f>ROUND(SUM(J164,H164,F164,R164)*Valores!$C$3,2)</f>
        <v>28055.28</v>
      </c>
      <c r="Z164" s="125">
        <f>Valores!$C$97</f>
        <v>82485.58</v>
      </c>
      <c r="AA164" s="125">
        <f>Valores!$C$25</f>
        <v>1231.85</v>
      </c>
      <c r="AB164" s="214">
        <v>0</v>
      </c>
      <c r="AC164" s="125">
        <f t="shared" si="23"/>
        <v>0</v>
      </c>
      <c r="AD164" s="125">
        <f>Valores!$C$26</f>
        <v>1231.85</v>
      </c>
      <c r="AE164" s="192">
        <v>94</v>
      </c>
      <c r="AF164" s="125">
        <f>ROUND(AE164*Valores!$C$2,2)</f>
        <v>5538.51</v>
      </c>
      <c r="AG164" s="125">
        <f>SUM(F164,H164,J164,L164,M164,N164,O164,P164,Q164,R164,T164,U164,V164,X164,Y164,Z164,AA164,AC164,AD164,AF164,AH164)*Valores!$C$69</f>
        <v>72357.25841999998</v>
      </c>
      <c r="AH164" s="125">
        <f>ROUND(IF($F$4="NO",Valores!$C$63,Valores!$C$63/2),2)</f>
        <v>14083.23</v>
      </c>
      <c r="AI164" s="125">
        <f t="shared" si="29"/>
        <v>633266.2384199998</v>
      </c>
      <c r="AJ164" s="125">
        <f>Valores!$C$31</f>
        <v>0</v>
      </c>
      <c r="AK164" s="125">
        <f>Valores!$C$90</f>
        <v>0</v>
      </c>
      <c r="AL164" s="125">
        <f>Valores!C$38*B164</f>
        <v>0</v>
      </c>
      <c r="AM164" s="125">
        <f>IF($F$3="NO",0,224.5)</f>
        <v>0</v>
      </c>
      <c r="AN164" s="125">
        <f t="shared" si="24"/>
        <v>0</v>
      </c>
      <c r="AO164" s="125">
        <f>AI164*Valores!$C$71</f>
        <v>-69659.28622619998</v>
      </c>
      <c r="AP164" s="125">
        <f>AI164*Valores!$C$72</f>
        <v>-12665.324768399996</v>
      </c>
      <c r="AQ164" s="125">
        <f>AI164*-Valores!$C$73</f>
        <v>0</v>
      </c>
      <c r="AR164" s="125">
        <f>AI164*Valores!$C$74</f>
        <v>-34829.64311309999</v>
      </c>
      <c r="AS164" s="125">
        <f>Valores!$C$101</f>
        <v>-1270</v>
      </c>
      <c r="AT164" s="125">
        <f>IF($F$5=0,Valores!$C$102,(Valores!$C$102+$F$5*(Valores!$C$102)))</f>
        <v>-3700</v>
      </c>
      <c r="AU164" s="125">
        <f t="shared" si="26"/>
        <v>511141.9843122999</v>
      </c>
      <c r="AV164" s="125">
        <f t="shared" si="21"/>
        <v>-69659.28622619998</v>
      </c>
      <c r="AW164" s="125">
        <f t="shared" si="28"/>
        <v>-12665.324768399996</v>
      </c>
      <c r="AX164" s="125">
        <f>AI164*Valores!$C$75</f>
        <v>-17098.188437339995</v>
      </c>
      <c r="AY164" s="125">
        <f>AI164*Valores!$C$76</f>
        <v>-1899.7987152599997</v>
      </c>
      <c r="AZ164" s="125">
        <f t="shared" si="25"/>
        <v>531943.6402727999</v>
      </c>
      <c r="BA164" s="125">
        <f>AI164*Valores!$C$78</f>
        <v>101322.59814719997</v>
      </c>
      <c r="BB164" s="125">
        <f>AI164*Valores!$C$79</f>
        <v>44328.636689399995</v>
      </c>
      <c r="BC164" s="125">
        <f>AI164*Valores!$C$80</f>
        <v>6332.662384199998</v>
      </c>
      <c r="BD164" s="125">
        <f>AI164*Valores!$C$82</f>
        <v>22164.318344699997</v>
      </c>
      <c r="BE164" s="125">
        <f>AI164*Valores!$C$84</f>
        <v>34196.37687467999</v>
      </c>
      <c r="BF164" s="125">
        <f>AI164*Valores!$C$83</f>
        <v>3799.5974305199993</v>
      </c>
      <c r="BG164" s="126"/>
      <c r="BH164" s="126">
        <v>45</v>
      </c>
      <c r="BI164" s="123" t="s">
        <v>4</v>
      </c>
    </row>
    <row r="165" spans="1:61" s="110" customFormat="1" ht="11.25" customHeight="1">
      <c r="A165" s="123" t="s">
        <v>417</v>
      </c>
      <c r="B165" s="123">
        <v>1</v>
      </c>
      <c r="C165" s="126">
        <v>158</v>
      </c>
      <c r="D165" s="124" t="s">
        <v>418</v>
      </c>
      <c r="E165" s="192">
        <v>89</v>
      </c>
      <c r="F165" s="125">
        <f>ROUND(E165*Valores!$C$2,2)</f>
        <v>5243.91</v>
      </c>
      <c r="G165" s="192">
        <v>2251</v>
      </c>
      <c r="H165" s="125">
        <f>ROUND(G165*Valores!$C$2,2)</f>
        <v>132629.6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59657.17</v>
      </c>
      <c r="N165" s="125">
        <f t="shared" si="22"/>
        <v>0</v>
      </c>
      <c r="O165" s="125">
        <f>Valores!$C$16</f>
        <v>50911.51</v>
      </c>
      <c r="P165" s="125">
        <f>Valores!$D$5</f>
        <v>30120.06</v>
      </c>
      <c r="Q165" s="125">
        <f>Valores!$C$22</f>
        <v>26870.16</v>
      </c>
      <c r="R165" s="125">
        <f>IF($F$4="NO",Valores!$C$47,Valores!$C$47/2)</f>
        <v>31485.59</v>
      </c>
      <c r="S165" s="125">
        <f>Valores!$C$19</f>
        <v>28025.371999999996</v>
      </c>
      <c r="T165" s="125">
        <f t="shared" si="27"/>
        <v>28025.37</v>
      </c>
      <c r="U165" s="125">
        <v>0</v>
      </c>
      <c r="V165" s="125">
        <v>0</v>
      </c>
      <c r="W165" s="192">
        <v>700</v>
      </c>
      <c r="X165" s="125">
        <f>ROUND(W165*Valores!$C$2,2)</f>
        <v>41244.21</v>
      </c>
      <c r="Y165" s="125">
        <f>ROUND(SUM(J165,H165,F165,R165)*Valores!$C$3,2)</f>
        <v>25403.87</v>
      </c>
      <c r="Z165" s="125">
        <f>Valores!$C$97</f>
        <v>82485.58</v>
      </c>
      <c r="AA165" s="125">
        <f>Valores!$C$25</f>
        <v>1231.85</v>
      </c>
      <c r="AB165" s="214">
        <v>0</v>
      </c>
      <c r="AC165" s="125">
        <f t="shared" si="23"/>
        <v>0</v>
      </c>
      <c r="AD165" s="125">
        <f>Valores!$C$26</f>
        <v>1231.85</v>
      </c>
      <c r="AE165" s="192">
        <v>94</v>
      </c>
      <c r="AF165" s="125">
        <f>ROUND(AE165*Valores!$C$2,2)</f>
        <v>5538.51</v>
      </c>
      <c r="AG165" s="125">
        <f>SUM(F165,H165,J165,L165,M165,N165,O165,P165,Q165,R165,T165,U165,V165,X165,Y165,Z165,AA165,AC165,AD165,AF165,AH165)*Valores!$C$69</f>
        <v>69164.95863</v>
      </c>
      <c r="AH165" s="125">
        <f>ROUND(IF($F$4="NO",Valores!$C$63,Valores!$C$63/2),2)</f>
        <v>14083.23</v>
      </c>
      <c r="AI165" s="125">
        <f t="shared" si="29"/>
        <v>605327.42863</v>
      </c>
      <c r="AJ165" s="125">
        <f>Valores!$C$31</f>
        <v>0</v>
      </c>
      <c r="AK165" s="125">
        <f>Valores!$C$90</f>
        <v>0</v>
      </c>
      <c r="AL165" s="125">
        <f>Valores!C$38*B165</f>
        <v>0</v>
      </c>
      <c r="AM165" s="125">
        <f>IF($F$3="NO",0,224.5)</f>
        <v>0</v>
      </c>
      <c r="AN165" s="125">
        <f t="shared" si="24"/>
        <v>0</v>
      </c>
      <c r="AO165" s="125">
        <f>AI165*Valores!$C$71</f>
        <v>-66586.0171493</v>
      </c>
      <c r="AP165" s="125">
        <f>AI165*Valores!$C$72</f>
        <v>-12106.5485726</v>
      </c>
      <c r="AQ165" s="125">
        <f>AI165*-Valores!$C$73</f>
        <v>0</v>
      </c>
      <c r="AR165" s="125">
        <f>AI165*Valores!$C$74</f>
        <v>-33293.00857465</v>
      </c>
      <c r="AS165" s="125">
        <f>Valores!$C$101</f>
        <v>-1270</v>
      </c>
      <c r="AT165" s="125">
        <f>IF($F$5=0,Valores!$C$102,(Valores!$C$102+$F$5*(Valores!$C$102)))</f>
        <v>-3700</v>
      </c>
      <c r="AU165" s="125">
        <f t="shared" si="26"/>
        <v>488371.85433344997</v>
      </c>
      <c r="AV165" s="125">
        <f t="shared" si="21"/>
        <v>-66586.0171493</v>
      </c>
      <c r="AW165" s="125">
        <f t="shared" si="28"/>
        <v>-12106.5485726</v>
      </c>
      <c r="AX165" s="125">
        <f>AI165*Valores!$C$75</f>
        <v>-16343.840573009998</v>
      </c>
      <c r="AY165" s="125">
        <f>AI165*Valores!$C$76</f>
        <v>-1815.98228589</v>
      </c>
      <c r="AZ165" s="125">
        <f t="shared" si="25"/>
        <v>508475.04004919995</v>
      </c>
      <c r="BA165" s="125">
        <f>AI165*Valores!$C$78</f>
        <v>96852.3885808</v>
      </c>
      <c r="BB165" s="125">
        <f>AI165*Valores!$C$79</f>
        <v>42372.9200041</v>
      </c>
      <c r="BC165" s="125">
        <f>AI165*Valores!$C$80</f>
        <v>6053.2742863</v>
      </c>
      <c r="BD165" s="125">
        <f>AI165*Valores!$C$82</f>
        <v>21186.46000205</v>
      </c>
      <c r="BE165" s="125">
        <f>AI165*Valores!$C$84</f>
        <v>32687.681146019997</v>
      </c>
      <c r="BF165" s="125">
        <f>AI165*Valores!$C$83</f>
        <v>3631.96457178</v>
      </c>
      <c r="BG165" s="126"/>
      <c r="BH165" s="126">
        <v>45</v>
      </c>
      <c r="BI165" s="123" t="s">
        <v>4</v>
      </c>
    </row>
    <row r="166" spans="1:61" s="110" customFormat="1" ht="11.25" customHeight="1">
      <c r="A166" s="123" t="s">
        <v>419</v>
      </c>
      <c r="B166" s="123">
        <v>1</v>
      </c>
      <c r="C166" s="126">
        <v>159</v>
      </c>
      <c r="D166" s="124" t="s">
        <v>420</v>
      </c>
      <c r="E166" s="192">
        <v>83</v>
      </c>
      <c r="F166" s="125">
        <f>ROUND(E166*Valores!$C$2,2)</f>
        <v>4890.38</v>
      </c>
      <c r="G166" s="192">
        <v>2352</v>
      </c>
      <c r="H166" s="125">
        <f>ROUND(G166*Valores!$C$2,2)</f>
        <v>138580.55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61056.53</v>
      </c>
      <c r="N166" s="125">
        <f t="shared" si="22"/>
        <v>0</v>
      </c>
      <c r="O166" s="125">
        <f>Valores!$C$16</f>
        <v>50911.51</v>
      </c>
      <c r="P166" s="125">
        <f>Valores!$D$5</f>
        <v>30120.06</v>
      </c>
      <c r="Q166" s="125">
        <v>0</v>
      </c>
      <c r="R166" s="125">
        <f>IF($F$4="NO",Valores!$C$47,Valores!$C$47/2)</f>
        <v>31485.59</v>
      </c>
      <c r="S166" s="125">
        <f>Valores!$C$19</f>
        <v>28025.371999999996</v>
      </c>
      <c r="T166" s="125">
        <f t="shared" si="27"/>
        <v>28025.37</v>
      </c>
      <c r="U166" s="125">
        <v>0</v>
      </c>
      <c r="V166" s="125">
        <v>0</v>
      </c>
      <c r="W166" s="192">
        <v>700</v>
      </c>
      <c r="X166" s="125">
        <f>ROUND(W166*Valores!$C$2,2)</f>
        <v>41244.21</v>
      </c>
      <c r="Y166" s="125">
        <f>ROUND(SUM(J166,H166,F166,R166)*Valores!$C$3,2)</f>
        <v>26243.48</v>
      </c>
      <c r="Z166" s="125">
        <f>Valores!$C$97</f>
        <v>82485.58</v>
      </c>
      <c r="AA166" s="125">
        <f>Valores!$C$25</f>
        <v>1231.85</v>
      </c>
      <c r="AB166" s="214">
        <v>0</v>
      </c>
      <c r="AC166" s="125">
        <f t="shared" si="23"/>
        <v>0</v>
      </c>
      <c r="AD166" s="125">
        <f>Valores!$C$26</f>
        <v>1231.85</v>
      </c>
      <c r="AE166" s="192">
        <v>94</v>
      </c>
      <c r="AF166" s="125">
        <f>ROUND(AE166*Valores!$C$2,2)</f>
        <v>5538.51</v>
      </c>
      <c r="AG166" s="125">
        <f>SUM(F166,H166,J166,L166,M166,N166,O166,P166,Q166,R166,T166,U166,V166,X166,Y166,Z166,AA166,AC166,AD166,AF166,AH166)*Valores!$C$69</f>
        <v>66709.6023</v>
      </c>
      <c r="AH166" s="125">
        <f>ROUND(IF($F$4="NO",Valores!$C$63,Valores!$C$63/2),2)</f>
        <v>14083.23</v>
      </c>
      <c r="AI166" s="125">
        <f t="shared" si="29"/>
        <v>583838.3023</v>
      </c>
      <c r="AJ166" s="125">
        <f>Valores!$C$31</f>
        <v>0</v>
      </c>
      <c r="AK166" s="125">
        <f>Valores!$C$90</f>
        <v>0</v>
      </c>
      <c r="AL166" s="125">
        <f>Valores!C$38*B166</f>
        <v>0</v>
      </c>
      <c r="AM166" s="125">
        <v>0</v>
      </c>
      <c r="AN166" s="125">
        <f t="shared" si="24"/>
        <v>0</v>
      </c>
      <c r="AO166" s="125">
        <f>AI166*Valores!$C$71</f>
        <v>-64222.213253</v>
      </c>
      <c r="AP166" s="125">
        <f>AI166*Valores!$C$72</f>
        <v>-11676.766046</v>
      </c>
      <c r="AQ166" s="125">
        <f>AI166*-Valores!$C$73</f>
        <v>0</v>
      </c>
      <c r="AR166" s="125">
        <f>AI166*Valores!$C$74</f>
        <v>-32111.1066265</v>
      </c>
      <c r="AS166" s="125">
        <f>Valores!$C$101</f>
        <v>-1270</v>
      </c>
      <c r="AT166" s="125">
        <f>IF($F$5=0,Valores!$C$102,(Valores!$C$102+$F$5*(Valores!$C$102)))</f>
        <v>-3700</v>
      </c>
      <c r="AU166" s="125">
        <f t="shared" si="26"/>
        <v>470858.21637449996</v>
      </c>
      <c r="AV166" s="125">
        <f t="shared" si="21"/>
        <v>-64222.213253</v>
      </c>
      <c r="AW166" s="125">
        <f t="shared" si="28"/>
        <v>-11676.766046</v>
      </c>
      <c r="AX166" s="125">
        <f>AI166*Valores!$C$75</f>
        <v>-15763.6341621</v>
      </c>
      <c r="AY166" s="125">
        <f>AI166*Valores!$C$76</f>
        <v>-1751.5149069</v>
      </c>
      <c r="AZ166" s="125">
        <f t="shared" si="25"/>
        <v>490424.17393199995</v>
      </c>
      <c r="BA166" s="125">
        <f>AI166*Valores!$C$78</f>
        <v>93414.128368</v>
      </c>
      <c r="BB166" s="125">
        <f>AI166*Valores!$C$79</f>
        <v>40868.681161</v>
      </c>
      <c r="BC166" s="125">
        <f>AI166*Valores!$C$80</f>
        <v>5838.383023</v>
      </c>
      <c r="BD166" s="125">
        <f>AI166*Valores!$C$82</f>
        <v>20434.3405805</v>
      </c>
      <c r="BE166" s="125">
        <f>AI166*Valores!$C$84</f>
        <v>31527.2683242</v>
      </c>
      <c r="BF166" s="125">
        <f>AI166*Valores!$C$83</f>
        <v>3503.0298138</v>
      </c>
      <c r="BG166" s="126"/>
      <c r="BH166" s="126">
        <v>45</v>
      </c>
      <c r="BI166" s="123" t="s">
        <v>8</v>
      </c>
    </row>
    <row r="167" spans="1:61" s="110" customFormat="1" ht="11.25" customHeight="1">
      <c r="A167" s="123" t="s">
        <v>421</v>
      </c>
      <c r="B167" s="123">
        <v>1</v>
      </c>
      <c r="C167" s="126">
        <v>160</v>
      </c>
      <c r="D167" s="124" t="s">
        <v>422</v>
      </c>
      <c r="E167" s="192">
        <v>83</v>
      </c>
      <c r="F167" s="125">
        <f>ROUND(E167*Valores!$C$2,2)</f>
        <v>4890.38</v>
      </c>
      <c r="G167" s="192">
        <v>2092</v>
      </c>
      <c r="H167" s="125">
        <f>ROUND(G167*Valores!$C$2,2)</f>
        <v>123261.27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57226.71</v>
      </c>
      <c r="N167" s="125">
        <f t="shared" si="22"/>
        <v>0</v>
      </c>
      <c r="O167" s="125">
        <f>Valores!$C$16</f>
        <v>50911.51</v>
      </c>
      <c r="P167" s="125">
        <f>Valores!$D$5</f>
        <v>30120.06</v>
      </c>
      <c r="Q167" s="125">
        <v>0</v>
      </c>
      <c r="R167" s="125">
        <f>IF($F$4="NO",Valores!$C$47,Valores!$C$47/2)</f>
        <v>31485.59</v>
      </c>
      <c r="S167" s="125">
        <f>Valores!$C$19</f>
        <v>28025.371999999996</v>
      </c>
      <c r="T167" s="125">
        <f t="shared" si="27"/>
        <v>28025.37</v>
      </c>
      <c r="U167" s="125">
        <v>0</v>
      </c>
      <c r="V167" s="125">
        <v>0</v>
      </c>
      <c r="W167" s="192">
        <v>700</v>
      </c>
      <c r="X167" s="125">
        <f>ROUND(W167*Valores!$C$2,2)</f>
        <v>41244.21</v>
      </c>
      <c r="Y167" s="125">
        <f>ROUND(SUM(J167,H167,F167,R167)*Valores!$C$3,2)</f>
        <v>23945.59</v>
      </c>
      <c r="Z167" s="125">
        <f>Valores!$C$97</f>
        <v>82485.58</v>
      </c>
      <c r="AA167" s="125">
        <f>Valores!$C$25</f>
        <v>1231.85</v>
      </c>
      <c r="AB167" s="214">
        <v>0</v>
      </c>
      <c r="AC167" s="125">
        <f t="shared" si="23"/>
        <v>0</v>
      </c>
      <c r="AD167" s="125">
        <f>Valores!$C$26</f>
        <v>1231.85</v>
      </c>
      <c r="AE167" s="192">
        <v>94</v>
      </c>
      <c r="AF167" s="125">
        <f>ROUND(AE167*Valores!$C$2,2)</f>
        <v>5538.51</v>
      </c>
      <c r="AG167" s="125">
        <f>SUM(F167,H167,J167,L167,M167,N167,O167,P167,Q167,R167,T167,U167,V167,X167,Y167,Z167,AA167,AC167,AD167,AF167,AH167)*Valores!$C$69</f>
        <v>63942.94059000001</v>
      </c>
      <c r="AH167" s="125">
        <f>ROUND(IF($F$4="NO",Valores!$C$63,Valores!$C$63/2),2)</f>
        <v>14083.23</v>
      </c>
      <c r="AI167" s="125">
        <f t="shared" si="29"/>
        <v>559624.6505900001</v>
      </c>
      <c r="AJ167" s="125">
        <f>Valores!$C$31</f>
        <v>0</v>
      </c>
      <c r="AK167" s="125">
        <f>Valores!$C$90</f>
        <v>0</v>
      </c>
      <c r="AL167" s="125">
        <f>Valores!C$38*B167</f>
        <v>0</v>
      </c>
      <c r="AM167" s="125">
        <v>0</v>
      </c>
      <c r="AN167" s="125">
        <f t="shared" si="24"/>
        <v>0</v>
      </c>
      <c r="AO167" s="125">
        <f>AI167*Valores!$C$71</f>
        <v>-61558.71156490001</v>
      </c>
      <c r="AP167" s="125">
        <f>AI167*Valores!$C$72</f>
        <v>-11192.493011800003</v>
      </c>
      <c r="AQ167" s="125">
        <f>AI167*-Valores!$C$73</f>
        <v>0</v>
      </c>
      <c r="AR167" s="125">
        <f>AI167*Valores!$C$74</f>
        <v>-30779.355782450006</v>
      </c>
      <c r="AS167" s="125">
        <f>Valores!$C$101</f>
        <v>-1270</v>
      </c>
      <c r="AT167" s="125">
        <f>IF($F$5=0,Valores!$C$102,(Valores!$C$102+$F$5*(Valores!$C$102)))</f>
        <v>-3700</v>
      </c>
      <c r="AU167" s="125">
        <f t="shared" si="26"/>
        <v>451124.0902308501</v>
      </c>
      <c r="AV167" s="125">
        <f t="shared" si="21"/>
        <v>-61558.71156490001</v>
      </c>
      <c r="AW167" s="125">
        <f t="shared" si="28"/>
        <v>-11192.493011800003</v>
      </c>
      <c r="AX167" s="125">
        <f>AI167*Valores!$C$75</f>
        <v>-15109.865565930002</v>
      </c>
      <c r="AY167" s="125">
        <f>AI167*Valores!$C$76</f>
        <v>-1678.8739517700003</v>
      </c>
      <c r="AZ167" s="125">
        <f t="shared" si="25"/>
        <v>470084.70649560005</v>
      </c>
      <c r="BA167" s="125">
        <f>AI167*Valores!$C$78</f>
        <v>89539.94409440002</v>
      </c>
      <c r="BB167" s="125">
        <f>AI167*Valores!$C$79</f>
        <v>39173.72554130001</v>
      </c>
      <c r="BC167" s="125">
        <f>AI167*Valores!$C$80</f>
        <v>5596.2465059000015</v>
      </c>
      <c r="BD167" s="125">
        <f>AI167*Valores!$C$82</f>
        <v>19586.862770650005</v>
      </c>
      <c r="BE167" s="125">
        <f>AI167*Valores!$C$84</f>
        <v>30219.731131860004</v>
      </c>
      <c r="BF167" s="125">
        <f>AI167*Valores!$C$83</f>
        <v>3357.7479035400006</v>
      </c>
      <c r="BG167" s="126"/>
      <c r="BH167" s="126">
        <v>45</v>
      </c>
      <c r="BI167" s="123" t="s">
        <v>8</v>
      </c>
    </row>
    <row r="168" spans="1:61" s="110" customFormat="1" ht="11.25" customHeight="1">
      <c r="A168" s="123" t="s">
        <v>423</v>
      </c>
      <c r="B168" s="123">
        <v>1</v>
      </c>
      <c r="C168" s="126">
        <v>161</v>
      </c>
      <c r="D168" s="124" t="s">
        <v>424</v>
      </c>
      <c r="E168" s="192">
        <v>82</v>
      </c>
      <c r="F168" s="125">
        <f>ROUND(E168*Valores!$C$2,2)</f>
        <v>4831.46</v>
      </c>
      <c r="G168" s="192">
        <v>1941</v>
      </c>
      <c r="H168" s="125">
        <f>ROUND(G168*Valores!$C$2,2)</f>
        <v>114364.3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54987.73</v>
      </c>
      <c r="N168" s="125">
        <f t="shared" si="22"/>
        <v>0</v>
      </c>
      <c r="O168" s="125">
        <f>Valores!$C$16</f>
        <v>50911.51</v>
      </c>
      <c r="P168" s="125">
        <f>Valores!$D$5</f>
        <v>30120.06</v>
      </c>
      <c r="Q168" s="125">
        <v>0</v>
      </c>
      <c r="R168" s="125">
        <f>IF($F$4="NO",Valores!$C$47,Valores!$C$47/2)</f>
        <v>31485.59</v>
      </c>
      <c r="S168" s="125">
        <f>Valores!$C$19</f>
        <v>28025.371999999996</v>
      </c>
      <c r="T168" s="125">
        <f t="shared" si="27"/>
        <v>28025.37</v>
      </c>
      <c r="U168" s="125">
        <v>0</v>
      </c>
      <c r="V168" s="125">
        <v>0</v>
      </c>
      <c r="W168" s="192">
        <v>700</v>
      </c>
      <c r="X168" s="125">
        <f>ROUND(W168*Valores!$C$2,2)</f>
        <v>41244.21</v>
      </c>
      <c r="Y168" s="125">
        <f>ROUND(SUM(J168,H168,F168,R168)*Valores!$C$3,2)</f>
        <v>22602.2</v>
      </c>
      <c r="Z168" s="125">
        <f>Valores!$C$97</f>
        <v>82485.58</v>
      </c>
      <c r="AA168" s="125">
        <f>Valores!$C$25</f>
        <v>1231.85</v>
      </c>
      <c r="AB168" s="214">
        <v>0</v>
      </c>
      <c r="AC168" s="125">
        <f t="shared" si="23"/>
        <v>0</v>
      </c>
      <c r="AD168" s="125">
        <f>Valores!$C$26</f>
        <v>1231.85</v>
      </c>
      <c r="AE168" s="192">
        <v>94</v>
      </c>
      <c r="AF168" s="125">
        <f>ROUND(AE168*Valores!$C$2,2)</f>
        <v>5538.51</v>
      </c>
      <c r="AG168" s="125">
        <f>SUM(F168,H168,J168,L168,M168,N168,O168,P168,Q168,R168,T168,U168,V168,X168,Y168,Z168,AA168,AC168,AD168,AF168,AH168)*Valores!$C$69</f>
        <v>62325.50505</v>
      </c>
      <c r="AH168" s="125">
        <f>ROUND(IF($F$4="NO",Valores!$C$63,Valores!$C$63/2),2)</f>
        <v>14083.23</v>
      </c>
      <c r="AI168" s="125">
        <f t="shared" si="29"/>
        <v>545468.95505</v>
      </c>
      <c r="AJ168" s="125">
        <f>Valores!$C$31</f>
        <v>0</v>
      </c>
      <c r="AK168" s="125">
        <f>Valores!$C$90</f>
        <v>0</v>
      </c>
      <c r="AL168" s="125">
        <f>Valores!C$38*B168</f>
        <v>0</v>
      </c>
      <c r="AM168" s="125">
        <v>0</v>
      </c>
      <c r="AN168" s="125">
        <f t="shared" si="24"/>
        <v>0</v>
      </c>
      <c r="AO168" s="125">
        <f>AI168*Valores!$C$71</f>
        <v>-60001.5850555</v>
      </c>
      <c r="AP168" s="125">
        <f>AI168*Valores!$C$72</f>
        <v>-10909.379101</v>
      </c>
      <c r="AQ168" s="125">
        <f>AI168*-Valores!$C$73</f>
        <v>0</v>
      </c>
      <c r="AR168" s="125">
        <f>AI168*Valores!$C$74</f>
        <v>-30000.79252775</v>
      </c>
      <c r="AS168" s="125">
        <f>Valores!$C$101</f>
        <v>-1270</v>
      </c>
      <c r="AT168" s="125">
        <f>IF($F$5=0,Valores!$C$102,(Valores!$C$102+$F$5*(Valores!$C$102)))</f>
        <v>-3700</v>
      </c>
      <c r="AU168" s="125">
        <f t="shared" si="26"/>
        <v>439587.19836574997</v>
      </c>
      <c r="AV168" s="125">
        <f t="shared" si="21"/>
        <v>-60001.5850555</v>
      </c>
      <c r="AW168" s="125">
        <f t="shared" si="28"/>
        <v>-10909.379101</v>
      </c>
      <c r="AX168" s="125">
        <f>AI168*Valores!$C$75</f>
        <v>-14727.66178635</v>
      </c>
      <c r="AY168" s="125">
        <f>AI168*Valores!$C$76</f>
        <v>-1636.40686515</v>
      </c>
      <c r="AZ168" s="125">
        <f t="shared" si="25"/>
        <v>458193.922242</v>
      </c>
      <c r="BA168" s="125">
        <f>AI168*Valores!$C$78</f>
        <v>87275.032808</v>
      </c>
      <c r="BB168" s="125">
        <f>AI168*Valores!$C$79</f>
        <v>38182.8268535</v>
      </c>
      <c r="BC168" s="125">
        <f>AI168*Valores!$C$80</f>
        <v>5454.6895505</v>
      </c>
      <c r="BD168" s="125">
        <f>AI168*Valores!$C$82</f>
        <v>19091.41342675</v>
      </c>
      <c r="BE168" s="125">
        <f>AI168*Valores!$C$84</f>
        <v>29455.3235727</v>
      </c>
      <c r="BF168" s="125">
        <f>AI168*Valores!$C$83</f>
        <v>3272.8137303</v>
      </c>
      <c r="BG168" s="126"/>
      <c r="BH168" s="126">
        <v>45</v>
      </c>
      <c r="BI168" s="123" t="s">
        <v>8</v>
      </c>
    </row>
    <row r="169" spans="1:61" s="110" customFormat="1" ht="11.25" customHeight="1">
      <c r="A169" s="123" t="s">
        <v>425</v>
      </c>
      <c r="B169" s="123">
        <v>1</v>
      </c>
      <c r="C169" s="126">
        <v>162</v>
      </c>
      <c r="D169" s="124" t="s">
        <v>426</v>
      </c>
      <c r="E169" s="192">
        <v>79</v>
      </c>
      <c r="F169" s="125">
        <f>ROUND(E169*Valores!$C$2,2)</f>
        <v>4654.7</v>
      </c>
      <c r="G169" s="192">
        <v>2161</v>
      </c>
      <c r="H169" s="125">
        <f>ROUND(G169*Valores!$C$2,2)</f>
        <v>127326.77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58184.16</v>
      </c>
      <c r="N169" s="125">
        <f t="shared" si="22"/>
        <v>0</v>
      </c>
      <c r="O169" s="125">
        <f>Valores!$C$16</f>
        <v>50911.51</v>
      </c>
      <c r="P169" s="125">
        <f>Valores!$D$5</f>
        <v>30120.06</v>
      </c>
      <c r="Q169" s="125">
        <v>0</v>
      </c>
      <c r="R169" s="125">
        <f>IF($F$4="NO",Valores!$C$47,Valores!$C$47/2)</f>
        <v>31485.59</v>
      </c>
      <c r="S169" s="125">
        <f>Valores!$C$19</f>
        <v>28025.371999999996</v>
      </c>
      <c r="T169" s="125">
        <f t="shared" si="27"/>
        <v>28025.37</v>
      </c>
      <c r="U169" s="125">
        <v>0</v>
      </c>
      <c r="V169" s="125">
        <v>0</v>
      </c>
      <c r="W169" s="192">
        <v>700</v>
      </c>
      <c r="X169" s="125">
        <f>ROUND(W169*Valores!$C$2,2)</f>
        <v>41244.21</v>
      </c>
      <c r="Y169" s="125">
        <f>ROUND(SUM(J169,H169,F169,R169)*Valores!$C$3,2)</f>
        <v>24520.06</v>
      </c>
      <c r="Z169" s="125">
        <f>Valores!$C$97</f>
        <v>82485.58</v>
      </c>
      <c r="AA169" s="125">
        <f>Valores!$C$25</f>
        <v>1231.85</v>
      </c>
      <c r="AB169" s="214">
        <v>0</v>
      </c>
      <c r="AC169" s="125">
        <f t="shared" si="23"/>
        <v>0</v>
      </c>
      <c r="AD169" s="125">
        <f>Valores!$C$26</f>
        <v>1231.85</v>
      </c>
      <c r="AE169" s="192">
        <v>94</v>
      </c>
      <c r="AF169" s="125">
        <f>ROUND(AE169*Valores!$C$2,2)</f>
        <v>5538.51</v>
      </c>
      <c r="AG169" s="125">
        <f>SUM(F169,H169,J169,L169,M169,N169,O169,P169,Q169,R169,T169,U169,V169,X169,Y169,Z169,AA169,AC169,AD169,AF169,AH169)*Valores!$C$69</f>
        <v>64634.605050000006</v>
      </c>
      <c r="AH169" s="125">
        <f>ROUND(IF($F$4="NO",Valores!$C$63,Valores!$C$63/2),2)</f>
        <v>14083.23</v>
      </c>
      <c r="AI169" s="125">
        <f t="shared" si="29"/>
        <v>565678.05505</v>
      </c>
      <c r="AJ169" s="125">
        <f>Valores!$C$31</f>
        <v>0</v>
      </c>
      <c r="AK169" s="125">
        <f>Valores!$C$90</f>
        <v>0</v>
      </c>
      <c r="AL169" s="125">
        <f>Valores!C$38*B169</f>
        <v>0</v>
      </c>
      <c r="AM169" s="125">
        <v>0</v>
      </c>
      <c r="AN169" s="125">
        <f t="shared" si="24"/>
        <v>0</v>
      </c>
      <c r="AO169" s="125">
        <f>AI169*Valores!$C$71</f>
        <v>-62224.586055499996</v>
      </c>
      <c r="AP169" s="125">
        <f>AI169*Valores!$C$72</f>
        <v>-11313.561101</v>
      </c>
      <c r="AQ169" s="125">
        <f>AI169*-Valores!$C$73</f>
        <v>0</v>
      </c>
      <c r="AR169" s="125">
        <f>AI169*Valores!$C$74</f>
        <v>-31112.293027749998</v>
      </c>
      <c r="AS169" s="125">
        <f>Valores!$C$101</f>
        <v>-1270</v>
      </c>
      <c r="AT169" s="125">
        <f>IF($F$5=0,Valores!$C$102,(Valores!$C$102+$F$5*(Valores!$C$102)))</f>
        <v>-3700</v>
      </c>
      <c r="AU169" s="125">
        <f t="shared" si="26"/>
        <v>456057.61486574996</v>
      </c>
      <c r="AV169" s="125">
        <f t="shared" si="21"/>
        <v>-62224.586055499996</v>
      </c>
      <c r="AW169" s="125">
        <f t="shared" si="28"/>
        <v>-11313.561101</v>
      </c>
      <c r="AX169" s="125">
        <f>AI169*Valores!$C$75</f>
        <v>-15273.307486349999</v>
      </c>
      <c r="AY169" s="125">
        <f>AI169*Valores!$C$76</f>
        <v>-1697.03416515</v>
      </c>
      <c r="AZ169" s="125">
        <f t="shared" si="25"/>
        <v>475169.566242</v>
      </c>
      <c r="BA169" s="125">
        <f>AI169*Valores!$C$78</f>
        <v>90508.488808</v>
      </c>
      <c r="BB169" s="125">
        <f>AI169*Valores!$C$79</f>
        <v>39597.463853500005</v>
      </c>
      <c r="BC169" s="125">
        <f>AI169*Valores!$C$80</f>
        <v>5656.7805505</v>
      </c>
      <c r="BD169" s="125">
        <f>AI169*Valores!$C$82</f>
        <v>19798.731926750002</v>
      </c>
      <c r="BE169" s="125">
        <f>AI169*Valores!$C$84</f>
        <v>30546.614972699997</v>
      </c>
      <c r="BF169" s="125">
        <f>AI169*Valores!$C$83</f>
        <v>3394.0683303</v>
      </c>
      <c r="BG169" s="126"/>
      <c r="BH169" s="126">
        <v>45</v>
      </c>
      <c r="BI169" s="123" t="s">
        <v>8</v>
      </c>
    </row>
    <row r="170" spans="1:61" s="110" customFormat="1" ht="11.25" customHeight="1">
      <c r="A170" s="123" t="s">
        <v>427</v>
      </c>
      <c r="B170" s="123">
        <v>1</v>
      </c>
      <c r="C170" s="126">
        <v>163</v>
      </c>
      <c r="D170" s="124" t="s">
        <v>428</v>
      </c>
      <c r="E170" s="192">
        <v>98</v>
      </c>
      <c r="F170" s="125">
        <f>ROUND(E170*Valores!$C$2,2)</f>
        <v>5774.19</v>
      </c>
      <c r="G170" s="192">
        <v>2686</v>
      </c>
      <c r="H170" s="125">
        <f>ROUND(G170*Valores!$C$2,2)</f>
        <v>158259.93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66197.32</v>
      </c>
      <c r="N170" s="125">
        <f t="shared" si="22"/>
        <v>0</v>
      </c>
      <c r="O170" s="125">
        <f>Valores!$C$16</f>
        <v>50911.51</v>
      </c>
      <c r="P170" s="125">
        <f>Valores!$D$5</f>
        <v>30120.06</v>
      </c>
      <c r="Q170" s="125">
        <v>0</v>
      </c>
      <c r="R170" s="125">
        <f>IF($F$4="NO",Valores!$C$47,Valores!$C$47/2)</f>
        <v>31485.59</v>
      </c>
      <c r="S170" s="125">
        <f>Valores!$C$19</f>
        <v>28025.371999999996</v>
      </c>
      <c r="T170" s="125">
        <f t="shared" si="27"/>
        <v>28025.37</v>
      </c>
      <c r="U170" s="125">
        <v>0</v>
      </c>
      <c r="V170" s="125">
        <v>0</v>
      </c>
      <c r="W170" s="192">
        <v>700</v>
      </c>
      <c r="X170" s="125">
        <f>ROUND(W170*Valores!$C$2,2)</f>
        <v>41244.21</v>
      </c>
      <c r="Y170" s="125">
        <f>ROUND(SUM(J170,H170,F170,R170)*Valores!$C$3,2)</f>
        <v>29327.96</v>
      </c>
      <c r="Z170" s="125">
        <f>Valores!$C$97</f>
        <v>82485.58</v>
      </c>
      <c r="AA170" s="125">
        <f>Valores!$C$25</f>
        <v>1231.85</v>
      </c>
      <c r="AB170" s="214">
        <v>0</v>
      </c>
      <c r="AC170" s="125">
        <f t="shared" si="23"/>
        <v>0</v>
      </c>
      <c r="AD170" s="125">
        <f>Valores!$C$26</f>
        <v>1231.85</v>
      </c>
      <c r="AE170" s="192">
        <v>0</v>
      </c>
      <c r="AF170" s="125">
        <f>ROUND(AE170*Valores!$C$2,2)</f>
        <v>0</v>
      </c>
      <c r="AG170" s="125">
        <f>SUM(F170,H170,J170,L170,M170,N170,O170,P170,Q170,R170,T170,U170,V170,X170,Y170,Z170,AA170,AC170,AD170,AF170,AH170)*Valores!$C$69</f>
        <v>69708.84585</v>
      </c>
      <c r="AH170" s="125">
        <f>ROUND(IF($F$4="NO",Valores!$C$63,Valores!$C$63/2),2)</f>
        <v>14083.23</v>
      </c>
      <c r="AI170" s="125">
        <f t="shared" si="29"/>
        <v>610087.4958500001</v>
      </c>
      <c r="AJ170" s="125">
        <f>Valores!$C$31</f>
        <v>0</v>
      </c>
      <c r="AK170" s="125">
        <f>Valores!$C$90</f>
        <v>0</v>
      </c>
      <c r="AL170" s="125">
        <f>Valores!C$38*B170</f>
        <v>0</v>
      </c>
      <c r="AM170" s="125">
        <v>0</v>
      </c>
      <c r="AN170" s="125">
        <f t="shared" si="24"/>
        <v>0</v>
      </c>
      <c r="AO170" s="125">
        <f>AI170*Valores!$C$71</f>
        <v>-67109.6245435</v>
      </c>
      <c r="AP170" s="125">
        <f>AI170*Valores!$C$72</f>
        <v>-12201.749917000001</v>
      </c>
      <c r="AQ170" s="125">
        <f>AI170*-Valores!$C$73</f>
        <v>0</v>
      </c>
      <c r="AR170" s="125">
        <f>AI170*Valores!$C$74</f>
        <v>-33554.81227175</v>
      </c>
      <c r="AS170" s="125">
        <f>Valores!$C$101</f>
        <v>-1270</v>
      </c>
      <c r="AT170" s="125">
        <f>IF($F$5=0,Valores!$C$102,(Valores!$C$102+$F$5*(Valores!$C$102)))</f>
        <v>-3700</v>
      </c>
      <c r="AU170" s="125">
        <f t="shared" si="26"/>
        <v>492251.30911775003</v>
      </c>
      <c r="AV170" s="125">
        <f t="shared" si="21"/>
        <v>-67109.6245435</v>
      </c>
      <c r="AW170" s="125">
        <f t="shared" si="28"/>
        <v>-12201.749917000001</v>
      </c>
      <c r="AX170" s="125">
        <f>AI170*Valores!$C$75</f>
        <v>-16472.36238795</v>
      </c>
      <c r="AY170" s="125">
        <f>AI170*Valores!$C$76</f>
        <v>-1830.2624875500003</v>
      </c>
      <c r="AZ170" s="125">
        <f t="shared" si="25"/>
        <v>512473.49651400006</v>
      </c>
      <c r="BA170" s="125">
        <f>AI170*Valores!$C$78</f>
        <v>97613.99933600001</v>
      </c>
      <c r="BB170" s="125">
        <f>AI170*Valores!$C$79</f>
        <v>42706.12470950001</v>
      </c>
      <c r="BC170" s="125">
        <f>AI170*Valores!$C$80</f>
        <v>6100.8749585000005</v>
      </c>
      <c r="BD170" s="125">
        <f>AI170*Valores!$C$82</f>
        <v>21353.062354750004</v>
      </c>
      <c r="BE170" s="125">
        <f>AI170*Valores!$C$84</f>
        <v>32944.7247759</v>
      </c>
      <c r="BF170" s="125">
        <f>AI170*Valores!$C$83</f>
        <v>3660.5249751000006</v>
      </c>
      <c r="BG170" s="126"/>
      <c r="BH170" s="126"/>
      <c r="BI170" s="123" t="s">
        <v>8</v>
      </c>
    </row>
    <row r="171" spans="1:61" s="110" customFormat="1" ht="11.25" customHeight="1">
      <c r="A171" s="123" t="s">
        <v>429</v>
      </c>
      <c r="B171" s="123">
        <v>1</v>
      </c>
      <c r="C171" s="126">
        <v>164</v>
      </c>
      <c r="D171" s="124" t="s">
        <v>430</v>
      </c>
      <c r="E171" s="192">
        <v>93</v>
      </c>
      <c r="F171" s="125">
        <f>ROUND(E171*Valores!$C$2,2)</f>
        <v>5479.59</v>
      </c>
      <c r="G171" s="192">
        <v>2547</v>
      </c>
      <c r="H171" s="125">
        <f>ROUND(G171*Valores!$C$2,2)</f>
        <v>150070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64076.19</v>
      </c>
      <c r="N171" s="125">
        <f t="shared" si="22"/>
        <v>0</v>
      </c>
      <c r="O171" s="125">
        <f>Valores!$C$16</f>
        <v>50911.51</v>
      </c>
      <c r="P171" s="125">
        <f>Valores!$D$5</f>
        <v>30120.06</v>
      </c>
      <c r="Q171" s="125">
        <v>0</v>
      </c>
      <c r="R171" s="125">
        <f>IF($F$4="NO",Valores!$C$47,Valores!$C$47/2)</f>
        <v>31485.59</v>
      </c>
      <c r="S171" s="125">
        <f>Valores!$C$19</f>
        <v>28025.371999999996</v>
      </c>
      <c r="T171" s="125">
        <f t="shared" si="27"/>
        <v>28025.37</v>
      </c>
      <c r="U171" s="125">
        <v>0</v>
      </c>
      <c r="V171" s="125">
        <v>0</v>
      </c>
      <c r="W171" s="192">
        <v>700</v>
      </c>
      <c r="X171" s="125">
        <f>ROUND(W171*Valores!$C$2,2)</f>
        <v>41244.21</v>
      </c>
      <c r="Y171" s="125">
        <f>ROUND(SUM(J171,H171,F171,R171)*Valores!$C$3,2)</f>
        <v>28055.28</v>
      </c>
      <c r="Z171" s="125">
        <f>Valores!$C$97</f>
        <v>82485.58</v>
      </c>
      <c r="AA171" s="125">
        <f>Valores!$C$25</f>
        <v>1231.85</v>
      </c>
      <c r="AB171" s="214">
        <v>0</v>
      </c>
      <c r="AC171" s="125">
        <f t="shared" si="23"/>
        <v>0</v>
      </c>
      <c r="AD171" s="125">
        <f>Valores!$C$26</f>
        <v>1231.85</v>
      </c>
      <c r="AE171" s="192">
        <v>0</v>
      </c>
      <c r="AF171" s="125">
        <f>ROUND(AE171*Valores!$C$2,2)</f>
        <v>0</v>
      </c>
      <c r="AG171" s="125">
        <f>SUM(F171,H171,J171,L171,M171,N171,O171,P171,Q171,R171,T171,U171,V171,X171,Y171,Z171,AA171,AC171,AD171,AF171,AH171)*Valores!$C$69</f>
        <v>68176.53999</v>
      </c>
      <c r="AH171" s="125">
        <f>ROUND(IF($F$4="NO",Valores!$C$63,Valores!$C$63/2),2)</f>
        <v>14083.23</v>
      </c>
      <c r="AI171" s="125">
        <f t="shared" si="29"/>
        <v>596676.84999</v>
      </c>
      <c r="AJ171" s="125">
        <f>Valores!$C$31</f>
        <v>0</v>
      </c>
      <c r="AK171" s="125">
        <f>Valores!$C$90</f>
        <v>0</v>
      </c>
      <c r="AL171" s="125">
        <f>Valores!C$38*B171</f>
        <v>0</v>
      </c>
      <c r="AM171" s="125">
        <v>0</v>
      </c>
      <c r="AN171" s="125">
        <f t="shared" si="24"/>
        <v>0</v>
      </c>
      <c r="AO171" s="125">
        <f>AI171*Valores!$C$71</f>
        <v>-65634.45349890001</v>
      </c>
      <c r="AP171" s="125">
        <f>AI171*Valores!$C$72</f>
        <v>-11933.5369998</v>
      </c>
      <c r="AQ171" s="125">
        <f>AI171*-Valores!$C$73</f>
        <v>0</v>
      </c>
      <c r="AR171" s="125">
        <f>AI171*Valores!$C$74</f>
        <v>-32817.226749450005</v>
      </c>
      <c r="AS171" s="125">
        <f>Valores!$C$101</f>
        <v>-1270</v>
      </c>
      <c r="AT171" s="125">
        <f>IF($F$5=0,Valores!$C$102,(Valores!$C$102+$F$5*(Valores!$C$102)))</f>
        <v>-3700</v>
      </c>
      <c r="AU171" s="125">
        <f t="shared" si="26"/>
        <v>481321.63274185</v>
      </c>
      <c r="AV171" s="125">
        <f t="shared" si="21"/>
        <v>-65634.45349890001</v>
      </c>
      <c r="AW171" s="125">
        <f t="shared" si="28"/>
        <v>-11933.5369998</v>
      </c>
      <c r="AX171" s="125">
        <f>AI171*Valores!$C$75</f>
        <v>-16110.274949730001</v>
      </c>
      <c r="AY171" s="125">
        <f>AI171*Valores!$C$76</f>
        <v>-1790.03054997</v>
      </c>
      <c r="AZ171" s="125">
        <f t="shared" si="25"/>
        <v>501208.5539916</v>
      </c>
      <c r="BA171" s="125">
        <f>AI171*Valores!$C$78</f>
        <v>95468.2959984</v>
      </c>
      <c r="BB171" s="125">
        <f>AI171*Valores!$C$79</f>
        <v>41767.379499300005</v>
      </c>
      <c r="BC171" s="125">
        <f>AI171*Valores!$C$80</f>
        <v>5966.7684999</v>
      </c>
      <c r="BD171" s="125">
        <f>AI171*Valores!$C$82</f>
        <v>20883.689749650002</v>
      </c>
      <c r="BE171" s="125">
        <f>AI171*Valores!$C$84</f>
        <v>32220.549899460002</v>
      </c>
      <c r="BF171" s="125">
        <f>AI171*Valores!$C$83</f>
        <v>3580.06109994</v>
      </c>
      <c r="BG171" s="126"/>
      <c r="BH171" s="126"/>
      <c r="BI171" s="123" t="s">
        <v>4</v>
      </c>
    </row>
    <row r="172" spans="1:61" s="110" customFormat="1" ht="11.25" customHeight="1">
      <c r="A172" s="123" t="s">
        <v>431</v>
      </c>
      <c r="B172" s="123">
        <v>1</v>
      </c>
      <c r="C172" s="126">
        <v>165</v>
      </c>
      <c r="D172" s="124" t="s">
        <v>432</v>
      </c>
      <c r="E172" s="192">
        <v>1278</v>
      </c>
      <c r="F172" s="125">
        <f>ROUND(E172*Valores!$C$2,2)</f>
        <v>75300.14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46959.84</v>
      </c>
      <c r="N172" s="125">
        <f t="shared" si="22"/>
        <v>0</v>
      </c>
      <c r="O172" s="125">
        <f>Valores!$C$16</f>
        <v>50911.51</v>
      </c>
      <c r="P172" s="125">
        <f>Valores!$D$5</f>
        <v>30120.06</v>
      </c>
      <c r="Q172" s="125">
        <v>0</v>
      </c>
      <c r="R172" s="125">
        <f>IF($F$4="NO",Valores!$C$47,Valores!$C$47/2)</f>
        <v>31485.59</v>
      </c>
      <c r="S172" s="125">
        <f>Valores!$C$19</f>
        <v>28025.371999999996</v>
      </c>
      <c r="T172" s="125">
        <f t="shared" si="27"/>
        <v>28025.37</v>
      </c>
      <c r="U172" s="125">
        <v>0</v>
      </c>
      <c r="V172" s="125">
        <v>0</v>
      </c>
      <c r="W172" s="192">
        <v>900</v>
      </c>
      <c r="X172" s="125">
        <f>ROUND(W172*Valores!$C$2,2)</f>
        <v>53028.27</v>
      </c>
      <c r="Y172" s="125">
        <f>ROUND(SUM(J172,H172,F172,R172)*Valores!$C$3,2)</f>
        <v>16017.86</v>
      </c>
      <c r="Z172" s="125">
        <f>Valores!$C$97</f>
        <v>82485.58</v>
      </c>
      <c r="AA172" s="125">
        <f>Valores!$C$25</f>
        <v>1231.85</v>
      </c>
      <c r="AB172" s="214">
        <v>0</v>
      </c>
      <c r="AC172" s="125">
        <f t="shared" si="23"/>
        <v>0</v>
      </c>
      <c r="AD172" s="125">
        <f>Valores!$C$26</f>
        <v>1231.85</v>
      </c>
      <c r="AE172" s="192">
        <v>94</v>
      </c>
      <c r="AF172" s="125">
        <f>ROUND(AE172*Valores!$C$2,2)</f>
        <v>5538.51</v>
      </c>
      <c r="AG172" s="125">
        <f>SUM(F172,H172,J172,L172,M172,N172,O172,P172,Q172,R172,T172,U172,V172,X172,Y172,Z172,AA172,AC172,AD172,AF172,AH172)*Valores!$C$69</f>
        <v>56298.136139999995</v>
      </c>
      <c r="AH172" s="125">
        <f>ROUND(IF($F$4="NO",Valores!$C$63,Valores!$C$63/2),2)</f>
        <v>14083.23</v>
      </c>
      <c r="AI172" s="125">
        <f t="shared" si="29"/>
        <v>492717.79614</v>
      </c>
      <c r="AJ172" s="125">
        <f>Valores!$C$31</f>
        <v>0</v>
      </c>
      <c r="AK172" s="125">
        <f>Valores!$C$90</f>
        <v>0</v>
      </c>
      <c r="AL172" s="125">
        <f>Valores!C$38*B172</f>
        <v>0</v>
      </c>
      <c r="AM172" s="125">
        <f>IF($F$3="NO",0,Valores!$C$55)</f>
        <v>0</v>
      </c>
      <c r="AN172" s="125">
        <f t="shared" si="24"/>
        <v>0</v>
      </c>
      <c r="AO172" s="125">
        <f>AI172*Valores!$C$71</f>
        <v>-54198.957575399996</v>
      </c>
      <c r="AP172" s="125">
        <f>AI172*Valores!$C$72</f>
        <v>-9854.3559228</v>
      </c>
      <c r="AQ172" s="125">
        <f>AI172*-Valores!$C$73</f>
        <v>0</v>
      </c>
      <c r="AR172" s="125">
        <f>AI172*Valores!$C$74</f>
        <v>-27099.478787699998</v>
      </c>
      <c r="AS172" s="125">
        <f>Valores!$C$101</f>
        <v>-1270</v>
      </c>
      <c r="AT172" s="125">
        <f>IF($F$5=0,Valores!$C$102,(Valores!$C$102+$F$5*(Valores!$C$102)))</f>
        <v>-3700</v>
      </c>
      <c r="AU172" s="125">
        <f t="shared" si="26"/>
        <v>396595.0038541</v>
      </c>
      <c r="AV172" s="125">
        <f t="shared" si="21"/>
        <v>-54198.957575399996</v>
      </c>
      <c r="AW172" s="125">
        <f t="shared" si="28"/>
        <v>-9854.3559228</v>
      </c>
      <c r="AX172" s="125">
        <f>AI172*Valores!$C$75</f>
        <v>-13303.38049578</v>
      </c>
      <c r="AY172" s="125">
        <f>AI172*Valores!$C$76</f>
        <v>-1478.15338842</v>
      </c>
      <c r="AZ172" s="125">
        <f t="shared" si="25"/>
        <v>413882.9487576</v>
      </c>
      <c r="BA172" s="125">
        <f>AI172*Valores!$C$78</f>
        <v>78834.8473824</v>
      </c>
      <c r="BB172" s="125">
        <f>AI172*Valores!$C$79</f>
        <v>34490.2457298</v>
      </c>
      <c r="BC172" s="125">
        <f>AI172*Valores!$C$80</f>
        <v>4927.1779614</v>
      </c>
      <c r="BD172" s="125">
        <f>AI172*Valores!$C$82</f>
        <v>17245.1228649</v>
      </c>
      <c r="BE172" s="125">
        <f>AI172*Valores!$C$84</f>
        <v>26606.76099156</v>
      </c>
      <c r="BF172" s="125">
        <f>AI172*Valores!$C$83</f>
        <v>2956.30677684</v>
      </c>
      <c r="BG172" s="126"/>
      <c r="BH172" s="126">
        <v>36</v>
      </c>
      <c r="BI172" s="123" t="s">
        <v>4</v>
      </c>
    </row>
    <row r="173" spans="1:61" s="110" customFormat="1" ht="11.25" customHeight="1">
      <c r="A173" s="123" t="s">
        <v>433</v>
      </c>
      <c r="B173" s="123">
        <v>1</v>
      </c>
      <c r="C173" s="126">
        <v>166</v>
      </c>
      <c r="D173" s="124" t="s">
        <v>434</v>
      </c>
      <c r="E173" s="192">
        <v>217</v>
      </c>
      <c r="F173" s="125">
        <f>ROUND(E173*Valores!$C$2,2)</f>
        <v>12785.71</v>
      </c>
      <c r="G173" s="192">
        <f>2245</f>
        <v>2245</v>
      </c>
      <c r="H173" s="125">
        <f>ROUND(G173*Valores!$C$2,2)</f>
        <v>132276.07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76596.39</v>
      </c>
      <c r="M173" s="125">
        <f>ROUND(IF($H$2=0,IF(AND(A173&lt;&gt;"13-930",A173&lt;&gt;"13-940"),(SUM(F173,H173,J173,L173,X173,T173,R173)*Valores!$C$4),0),0),2)</f>
        <v>70292.28</v>
      </c>
      <c r="N173" s="125">
        <f t="shared" si="22"/>
        <v>0</v>
      </c>
      <c r="O173" s="125">
        <f>Valores!$C$9</f>
        <v>74035.73</v>
      </c>
      <c r="P173" s="125">
        <f>Valores!$D$5</f>
        <v>30120.06</v>
      </c>
      <c r="Q173" s="125">
        <f>Valores!$C$22</f>
        <v>26870.16</v>
      </c>
      <c r="R173" s="125">
        <f>IF($F$4="NO",Valores!$C$47,Valores!$C$47/2)</f>
        <v>31485.59</v>
      </c>
      <c r="S173" s="125">
        <f>Valores!$C$19</f>
        <v>28025.371999999996</v>
      </c>
      <c r="T173" s="125">
        <f t="shared" si="27"/>
        <v>28025.37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Valores!$C$97</f>
        <v>82485.58</v>
      </c>
      <c r="AA173" s="125">
        <f>Valores!$C$25</f>
        <v>1231.85</v>
      </c>
      <c r="AB173" s="214">
        <v>0</v>
      </c>
      <c r="AC173" s="125">
        <f t="shared" si="23"/>
        <v>0</v>
      </c>
      <c r="AD173" s="125">
        <f>Valores!$C$26</f>
        <v>1231.85</v>
      </c>
      <c r="AE173" s="192">
        <v>0</v>
      </c>
      <c r="AF173" s="125">
        <f>ROUND(AE173*Valores!$C$2,2)</f>
        <v>0</v>
      </c>
      <c r="AG173" s="125">
        <f>SUM(F173,H173,J173,L173,M173,N173,O173,P173,Q173,R173,T173,U173,V173,X173,Y173,Z173,AA173,AC173,AD173,AF173,AH173)*Valores!$C$69</f>
        <v>75016.06322999999</v>
      </c>
      <c r="AH173" s="125">
        <f>ROUND(IF($F$4="NO",Valores!$C$63,Valores!$C$63/2),2)</f>
        <v>14083.23</v>
      </c>
      <c r="AI173" s="125">
        <f t="shared" si="29"/>
        <v>656535.9332299998</v>
      </c>
      <c r="AJ173" s="125">
        <f>Valores!$C$31</f>
        <v>0</v>
      </c>
      <c r="AK173" s="125">
        <f>Valores!$C$90</f>
        <v>0</v>
      </c>
      <c r="AL173" s="125">
        <f>Valores!C$38*B173</f>
        <v>0</v>
      </c>
      <c r="AM173" s="125">
        <f>IF($F$3="NO",0,Valores!$C$55)</f>
        <v>0</v>
      </c>
      <c r="AN173" s="125">
        <f t="shared" si="24"/>
        <v>0</v>
      </c>
      <c r="AO173" s="125">
        <f>AI173*Valores!$C$71</f>
        <v>-72218.95265529999</v>
      </c>
      <c r="AP173" s="125">
        <f>AI173*Valores!$C$72</f>
        <v>-13130.718664599997</v>
      </c>
      <c r="AQ173" s="125">
        <f>AI173*-Valores!$C$73</f>
        <v>0</v>
      </c>
      <c r="AR173" s="125">
        <f>AI173*Valores!$C$74</f>
        <v>-36109.476327649994</v>
      </c>
      <c r="AS173" s="125">
        <f>Valores!$C$101</f>
        <v>-1270</v>
      </c>
      <c r="AT173" s="125">
        <f>IF($F$5=0,Valores!$C$102,(Valores!$C$102+$F$5*(Valores!$C$102)))</f>
        <v>-3700</v>
      </c>
      <c r="AU173" s="125">
        <f t="shared" si="26"/>
        <v>530106.7855824499</v>
      </c>
      <c r="AV173" s="125">
        <f t="shared" si="21"/>
        <v>-72218.95265529999</v>
      </c>
      <c r="AW173" s="125">
        <f t="shared" si="28"/>
        <v>-13130.718664599997</v>
      </c>
      <c r="AX173" s="125">
        <f>AI173*Valores!$C$75</f>
        <v>-17726.470197209997</v>
      </c>
      <c r="AY173" s="125">
        <f>AI173*Valores!$C$76</f>
        <v>-1969.6077996899996</v>
      </c>
      <c r="AZ173" s="125">
        <f t="shared" si="25"/>
        <v>551490.1839131998</v>
      </c>
      <c r="BA173" s="125">
        <f>AI173*Valores!$C$78</f>
        <v>105045.74931679998</v>
      </c>
      <c r="BB173" s="125">
        <f>AI173*Valores!$C$79</f>
        <v>45957.515326099994</v>
      </c>
      <c r="BC173" s="125">
        <f>AI173*Valores!$C$80</f>
        <v>6565.359332299999</v>
      </c>
      <c r="BD173" s="125">
        <f>AI173*Valores!$C$82</f>
        <v>22978.757663049997</v>
      </c>
      <c r="BE173" s="125">
        <f>AI173*Valores!$C$84</f>
        <v>35452.940394419995</v>
      </c>
      <c r="BF173" s="125">
        <f>AI173*Valores!$C$83</f>
        <v>3939.2155993799993</v>
      </c>
      <c r="BG173" s="126"/>
      <c r="BH173" s="126">
        <v>45</v>
      </c>
      <c r="BI173" s="123" t="s">
        <v>4</v>
      </c>
    </row>
    <row r="174" spans="1:61" s="110" customFormat="1" ht="11.25" customHeight="1">
      <c r="A174" s="123" t="s">
        <v>435</v>
      </c>
      <c r="B174" s="123">
        <v>1</v>
      </c>
      <c r="C174" s="126">
        <v>167</v>
      </c>
      <c r="D174" s="124" t="s">
        <v>436</v>
      </c>
      <c r="E174" s="192">
        <v>185</v>
      </c>
      <c r="F174" s="125">
        <f>ROUND(E174*Valores!$C$2,2)</f>
        <v>10900.26</v>
      </c>
      <c r="G174" s="192">
        <f>1835</f>
        <v>1835</v>
      </c>
      <c r="H174" s="125">
        <f>ROUND(G174*Valores!$C$2,2)</f>
        <v>108118.75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76596.39</v>
      </c>
      <c r="M174" s="125">
        <f>ROUND(IF($H$2=0,IF(AND(A174&lt;&gt;"13-930",A174&lt;&gt;"13-940"),(SUM(F174,H174,J174,L174,X174,T174,R174)*Valores!$C$4),0),0),2)</f>
        <v>63781.59</v>
      </c>
      <c r="N174" s="125">
        <f t="shared" si="22"/>
        <v>0</v>
      </c>
      <c r="O174" s="125">
        <f>Valores!$C$9</f>
        <v>74035.73</v>
      </c>
      <c r="P174" s="125">
        <f>Valores!$D$5</f>
        <v>30120.06</v>
      </c>
      <c r="Q174" s="125">
        <f>Valores!$C$22</f>
        <v>26870.16</v>
      </c>
      <c r="R174" s="125">
        <f>IF($F$4="NO",Valores!$C$47,Valores!$C$47/2)</f>
        <v>31485.59</v>
      </c>
      <c r="S174" s="125">
        <f>Valores!$C$19</f>
        <v>28025.371999999996</v>
      </c>
      <c r="T174" s="125">
        <f t="shared" si="27"/>
        <v>28025.37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Valores!$C$97</f>
        <v>82485.58</v>
      </c>
      <c r="AA174" s="125">
        <f>Valores!$C$25</f>
        <v>1231.85</v>
      </c>
      <c r="AB174" s="214">
        <v>0</v>
      </c>
      <c r="AC174" s="125">
        <f t="shared" si="23"/>
        <v>0</v>
      </c>
      <c r="AD174" s="125">
        <f>Valores!$C$26</f>
        <v>1231.85</v>
      </c>
      <c r="AE174" s="192">
        <v>0</v>
      </c>
      <c r="AF174" s="125">
        <f>ROUND(AE174*Valores!$C$2,2)</f>
        <v>0</v>
      </c>
      <c r="AG174" s="125">
        <f>SUM(F174,H174,J174,L174,M174,N174,O174,P174,Q174,R174,T174,U174,V174,X174,Y174,Z174,AA174,AC174,AD174,AF174,AH174)*Valores!$C$69</f>
        <v>70816.66689</v>
      </c>
      <c r="AH174" s="125">
        <f>ROUND(IF($F$4="NO",Valores!$C$63,Valores!$C$63/2),2)</f>
        <v>14083.23</v>
      </c>
      <c r="AI174" s="125">
        <f t="shared" si="29"/>
        <v>619783.0768899999</v>
      </c>
      <c r="AJ174" s="125">
        <f>Valores!$C$31</f>
        <v>0</v>
      </c>
      <c r="AK174" s="125">
        <f>Valores!$C$90</f>
        <v>0</v>
      </c>
      <c r="AL174" s="125">
        <f>Valores!C$38*B174</f>
        <v>0</v>
      </c>
      <c r="AM174" s="125">
        <f>IF($F$3="NO",0,Valores!$C$55)</f>
        <v>0</v>
      </c>
      <c r="AN174" s="125">
        <f t="shared" si="24"/>
        <v>0</v>
      </c>
      <c r="AO174" s="125">
        <f>AI174*Valores!$C$71</f>
        <v>-68176.13845789999</v>
      </c>
      <c r="AP174" s="125">
        <f>AI174*Valores!$C$72</f>
        <v>-12395.661537799999</v>
      </c>
      <c r="AQ174" s="125">
        <f>AI174*-Valores!$C$73</f>
        <v>0</v>
      </c>
      <c r="AR174" s="125">
        <f>AI174*Valores!$C$74</f>
        <v>-34088.06922894999</v>
      </c>
      <c r="AS174" s="125">
        <f>Valores!$C$101</f>
        <v>-1270</v>
      </c>
      <c r="AT174" s="125">
        <f>IF($F$5=0,Valores!$C$102,(Valores!$C$102+$F$5*(Valores!$C$102)))</f>
        <v>-3700</v>
      </c>
      <c r="AU174" s="125">
        <f t="shared" si="26"/>
        <v>500153.20766534994</v>
      </c>
      <c r="AV174" s="125">
        <f t="shared" si="21"/>
        <v>-68176.13845789999</v>
      </c>
      <c r="AW174" s="125">
        <f t="shared" si="28"/>
        <v>-12395.661537799999</v>
      </c>
      <c r="AX174" s="125">
        <f>AI174*Valores!$C$75</f>
        <v>-16734.14307603</v>
      </c>
      <c r="AY174" s="125">
        <f>AI174*Valores!$C$76</f>
        <v>-1859.3492306699998</v>
      </c>
      <c r="AZ174" s="125">
        <f t="shared" si="25"/>
        <v>520617.7845875999</v>
      </c>
      <c r="BA174" s="125">
        <f>AI174*Valores!$C$78</f>
        <v>99165.29230239999</v>
      </c>
      <c r="BB174" s="125">
        <f>AI174*Valores!$C$79</f>
        <v>43384.815382299996</v>
      </c>
      <c r="BC174" s="125">
        <f>AI174*Valores!$C$80</f>
        <v>6197.830768899999</v>
      </c>
      <c r="BD174" s="125">
        <f>AI174*Valores!$C$82</f>
        <v>21692.407691149998</v>
      </c>
      <c r="BE174" s="125">
        <f>AI174*Valores!$C$84</f>
        <v>33468.28615206</v>
      </c>
      <c r="BF174" s="125">
        <f>AI174*Valores!$C$83</f>
        <v>3718.6984613399995</v>
      </c>
      <c r="BG174" s="126"/>
      <c r="BH174" s="126">
        <v>45</v>
      </c>
      <c r="BI174" s="123" t="s">
        <v>4</v>
      </c>
    </row>
    <row r="175" spans="1:61" s="110" customFormat="1" ht="11.25" customHeight="1">
      <c r="A175" s="123" t="s">
        <v>437</v>
      </c>
      <c r="B175" s="123">
        <v>1</v>
      </c>
      <c r="C175" s="126">
        <v>168</v>
      </c>
      <c r="D175" s="124" t="s">
        <v>438</v>
      </c>
      <c r="E175" s="192">
        <v>160</v>
      </c>
      <c r="F175" s="125">
        <f>ROUND(E175*Valores!$C$2,2)</f>
        <v>9427.25</v>
      </c>
      <c r="G175" s="192">
        <f>1484</f>
        <v>1484</v>
      </c>
      <c r="H175" s="125">
        <f>ROUND(G175*Valores!$C$2,2)</f>
        <v>87437.73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76596.39</v>
      </c>
      <c r="M175" s="125">
        <f>ROUND(IF($H$2=0,IF(AND(A175&lt;&gt;"13-930",A175&lt;&gt;"13-940"),(SUM(F175,H175,J175,L175,X175,T175,R175)*Valores!$C$4),0),0),2)</f>
        <v>58243.08</v>
      </c>
      <c r="N175" s="125">
        <f t="shared" si="22"/>
        <v>0</v>
      </c>
      <c r="O175" s="125">
        <f>Valores!$C$9</f>
        <v>74035.73</v>
      </c>
      <c r="P175" s="125">
        <f>Valores!$D$5</f>
        <v>30120.06</v>
      </c>
      <c r="Q175" s="125">
        <f>Valores!$C$22</f>
        <v>26870.16</v>
      </c>
      <c r="R175" s="125">
        <f>IF($F$4="NO",Valores!$C$47,Valores!$C$47/2)</f>
        <v>31485.59</v>
      </c>
      <c r="S175" s="125">
        <f>Valores!$C$19</f>
        <v>28025.371999999996</v>
      </c>
      <c r="T175" s="125">
        <f t="shared" si="27"/>
        <v>28025.37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Valores!$C$97</f>
        <v>82485.58</v>
      </c>
      <c r="AA175" s="125">
        <f>Valores!$C$25</f>
        <v>1231.85</v>
      </c>
      <c r="AB175" s="214">
        <v>0</v>
      </c>
      <c r="AC175" s="125">
        <f t="shared" si="23"/>
        <v>0</v>
      </c>
      <c r="AD175" s="125">
        <f>Valores!$C$26</f>
        <v>1231.85</v>
      </c>
      <c r="AE175" s="192">
        <v>0</v>
      </c>
      <c r="AF175" s="125">
        <f>ROUND(AE175*Valores!$C$2,2)</f>
        <v>0</v>
      </c>
      <c r="AG175" s="125">
        <f>SUM(F175,H175,J175,L175,M175,N175,O175,P175,Q175,R175,T175,U175,V175,X175,Y175,Z175,AA175,AC175,AD175,AF175,AH175)*Valores!$C$69</f>
        <v>67244.32922999999</v>
      </c>
      <c r="AH175" s="125">
        <f>ROUND(IF($F$4="NO",Valores!$C$63,Valores!$C$63/2),2)</f>
        <v>14083.23</v>
      </c>
      <c r="AI175" s="125">
        <f t="shared" si="29"/>
        <v>588518.1992299999</v>
      </c>
      <c r="AJ175" s="125">
        <f>Valores!$C$31</f>
        <v>0</v>
      </c>
      <c r="AK175" s="125">
        <f>Valores!$C$90</f>
        <v>0</v>
      </c>
      <c r="AL175" s="125">
        <f>Valores!C$38*B175</f>
        <v>0</v>
      </c>
      <c r="AM175" s="125">
        <f>IF($F$3="NO",0,Valores!$C$55)</f>
        <v>0</v>
      </c>
      <c r="AN175" s="125">
        <f t="shared" si="24"/>
        <v>0</v>
      </c>
      <c r="AO175" s="125">
        <f>AI175*Valores!$C$71</f>
        <v>-64737.00191529999</v>
      </c>
      <c r="AP175" s="125">
        <f>AI175*Valores!$C$72</f>
        <v>-11770.363984599999</v>
      </c>
      <c r="AQ175" s="125">
        <f>AI175*-Valores!$C$73</f>
        <v>0</v>
      </c>
      <c r="AR175" s="125">
        <f>AI175*Valores!$C$74</f>
        <v>-32368.500957649994</v>
      </c>
      <c r="AS175" s="125">
        <f>Valores!$C$101</f>
        <v>-1270</v>
      </c>
      <c r="AT175" s="125">
        <f>IF($F$5=0,Valores!$C$102,(Valores!$C$102+$F$5*(Valores!$C$102)))</f>
        <v>-3700</v>
      </c>
      <c r="AU175" s="125">
        <f t="shared" si="26"/>
        <v>474672.3323724499</v>
      </c>
      <c r="AV175" s="125">
        <f t="shared" si="21"/>
        <v>-64737.00191529999</v>
      </c>
      <c r="AW175" s="125">
        <f t="shared" si="28"/>
        <v>-11770.363984599999</v>
      </c>
      <c r="AX175" s="125">
        <f>AI175*Valores!$C$75</f>
        <v>-15889.991379209998</v>
      </c>
      <c r="AY175" s="125">
        <f>AI175*Valores!$C$76</f>
        <v>-1765.5545976899998</v>
      </c>
      <c r="AZ175" s="125">
        <f t="shared" si="25"/>
        <v>494355.2873531999</v>
      </c>
      <c r="BA175" s="125">
        <f>AI175*Valores!$C$78</f>
        <v>94162.91187679999</v>
      </c>
      <c r="BB175" s="125">
        <f>AI175*Valores!$C$79</f>
        <v>41196.273946099995</v>
      </c>
      <c r="BC175" s="125">
        <f>AI175*Valores!$C$80</f>
        <v>5885.181992299999</v>
      </c>
      <c r="BD175" s="125">
        <f>AI175*Valores!$C$82</f>
        <v>20598.136973049997</v>
      </c>
      <c r="BE175" s="125">
        <f>AI175*Valores!$C$84</f>
        <v>31779.982758419996</v>
      </c>
      <c r="BF175" s="125">
        <f>AI175*Valores!$C$83</f>
        <v>3531.1091953799996</v>
      </c>
      <c r="BG175" s="126"/>
      <c r="BH175" s="126">
        <v>45</v>
      </c>
      <c r="BI175" s="123" t="s">
        <v>4</v>
      </c>
    </row>
    <row r="176" spans="1:61" s="110" customFormat="1" ht="11.25" customHeight="1">
      <c r="A176" s="123" t="s">
        <v>439</v>
      </c>
      <c r="B176" s="123">
        <v>1</v>
      </c>
      <c r="C176" s="126">
        <v>169</v>
      </c>
      <c r="D176" s="124" t="s">
        <v>440</v>
      </c>
      <c r="E176" s="192">
        <v>178</v>
      </c>
      <c r="F176" s="125">
        <f>ROUND(E176*Valores!$C$2,2)</f>
        <v>10487.81</v>
      </c>
      <c r="G176" s="192">
        <f>1842</f>
        <v>1842</v>
      </c>
      <c r="H176" s="125">
        <f>ROUND(G176*Valores!$C$2,2)</f>
        <v>108531.19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76596.39</v>
      </c>
      <c r="M176" s="125">
        <f>ROUND(IF($H$2=0,IF(AND(A176&lt;&gt;"13-930",A176&lt;&gt;"13-940"),(SUM(F176,H176,J176,L176,X176,T176,R176)*Valores!$C$4),0),0),2)</f>
        <v>63781.59</v>
      </c>
      <c r="N176" s="125">
        <f t="shared" si="22"/>
        <v>0</v>
      </c>
      <c r="O176" s="125">
        <f>Valores!$C$9</f>
        <v>74035.73</v>
      </c>
      <c r="P176" s="125">
        <f>Valores!$D$5</f>
        <v>30120.06</v>
      </c>
      <c r="Q176" s="125">
        <f>Valores!$C$22</f>
        <v>26870.16</v>
      </c>
      <c r="R176" s="125">
        <f>IF($F$4="NO",Valores!$C$47,Valores!$C$47/2)</f>
        <v>31485.59</v>
      </c>
      <c r="S176" s="125">
        <f>Valores!$C$19</f>
        <v>28025.371999999996</v>
      </c>
      <c r="T176" s="125">
        <f t="shared" si="27"/>
        <v>28025.37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Valores!$C$97</f>
        <v>82485.58</v>
      </c>
      <c r="AA176" s="125">
        <f>Valores!$C$25</f>
        <v>1231.85</v>
      </c>
      <c r="AB176" s="214">
        <v>0</v>
      </c>
      <c r="AC176" s="125">
        <f t="shared" si="23"/>
        <v>0</v>
      </c>
      <c r="AD176" s="125">
        <f>Valores!$C$26</f>
        <v>1231.85</v>
      </c>
      <c r="AE176" s="192">
        <v>0</v>
      </c>
      <c r="AF176" s="125">
        <f>ROUND(AE176*Valores!$C$2,2)</f>
        <v>0</v>
      </c>
      <c r="AG176" s="125">
        <f>SUM(F176,H176,J176,L176,M176,N176,O176,P176,Q176,R176,T176,U176,V176,X176,Y176,Z176,AA176,AC176,AD176,AF176,AH176)*Valores!$C$69</f>
        <v>70816.6656</v>
      </c>
      <c r="AH176" s="125">
        <f>ROUND(IF($F$4="NO",Valores!$C$63,Valores!$C$63/2),2)</f>
        <v>14083.23</v>
      </c>
      <c r="AI176" s="125">
        <f t="shared" si="29"/>
        <v>619783.0655999999</v>
      </c>
      <c r="AJ176" s="125">
        <f>Valores!$C$31</f>
        <v>0</v>
      </c>
      <c r="AK176" s="125">
        <f>Valores!$C$90</f>
        <v>0</v>
      </c>
      <c r="AL176" s="125">
        <f>Valores!C$38*B176</f>
        <v>0</v>
      </c>
      <c r="AM176" s="125">
        <f>IF($F$3="NO",0,Valores!$C$55)</f>
        <v>0</v>
      </c>
      <c r="AN176" s="125">
        <f t="shared" si="24"/>
        <v>0</v>
      </c>
      <c r="AO176" s="125">
        <f>AI176*Valores!$C$71</f>
        <v>-68176.13721599999</v>
      </c>
      <c r="AP176" s="125">
        <f>AI176*Valores!$C$72</f>
        <v>-12395.661311999997</v>
      </c>
      <c r="AQ176" s="125">
        <f>AI176*-Valores!$C$73</f>
        <v>0</v>
      </c>
      <c r="AR176" s="125">
        <f>AI176*Valores!$C$74</f>
        <v>-34088.068607999994</v>
      </c>
      <c r="AS176" s="125">
        <f>Valores!$C$101</f>
        <v>-1270</v>
      </c>
      <c r="AT176" s="125">
        <f>IF($F$5=0,Valores!$C$102,(Valores!$C$102+$F$5*(Valores!$C$102)))</f>
        <v>-3700</v>
      </c>
      <c r="AU176" s="125">
        <f t="shared" si="26"/>
        <v>500153.1984639999</v>
      </c>
      <c r="AV176" s="125">
        <f t="shared" si="21"/>
        <v>-68176.13721599999</v>
      </c>
      <c r="AW176" s="125">
        <f t="shared" si="28"/>
        <v>-12395.661311999997</v>
      </c>
      <c r="AX176" s="125">
        <f>AI176*Valores!$C$75</f>
        <v>-16734.142771199997</v>
      </c>
      <c r="AY176" s="125">
        <f>AI176*Valores!$C$76</f>
        <v>-1859.3491967999996</v>
      </c>
      <c r="AZ176" s="125">
        <f t="shared" si="25"/>
        <v>520617.7751039999</v>
      </c>
      <c r="BA176" s="125">
        <f>AI176*Valores!$C$78</f>
        <v>99165.29049599997</v>
      </c>
      <c r="BB176" s="125">
        <f>AI176*Valores!$C$79</f>
        <v>43384.814591999995</v>
      </c>
      <c r="BC176" s="125">
        <f>AI176*Valores!$C$80</f>
        <v>6197.830655999998</v>
      </c>
      <c r="BD176" s="125">
        <f>AI176*Valores!$C$82</f>
        <v>21692.407295999998</v>
      </c>
      <c r="BE176" s="125">
        <f>AI176*Valores!$C$84</f>
        <v>33468.28554239999</v>
      </c>
      <c r="BF176" s="125">
        <f>AI176*Valores!$C$83</f>
        <v>3718.6983935999992</v>
      </c>
      <c r="BG176" s="126"/>
      <c r="BH176" s="126">
        <v>45</v>
      </c>
      <c r="BI176" s="123" t="s">
        <v>4</v>
      </c>
    </row>
    <row r="177" spans="1:61" s="110" customFormat="1" ht="11.25" customHeight="1">
      <c r="A177" s="123" t="s">
        <v>441</v>
      </c>
      <c r="B177" s="123">
        <v>1</v>
      </c>
      <c r="C177" s="126">
        <v>170</v>
      </c>
      <c r="D177" s="124" t="s">
        <v>442</v>
      </c>
      <c r="E177" s="192">
        <v>1278</v>
      </c>
      <c r="F177" s="125">
        <f>ROUND(E177*Valores!$C$2,2)</f>
        <v>75300.14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70704.36</v>
      </c>
      <c r="M177" s="125">
        <f>ROUND(IF($H$2=0,IF(AND(A177&lt;&gt;"13-930",A177&lt;&gt;"13-940"),(SUM(F177,H177,J177,L177,X177,T177,R177)*Valores!$C$4),0),0),2)</f>
        <v>51378.87</v>
      </c>
      <c r="N177" s="125">
        <f t="shared" si="22"/>
        <v>0</v>
      </c>
      <c r="O177" s="125">
        <f>Valores!$C$16</f>
        <v>50911.51</v>
      </c>
      <c r="P177" s="125">
        <f>Valores!$D$5</f>
        <v>30120.06</v>
      </c>
      <c r="Q177" s="125">
        <f>Valores!$C$22</f>
        <v>26870.16</v>
      </c>
      <c r="R177" s="125">
        <f>IF($F$4="NO",Valores!$C$47,Valores!$C$47/2)</f>
        <v>31485.59</v>
      </c>
      <c r="S177" s="125">
        <f>Valores!$C$19</f>
        <v>28025.371999999996</v>
      </c>
      <c r="T177" s="125">
        <f t="shared" si="27"/>
        <v>28025.37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Valores!$C$97</f>
        <v>82485.58</v>
      </c>
      <c r="AA177" s="125">
        <f>Valores!$C$25</f>
        <v>1231.85</v>
      </c>
      <c r="AB177" s="214">
        <v>0</v>
      </c>
      <c r="AC177" s="125">
        <f t="shared" si="23"/>
        <v>0</v>
      </c>
      <c r="AD177" s="125">
        <f>Valores!$C$26</f>
        <v>1231.85</v>
      </c>
      <c r="AE177" s="192">
        <v>0</v>
      </c>
      <c r="AF177" s="125">
        <f>ROUND(AE177*Valores!$C$2,2)</f>
        <v>0</v>
      </c>
      <c r="AG177" s="125">
        <f>SUM(F177,H177,J177,L177,M177,N177,O177,P177,Q177,R177,T177,U177,V177,X177,Y177,Z177,AA177,AC177,AD177,AF177,AH177)*Valores!$C$69</f>
        <v>59833.88552999999</v>
      </c>
      <c r="AH177" s="125">
        <f>ROUND(IF($F$4="NO",Valores!$C$63,Valores!$C$63/2),2)</f>
        <v>14083.23</v>
      </c>
      <c r="AI177" s="125">
        <f t="shared" si="29"/>
        <v>523662.4555299999</v>
      </c>
      <c r="AJ177" s="125">
        <f>Valores!$C$31</f>
        <v>0</v>
      </c>
      <c r="AK177" s="125">
        <f>Valores!$C$90</f>
        <v>0</v>
      </c>
      <c r="AL177" s="125">
        <f>Valores!C$38*B177</f>
        <v>0</v>
      </c>
      <c r="AM177" s="125">
        <f>IF($F$3="NO",0,Valores!$C$55)</f>
        <v>0</v>
      </c>
      <c r="AN177" s="125">
        <f t="shared" si="24"/>
        <v>0</v>
      </c>
      <c r="AO177" s="125">
        <f>AI177*Valores!$C$71</f>
        <v>-57602.87010829999</v>
      </c>
      <c r="AP177" s="125">
        <f>AI177*Valores!$C$72</f>
        <v>-10473.249110599998</v>
      </c>
      <c r="AQ177" s="125">
        <f>AI177*-Valores!$C$73</f>
        <v>0</v>
      </c>
      <c r="AR177" s="125">
        <f>AI177*Valores!$C$74</f>
        <v>-28801.435054149995</v>
      </c>
      <c r="AS177" s="125">
        <f>Valores!$C$101</f>
        <v>-1270</v>
      </c>
      <c r="AT177" s="125">
        <f>IF($F$5=0,Valores!$C$102,(Valores!$C$102+$F$5*(Valores!$C$102)))</f>
        <v>-3700</v>
      </c>
      <c r="AU177" s="125">
        <f t="shared" si="26"/>
        <v>421814.90125694993</v>
      </c>
      <c r="AV177" s="125">
        <f t="shared" si="21"/>
        <v>-57602.87010829999</v>
      </c>
      <c r="AW177" s="125">
        <f t="shared" si="28"/>
        <v>-10473.249110599998</v>
      </c>
      <c r="AX177" s="125">
        <f>AI177*Valores!$C$75</f>
        <v>-14138.886299309997</v>
      </c>
      <c r="AY177" s="125">
        <f>AI177*Valores!$C$76</f>
        <v>-1570.9873665899997</v>
      </c>
      <c r="AZ177" s="125">
        <f t="shared" si="25"/>
        <v>439876.46264519996</v>
      </c>
      <c r="BA177" s="125">
        <f>AI177*Valores!$C$78</f>
        <v>83785.99288479998</v>
      </c>
      <c r="BB177" s="125">
        <f>AI177*Valores!$C$79</f>
        <v>36656.371887099995</v>
      </c>
      <c r="BC177" s="125">
        <f>AI177*Valores!$C$80</f>
        <v>5236.624555299999</v>
      </c>
      <c r="BD177" s="125">
        <f>AI177*Valores!$C$82</f>
        <v>18328.185943549997</v>
      </c>
      <c r="BE177" s="125">
        <f>AI177*Valores!$C$84</f>
        <v>28277.772598619995</v>
      </c>
      <c r="BF177" s="125">
        <f>AI177*Valores!$C$83</f>
        <v>3141.9747331799995</v>
      </c>
      <c r="BG177" s="126"/>
      <c r="BH177" s="126"/>
      <c r="BI177" s="123" t="s">
        <v>4</v>
      </c>
    </row>
    <row r="178" spans="1:61" s="110" customFormat="1" ht="11.25" customHeight="1">
      <c r="A178" s="123" t="s">
        <v>443</v>
      </c>
      <c r="B178" s="123">
        <v>1</v>
      </c>
      <c r="C178" s="126">
        <v>171</v>
      </c>
      <c r="D178" s="124" t="s">
        <v>444</v>
      </c>
      <c r="E178" s="192">
        <v>971</v>
      </c>
      <c r="F178" s="125">
        <f>ROUND(E178*Valores!$C$2,2)</f>
        <v>57211.61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38887.4</v>
      </c>
      <c r="M178" s="125">
        <f>ROUND(IF($H$2=0,IF(AND(A178&lt;&gt;"13-930",A178&lt;&gt;"13-940"),(SUM(F178,H178,J178,L178,X178,T178,R178)*Valores!$C$4),0),0),2)</f>
        <v>38902.49</v>
      </c>
      <c r="N178" s="125">
        <f t="shared" si="22"/>
        <v>0</v>
      </c>
      <c r="O178" s="125">
        <f>Valores!$C$16</f>
        <v>50911.51</v>
      </c>
      <c r="P178" s="125">
        <f>Valores!$D$5</f>
        <v>30120.06</v>
      </c>
      <c r="Q178" s="125">
        <f>Valores!$C$22</f>
        <v>26870.16</v>
      </c>
      <c r="R178" s="125">
        <f>IF($F$4="NO",Valores!$C$47,Valores!$C$47/2)</f>
        <v>31485.59</v>
      </c>
      <c r="S178" s="125">
        <f>Valores!$C$19</f>
        <v>28025.371999999996</v>
      </c>
      <c r="T178" s="125">
        <f t="shared" si="27"/>
        <v>28025.37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Valores!$C$97</f>
        <v>82485.58</v>
      </c>
      <c r="AA178" s="125">
        <f>Valores!$C$25</f>
        <v>1231.85</v>
      </c>
      <c r="AB178" s="214">
        <v>0</v>
      </c>
      <c r="AC178" s="125">
        <f t="shared" si="23"/>
        <v>0</v>
      </c>
      <c r="AD178" s="125">
        <f>Valores!$C$26</f>
        <v>1231.85</v>
      </c>
      <c r="AE178" s="192">
        <v>0</v>
      </c>
      <c r="AF178" s="125">
        <f>ROUND(AE178*Valores!$C$2,2)</f>
        <v>0</v>
      </c>
      <c r="AG178" s="125">
        <f>SUM(F178,H178,J178,L178,M178,N178,O178,P178,Q178,R178,T178,U178,V178,X178,Y178,Z178,AA178,AC178,AD178,AF178,AH178)*Valores!$C$69</f>
        <v>51786.624299999996</v>
      </c>
      <c r="AH178" s="125">
        <f>ROUND(IF($F$4="NO",Valores!$C$63,Valores!$C$63/2),2)</f>
        <v>14083.23</v>
      </c>
      <c r="AI178" s="125">
        <f t="shared" si="29"/>
        <v>453233.3243</v>
      </c>
      <c r="AJ178" s="125">
        <f>Valores!$C$31</f>
        <v>0</v>
      </c>
      <c r="AK178" s="125">
        <f>Valores!$C$90</f>
        <v>0</v>
      </c>
      <c r="AL178" s="125">
        <f>Valores!C$38*B178</f>
        <v>0</v>
      </c>
      <c r="AM178" s="125">
        <f>IF($F$3="NO",0,Valores!$C$55)</f>
        <v>0</v>
      </c>
      <c r="AN178" s="125">
        <f t="shared" si="24"/>
        <v>0</v>
      </c>
      <c r="AO178" s="125">
        <f>AI178*Valores!$C$71</f>
        <v>-49855.665672999996</v>
      </c>
      <c r="AP178" s="125">
        <f>AI178*Valores!$C$72</f>
        <v>-9064.666486</v>
      </c>
      <c r="AQ178" s="125">
        <f>AI178*-Valores!$C$73</f>
        <v>0</v>
      </c>
      <c r="AR178" s="125">
        <f>AI178*Valores!$C$74</f>
        <v>-24927.832836499998</v>
      </c>
      <c r="AS178" s="125">
        <f>Valores!$C$101</f>
        <v>-1270</v>
      </c>
      <c r="AT178" s="125">
        <f>IF($F$5=0,Valores!$C$102,(Valores!$C$102+$F$5*(Valores!$C$102)))</f>
        <v>-3700</v>
      </c>
      <c r="AU178" s="125">
        <f t="shared" si="26"/>
        <v>364415.1593045</v>
      </c>
      <c r="AV178" s="125">
        <f t="shared" si="21"/>
        <v>-49855.665672999996</v>
      </c>
      <c r="AW178" s="125">
        <f t="shared" si="28"/>
        <v>-9064.666486</v>
      </c>
      <c r="AX178" s="125">
        <f>AI178*Valores!$C$75</f>
        <v>-12237.2997561</v>
      </c>
      <c r="AY178" s="125">
        <f>AI178*Valores!$C$76</f>
        <v>-1359.6999729</v>
      </c>
      <c r="AZ178" s="125">
        <f t="shared" si="25"/>
        <v>380715.99241199996</v>
      </c>
      <c r="BA178" s="125">
        <f>AI178*Valores!$C$78</f>
        <v>72517.331888</v>
      </c>
      <c r="BB178" s="125">
        <f>AI178*Valores!$C$79</f>
        <v>31726.332701000003</v>
      </c>
      <c r="BC178" s="125">
        <f>AI178*Valores!$C$80</f>
        <v>4532.333243</v>
      </c>
      <c r="BD178" s="125">
        <f>AI178*Valores!$C$82</f>
        <v>15863.166350500001</v>
      </c>
      <c r="BE178" s="125">
        <f>AI178*Valores!$C$84</f>
        <v>24474.5995122</v>
      </c>
      <c r="BF178" s="125">
        <f>AI178*Valores!$C$83</f>
        <v>2719.3999458</v>
      </c>
      <c r="BG178" s="126"/>
      <c r="BH178" s="126">
        <v>18</v>
      </c>
      <c r="BI178" s="123" t="s">
        <v>4</v>
      </c>
    </row>
    <row r="179" spans="1:61" s="110" customFormat="1" ht="11.25" customHeight="1">
      <c r="A179" s="123" t="s">
        <v>445</v>
      </c>
      <c r="B179" s="123">
        <v>1</v>
      </c>
      <c r="C179" s="126">
        <v>172</v>
      </c>
      <c r="D179" s="124" t="s">
        <v>446</v>
      </c>
      <c r="E179" s="192">
        <v>213</v>
      </c>
      <c r="F179" s="125">
        <f>ROUND(E179*Valores!$C$2,2)</f>
        <v>12550.02</v>
      </c>
      <c r="G179" s="192">
        <f>1835</f>
        <v>1835</v>
      </c>
      <c r="H179" s="125">
        <f>ROUND(G179*Valores!$C$2,2)</f>
        <v>108118.75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76596.39</v>
      </c>
      <c r="M179" s="125">
        <f>ROUND(IF($H$2=0,IF(AND(A179&lt;&gt;"13-930",A179&lt;&gt;"13-940"),(SUM(F179,H179,J179,L179,X179,T179,R179)*Valores!$C$4),0),0),2)</f>
        <v>64194.03</v>
      </c>
      <c r="N179" s="125">
        <f t="shared" si="22"/>
        <v>0</v>
      </c>
      <c r="O179" s="125">
        <f>Valores!$C$9</f>
        <v>74035.73</v>
      </c>
      <c r="P179" s="125">
        <f>Valores!$D$5</f>
        <v>30120.06</v>
      </c>
      <c r="Q179" s="125">
        <f>Valores!$C$22</f>
        <v>26870.16</v>
      </c>
      <c r="R179" s="125">
        <f>IF($F$4="NO",Valores!$C$47,Valores!$C$47/2)</f>
        <v>31485.59</v>
      </c>
      <c r="S179" s="125">
        <f>Valores!$C$19</f>
        <v>28025.371999999996</v>
      </c>
      <c r="T179" s="125">
        <f t="shared" si="27"/>
        <v>28025.37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Valores!$C$97</f>
        <v>82485.58</v>
      </c>
      <c r="AA179" s="125">
        <f>Valores!$C$25</f>
        <v>1231.85</v>
      </c>
      <c r="AB179" s="214">
        <v>0</v>
      </c>
      <c r="AC179" s="125">
        <f t="shared" si="23"/>
        <v>0</v>
      </c>
      <c r="AD179" s="125">
        <f>Valores!$C$26</f>
        <v>1231.85</v>
      </c>
      <c r="AE179" s="192">
        <v>0</v>
      </c>
      <c r="AF179" s="125">
        <f>ROUND(AE179*Valores!$C$2,2)</f>
        <v>0</v>
      </c>
      <c r="AG179" s="125">
        <f>SUM(F179,H179,J179,L179,M179,N179,O179,P179,Q179,R179,T179,U179,V179,X179,Y179,Z179,AA179,AC179,AD179,AF179,AH179)*Valores!$C$69</f>
        <v>71082.69068999999</v>
      </c>
      <c r="AH179" s="125">
        <f>ROUND(IF($F$4="NO",Valores!$C$63,Valores!$C$63/2),2)</f>
        <v>14083.23</v>
      </c>
      <c r="AI179" s="125">
        <f t="shared" si="29"/>
        <v>622111.3006899998</v>
      </c>
      <c r="AJ179" s="125">
        <f>Valores!$C$31</f>
        <v>0</v>
      </c>
      <c r="AK179" s="125">
        <f>Valores!$C$90</f>
        <v>0</v>
      </c>
      <c r="AL179" s="125">
        <f>Valores!C$38*B179</f>
        <v>0</v>
      </c>
      <c r="AM179" s="125">
        <f>IF($F$3="NO",0,Valores!$C$55)</f>
        <v>0</v>
      </c>
      <c r="AN179" s="125">
        <f t="shared" si="24"/>
        <v>0</v>
      </c>
      <c r="AO179" s="125">
        <f>AI179*Valores!$C$71</f>
        <v>-68432.24307589998</v>
      </c>
      <c r="AP179" s="125">
        <f>AI179*Valores!$C$72</f>
        <v>-12442.226013799997</v>
      </c>
      <c r="AQ179" s="125">
        <f>AI179*-Valores!$C$73</f>
        <v>0</v>
      </c>
      <c r="AR179" s="125">
        <f>AI179*Valores!$C$74</f>
        <v>-34216.12153794999</v>
      </c>
      <c r="AS179" s="125">
        <f>Valores!$C$101</f>
        <v>-1270</v>
      </c>
      <c r="AT179" s="125">
        <f>IF($F$5=0,Valores!$C$102,(Valores!$C$102+$F$5*(Valores!$C$102)))</f>
        <v>-3700</v>
      </c>
      <c r="AU179" s="125">
        <f t="shared" si="26"/>
        <v>502050.71006234986</v>
      </c>
      <c r="AV179" s="125">
        <f t="shared" si="21"/>
        <v>-68432.24307589998</v>
      </c>
      <c r="AW179" s="125">
        <f t="shared" si="28"/>
        <v>-12442.226013799997</v>
      </c>
      <c r="AX179" s="125">
        <f>AI179*Valores!$C$75</f>
        <v>-16797.005118629997</v>
      </c>
      <c r="AY179" s="125">
        <f>AI179*Valores!$C$76</f>
        <v>-1866.3339020699996</v>
      </c>
      <c r="AZ179" s="125">
        <f t="shared" si="25"/>
        <v>522573.49257959984</v>
      </c>
      <c r="BA179" s="125">
        <f>AI179*Valores!$C$78</f>
        <v>99537.80811039997</v>
      </c>
      <c r="BB179" s="125">
        <f>AI179*Valores!$C$79</f>
        <v>43547.791048299994</v>
      </c>
      <c r="BC179" s="125">
        <f>AI179*Valores!$C$80</f>
        <v>6221.113006899998</v>
      </c>
      <c r="BD179" s="125">
        <f>AI179*Valores!$C$82</f>
        <v>21773.895524149997</v>
      </c>
      <c r="BE179" s="125">
        <f>AI179*Valores!$C$84</f>
        <v>33594.010237259994</v>
      </c>
      <c r="BF179" s="125">
        <f>AI179*Valores!$C$83</f>
        <v>3732.667804139999</v>
      </c>
      <c r="BG179" s="126"/>
      <c r="BH179" s="126">
        <v>45</v>
      </c>
      <c r="BI179" s="123" t="s">
        <v>4</v>
      </c>
    </row>
    <row r="180" spans="1:61" s="110" customFormat="1" ht="11.25" customHeight="1">
      <c r="A180" s="123" t="s">
        <v>447</v>
      </c>
      <c r="B180" s="123">
        <v>1</v>
      </c>
      <c r="C180" s="126">
        <v>173</v>
      </c>
      <c r="D180" s="124" t="s">
        <v>448</v>
      </c>
      <c r="E180" s="192">
        <v>185</v>
      </c>
      <c r="F180" s="125">
        <f>ROUND(E180*Valores!$C$2,2)</f>
        <v>10900.26</v>
      </c>
      <c r="G180" s="192">
        <f>1835</f>
        <v>1835</v>
      </c>
      <c r="H180" s="125">
        <f>ROUND(G180*Valores!$C$2,2)</f>
        <v>108118.75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76596.39</v>
      </c>
      <c r="M180" s="125">
        <f>ROUND(IF($H$2=0,IF(AND(A180&lt;&gt;"13-930",A180&lt;&gt;"13-940"),(SUM(F180,H180,J180,L180,X180,T180,R180)*Valores!$C$4),0),0),2)</f>
        <v>63781.59</v>
      </c>
      <c r="N180" s="125">
        <f t="shared" si="22"/>
        <v>0</v>
      </c>
      <c r="O180" s="125">
        <f>Valores!$C$9</f>
        <v>74035.73</v>
      </c>
      <c r="P180" s="125">
        <f>Valores!$D$5</f>
        <v>30120.06</v>
      </c>
      <c r="Q180" s="125">
        <f>Valores!$C$22</f>
        <v>26870.16</v>
      </c>
      <c r="R180" s="125">
        <f>IF($F$4="NO",Valores!$C$47,Valores!$C$47/2)</f>
        <v>31485.59</v>
      </c>
      <c r="S180" s="125">
        <f>Valores!$C$19</f>
        <v>28025.371999999996</v>
      </c>
      <c r="T180" s="125">
        <f t="shared" si="27"/>
        <v>28025.37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Valores!$C$97</f>
        <v>82485.58</v>
      </c>
      <c r="AA180" s="125">
        <f>Valores!$C$25</f>
        <v>1231.85</v>
      </c>
      <c r="AB180" s="214">
        <v>0</v>
      </c>
      <c r="AC180" s="125">
        <f t="shared" si="23"/>
        <v>0</v>
      </c>
      <c r="AD180" s="125">
        <f>Valores!$C$26</f>
        <v>1231.85</v>
      </c>
      <c r="AE180" s="192">
        <v>0</v>
      </c>
      <c r="AF180" s="125">
        <f>ROUND(AE180*Valores!$C$2,2)</f>
        <v>0</v>
      </c>
      <c r="AG180" s="125">
        <f>SUM(F180,H180,J180,L180,M180,N180,O180,P180,Q180,R180,T180,U180,V180,X180,Y180,Z180,AA180,AC180,AD180,AF180,AH180)*Valores!$C$69</f>
        <v>70816.66689</v>
      </c>
      <c r="AH180" s="125">
        <f>ROUND(IF($F$4="NO",Valores!$C$63,Valores!$C$63/2),2)</f>
        <v>14083.23</v>
      </c>
      <c r="AI180" s="125">
        <f t="shared" si="29"/>
        <v>619783.0768899999</v>
      </c>
      <c r="AJ180" s="125">
        <f>Valores!$C$31</f>
        <v>0</v>
      </c>
      <c r="AK180" s="125">
        <f>Valores!$C$90</f>
        <v>0</v>
      </c>
      <c r="AL180" s="125">
        <f>Valores!C$38*B180</f>
        <v>0</v>
      </c>
      <c r="AM180" s="125">
        <f>IF($F$3="NO",0,Valores!$C$55)</f>
        <v>0</v>
      </c>
      <c r="AN180" s="125">
        <f t="shared" si="24"/>
        <v>0</v>
      </c>
      <c r="AO180" s="125">
        <f>AI180*Valores!$C$71</f>
        <v>-68176.13845789999</v>
      </c>
      <c r="AP180" s="125">
        <f>AI180*Valores!$C$72</f>
        <v>-12395.661537799999</v>
      </c>
      <c r="AQ180" s="125">
        <f>AI180*-Valores!$C$73</f>
        <v>0</v>
      </c>
      <c r="AR180" s="125">
        <f>AI180*Valores!$C$74</f>
        <v>-34088.06922894999</v>
      </c>
      <c r="AS180" s="125">
        <f>Valores!$C$101</f>
        <v>-1270</v>
      </c>
      <c r="AT180" s="125">
        <f>IF($F$5=0,Valores!$C$102,(Valores!$C$102+$F$5*(Valores!$C$102)))</f>
        <v>-3700</v>
      </c>
      <c r="AU180" s="125">
        <f t="shared" si="26"/>
        <v>500153.20766534994</v>
      </c>
      <c r="AV180" s="125">
        <f t="shared" si="21"/>
        <v>-68176.13845789999</v>
      </c>
      <c r="AW180" s="125">
        <f t="shared" si="28"/>
        <v>-12395.661537799999</v>
      </c>
      <c r="AX180" s="125">
        <f>AI180*Valores!$C$75</f>
        <v>-16734.14307603</v>
      </c>
      <c r="AY180" s="125">
        <f>AI180*Valores!$C$76</f>
        <v>-1859.3492306699998</v>
      </c>
      <c r="AZ180" s="125">
        <f t="shared" si="25"/>
        <v>520617.7845875999</v>
      </c>
      <c r="BA180" s="125">
        <f>AI180*Valores!$C$78</f>
        <v>99165.29230239999</v>
      </c>
      <c r="BB180" s="125">
        <f>AI180*Valores!$C$79</f>
        <v>43384.815382299996</v>
      </c>
      <c r="BC180" s="125">
        <f>AI180*Valores!$C$80</f>
        <v>6197.830768899999</v>
      </c>
      <c r="BD180" s="125">
        <f>AI180*Valores!$C$82</f>
        <v>21692.407691149998</v>
      </c>
      <c r="BE180" s="125">
        <f>AI180*Valores!$C$84</f>
        <v>33468.28615206</v>
      </c>
      <c r="BF180" s="125">
        <f>AI180*Valores!$C$83</f>
        <v>3718.6984613399995</v>
      </c>
      <c r="BG180" s="126"/>
      <c r="BH180" s="126">
        <v>45</v>
      </c>
      <c r="BI180" s="123" t="s">
        <v>4</v>
      </c>
    </row>
    <row r="181" spans="1:61" s="110" customFormat="1" ht="11.25" customHeight="1">
      <c r="A181" s="123" t="s">
        <v>449</v>
      </c>
      <c r="B181" s="123">
        <v>1</v>
      </c>
      <c r="C181" s="126">
        <v>174</v>
      </c>
      <c r="D181" s="124" t="s">
        <v>450</v>
      </c>
      <c r="E181" s="192">
        <v>160</v>
      </c>
      <c r="F181" s="125">
        <f>ROUND(E181*Valores!$C$2,2)</f>
        <v>9427.25</v>
      </c>
      <c r="G181" s="192">
        <f>1484</f>
        <v>1484</v>
      </c>
      <c r="H181" s="125">
        <f>ROUND(G181*Valores!$C$2,2)</f>
        <v>87437.73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76596.39</v>
      </c>
      <c r="M181" s="125">
        <f>ROUND(IF($H$2=0,IF(AND(A181&lt;&gt;"13-930",A181&lt;&gt;"13-940"),(SUM(F181,H181,J181,L181,X181,T181,R181)*Valores!$C$4),0),0),2)</f>
        <v>58243.08</v>
      </c>
      <c r="N181" s="125">
        <f t="shared" si="22"/>
        <v>0</v>
      </c>
      <c r="O181" s="125">
        <f>Valores!$C$9</f>
        <v>74035.73</v>
      </c>
      <c r="P181" s="125">
        <f>Valores!$D$5</f>
        <v>30120.06</v>
      </c>
      <c r="Q181" s="125">
        <f>Valores!$C$22</f>
        <v>26870.16</v>
      </c>
      <c r="R181" s="125">
        <f>IF($F$4="NO",Valores!$C$47,Valores!$C$47/2)</f>
        <v>31485.59</v>
      </c>
      <c r="S181" s="125">
        <f>Valores!$C$19</f>
        <v>28025.371999999996</v>
      </c>
      <c r="T181" s="125">
        <f t="shared" si="27"/>
        <v>28025.37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Valores!$C$97</f>
        <v>82485.58</v>
      </c>
      <c r="AA181" s="125">
        <f>Valores!$C$25</f>
        <v>1231.85</v>
      </c>
      <c r="AB181" s="214">
        <v>0</v>
      </c>
      <c r="AC181" s="125">
        <f t="shared" si="23"/>
        <v>0</v>
      </c>
      <c r="AD181" s="125">
        <f>Valores!$C$26</f>
        <v>1231.85</v>
      </c>
      <c r="AE181" s="192">
        <v>0</v>
      </c>
      <c r="AF181" s="125">
        <f>ROUND(AE181*Valores!$C$2,2)</f>
        <v>0</v>
      </c>
      <c r="AG181" s="125">
        <f>SUM(F181,H181,J181,L181,M181,N181,O181,P181,Q181,R181,T181,U181,V181,X181,Y181,Z181,AA181,AC181,AD181,AF181,AH181)*Valores!$C$69</f>
        <v>67244.32922999999</v>
      </c>
      <c r="AH181" s="125">
        <f>ROUND(IF($F$4="NO",Valores!$C$63,Valores!$C$63/2),2)</f>
        <v>14083.23</v>
      </c>
      <c r="AI181" s="125">
        <f t="shared" si="29"/>
        <v>588518.1992299999</v>
      </c>
      <c r="AJ181" s="125">
        <f>Valores!$C$31</f>
        <v>0</v>
      </c>
      <c r="AK181" s="125">
        <f>Valores!$C$90</f>
        <v>0</v>
      </c>
      <c r="AL181" s="125">
        <f>Valores!C$38*B181</f>
        <v>0</v>
      </c>
      <c r="AM181" s="125">
        <f>IF($F$3="NO",0,Valores!$C$55)</f>
        <v>0</v>
      </c>
      <c r="AN181" s="125">
        <f t="shared" si="24"/>
        <v>0</v>
      </c>
      <c r="AO181" s="125">
        <f>AI181*Valores!$C$71</f>
        <v>-64737.00191529999</v>
      </c>
      <c r="AP181" s="125">
        <f>AI181*Valores!$C$72</f>
        <v>-11770.363984599999</v>
      </c>
      <c r="AQ181" s="125">
        <f>AI181*-Valores!$C$73</f>
        <v>0</v>
      </c>
      <c r="AR181" s="125">
        <f>AI181*Valores!$C$74</f>
        <v>-32368.500957649994</v>
      </c>
      <c r="AS181" s="125">
        <f>Valores!$C$101</f>
        <v>-1270</v>
      </c>
      <c r="AT181" s="125">
        <f>IF($F$5=0,Valores!$C$102,(Valores!$C$102+$F$5*(Valores!$C$102)))</f>
        <v>-3700</v>
      </c>
      <c r="AU181" s="125">
        <f t="shared" si="26"/>
        <v>474672.3323724499</v>
      </c>
      <c r="AV181" s="125">
        <f t="shared" si="21"/>
        <v>-64737.00191529999</v>
      </c>
      <c r="AW181" s="125">
        <f t="shared" si="28"/>
        <v>-11770.363984599999</v>
      </c>
      <c r="AX181" s="125">
        <f>AI181*Valores!$C$75</f>
        <v>-15889.991379209998</v>
      </c>
      <c r="AY181" s="125">
        <f>AI181*Valores!$C$76</f>
        <v>-1765.5545976899998</v>
      </c>
      <c r="AZ181" s="125">
        <f t="shared" si="25"/>
        <v>494355.2873531999</v>
      </c>
      <c r="BA181" s="125">
        <f>AI181*Valores!$C$78</f>
        <v>94162.91187679999</v>
      </c>
      <c r="BB181" s="125">
        <f>AI181*Valores!$C$79</f>
        <v>41196.273946099995</v>
      </c>
      <c r="BC181" s="125">
        <f>AI181*Valores!$C$80</f>
        <v>5885.181992299999</v>
      </c>
      <c r="BD181" s="125">
        <f>AI181*Valores!$C$82</f>
        <v>20598.136973049997</v>
      </c>
      <c r="BE181" s="125">
        <f>AI181*Valores!$C$84</f>
        <v>31779.982758419996</v>
      </c>
      <c r="BF181" s="125">
        <f>AI181*Valores!$C$83</f>
        <v>3531.1091953799996</v>
      </c>
      <c r="BG181" s="126"/>
      <c r="BH181" s="126">
        <v>45</v>
      </c>
      <c r="BI181" s="123" t="s">
        <v>4</v>
      </c>
    </row>
    <row r="182" spans="1:61" s="110" customFormat="1" ht="11.25" customHeight="1">
      <c r="A182" s="123" t="s">
        <v>451</v>
      </c>
      <c r="B182" s="123">
        <v>1</v>
      </c>
      <c r="C182" s="126">
        <v>175</v>
      </c>
      <c r="D182" s="124" t="s">
        <v>452</v>
      </c>
      <c r="E182" s="192">
        <v>1278</v>
      </c>
      <c r="F182" s="125">
        <f>ROUND(E182*Valores!$C$2,2)</f>
        <v>75300.14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70704.36</v>
      </c>
      <c r="M182" s="125">
        <f>ROUND(IF($H$2=0,IF(AND(A182&lt;&gt;"13-930",A182&lt;&gt;"13-940"),(SUM(F182,H182,J182,L182,X182,T182,R182)*Valores!$C$4),0),0),2)</f>
        <v>51378.87</v>
      </c>
      <c r="N182" s="125">
        <f t="shared" si="22"/>
        <v>0</v>
      </c>
      <c r="O182" s="125">
        <f>Valores!$C$16</f>
        <v>50911.51</v>
      </c>
      <c r="P182" s="125">
        <f>Valores!$D$5</f>
        <v>30120.06</v>
      </c>
      <c r="Q182" s="125">
        <f>Valores!$C$22</f>
        <v>26870.16</v>
      </c>
      <c r="R182" s="125">
        <f>IF($F$4="NO",Valores!$C$47,Valores!$C$47/2)</f>
        <v>31485.59</v>
      </c>
      <c r="S182" s="125">
        <f>Valores!$C$19</f>
        <v>28025.371999999996</v>
      </c>
      <c r="T182" s="125">
        <f t="shared" si="27"/>
        <v>28025.37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Valores!$C$97</f>
        <v>82485.58</v>
      </c>
      <c r="AA182" s="125">
        <f>Valores!$C$25</f>
        <v>1231.85</v>
      </c>
      <c r="AB182" s="214">
        <v>0</v>
      </c>
      <c r="AC182" s="125">
        <f t="shared" si="23"/>
        <v>0</v>
      </c>
      <c r="AD182" s="125">
        <f>Valores!$C$26</f>
        <v>1231.85</v>
      </c>
      <c r="AE182" s="192">
        <v>0</v>
      </c>
      <c r="AF182" s="125">
        <f>ROUND(AE182*Valores!$C$2,2)</f>
        <v>0</v>
      </c>
      <c r="AG182" s="125">
        <f>SUM(F182,H182,J182,L182,M182,N182,O182,P182,Q182,R182,T182,U182,V182,X182,Y182,Z182,AA182,AC182,AD182,AF182,AH182)*Valores!$C$69</f>
        <v>59833.88552999999</v>
      </c>
      <c r="AH182" s="125">
        <f>ROUND(IF($F$4="NO",Valores!$C$63,Valores!$C$63/2),2)</f>
        <v>14083.23</v>
      </c>
      <c r="AI182" s="125">
        <f t="shared" si="29"/>
        <v>523662.4555299999</v>
      </c>
      <c r="AJ182" s="125">
        <f>Valores!$C$31</f>
        <v>0</v>
      </c>
      <c r="AK182" s="125">
        <f>Valores!$C$90</f>
        <v>0</v>
      </c>
      <c r="AL182" s="125">
        <f>Valores!C$38*B182</f>
        <v>0</v>
      </c>
      <c r="AM182" s="125">
        <f>IF($F$3="NO",0,Valores!$C$55)</f>
        <v>0</v>
      </c>
      <c r="AN182" s="125">
        <f t="shared" si="24"/>
        <v>0</v>
      </c>
      <c r="AO182" s="125">
        <f>AI182*Valores!$C$71</f>
        <v>-57602.87010829999</v>
      </c>
      <c r="AP182" s="125">
        <f>AI182*Valores!$C$72</f>
        <v>-10473.249110599998</v>
      </c>
      <c r="AQ182" s="125">
        <f>AI182*-Valores!$C$73</f>
        <v>0</v>
      </c>
      <c r="AR182" s="125">
        <f>AI182*Valores!$C$74</f>
        <v>-28801.435054149995</v>
      </c>
      <c r="AS182" s="125">
        <f>Valores!$C$101</f>
        <v>-1270</v>
      </c>
      <c r="AT182" s="125">
        <f>IF($F$5=0,Valores!$C$102,(Valores!$C$102+$F$5*(Valores!$C$102)))</f>
        <v>-3700</v>
      </c>
      <c r="AU182" s="125">
        <f t="shared" si="26"/>
        <v>421814.90125694993</v>
      </c>
      <c r="AV182" s="125">
        <f t="shared" si="21"/>
        <v>-57602.87010829999</v>
      </c>
      <c r="AW182" s="125">
        <f t="shared" si="28"/>
        <v>-10473.249110599998</v>
      </c>
      <c r="AX182" s="125">
        <f>AI182*Valores!$C$75</f>
        <v>-14138.886299309997</v>
      </c>
      <c r="AY182" s="125">
        <f>AI182*Valores!$C$76</f>
        <v>-1570.9873665899997</v>
      </c>
      <c r="AZ182" s="125">
        <f t="shared" si="25"/>
        <v>439876.46264519996</v>
      </c>
      <c r="BA182" s="125">
        <f>AI182*Valores!$C$78</f>
        <v>83785.99288479998</v>
      </c>
      <c r="BB182" s="125">
        <f>AI182*Valores!$C$79</f>
        <v>36656.371887099995</v>
      </c>
      <c r="BC182" s="125">
        <f>AI182*Valores!$C$80</f>
        <v>5236.624555299999</v>
      </c>
      <c r="BD182" s="125">
        <f>AI182*Valores!$C$82</f>
        <v>18328.185943549997</v>
      </c>
      <c r="BE182" s="125">
        <f>AI182*Valores!$C$84</f>
        <v>28277.772598619995</v>
      </c>
      <c r="BF182" s="125">
        <f>AI182*Valores!$C$83</f>
        <v>3141.9747331799995</v>
      </c>
      <c r="BG182" s="126"/>
      <c r="BH182" s="126"/>
      <c r="BI182" s="123" t="s">
        <v>4</v>
      </c>
    </row>
    <row r="183" spans="1:61" s="110" customFormat="1" ht="11.25" customHeight="1">
      <c r="A183" s="123" t="s">
        <v>453</v>
      </c>
      <c r="B183" s="123">
        <v>1</v>
      </c>
      <c r="C183" s="126">
        <v>176</v>
      </c>
      <c r="D183" s="124" t="s">
        <v>454</v>
      </c>
      <c r="E183" s="192">
        <v>971</v>
      </c>
      <c r="F183" s="125">
        <f>ROUND(E183*Valores!$C$2,2)</f>
        <v>57211.61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38887.4</v>
      </c>
      <c r="M183" s="125">
        <f>ROUND(IF($H$2=0,IF(AND(A183&lt;&gt;"13-930",A183&lt;&gt;"13-940"),(SUM(F183,H183,J183,L183,X183,T183,R183)*Valores!$C$4),0),0),2)</f>
        <v>38902.49</v>
      </c>
      <c r="N183" s="125">
        <f t="shared" si="22"/>
        <v>0</v>
      </c>
      <c r="O183" s="125">
        <f>Valores!$C$16</f>
        <v>50911.51</v>
      </c>
      <c r="P183" s="125">
        <f>Valores!$D$5</f>
        <v>30120.06</v>
      </c>
      <c r="Q183" s="125">
        <f>Valores!$C$23</f>
        <v>25008.96</v>
      </c>
      <c r="R183" s="125">
        <f>IF($F$4="NO",Valores!$C$47,Valores!$C$47/2)</f>
        <v>31485.59</v>
      </c>
      <c r="S183" s="125">
        <f>Valores!$C$19</f>
        <v>28025.371999999996</v>
      </c>
      <c r="T183" s="125">
        <f t="shared" si="27"/>
        <v>28025.37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Valores!$C$97</f>
        <v>82485.58</v>
      </c>
      <c r="AA183" s="125">
        <f>Valores!$C$25</f>
        <v>1231.85</v>
      </c>
      <c r="AB183" s="214">
        <v>0</v>
      </c>
      <c r="AC183" s="125">
        <f t="shared" si="23"/>
        <v>0</v>
      </c>
      <c r="AD183" s="125">
        <f>Valores!$C$26</f>
        <v>1231.85</v>
      </c>
      <c r="AE183" s="192">
        <v>0</v>
      </c>
      <c r="AF183" s="125">
        <f>ROUND(AE183*Valores!$C$2,2)</f>
        <v>0</v>
      </c>
      <c r="AG183" s="125">
        <f>SUM(F183,H183,J183,L183,M183,N183,O183,P183,Q183,R183,T183,U183,V183,X183,Y183,Z183,AA183,AC183,AD183,AF183,AH183)*Valores!$C$69</f>
        <v>51546.5295</v>
      </c>
      <c r="AH183" s="125">
        <f>ROUND(IF($F$4="NO",Valores!$C$63,Valores!$C$63/2),2)</f>
        <v>14083.23</v>
      </c>
      <c r="AI183" s="125">
        <f t="shared" si="29"/>
        <v>451132.02949999995</v>
      </c>
      <c r="AJ183" s="125">
        <f>Valores!$C$31</f>
        <v>0</v>
      </c>
      <c r="AK183" s="125">
        <f>Valores!$C$90</f>
        <v>0</v>
      </c>
      <c r="AL183" s="125">
        <f>Valores!C$38*B183</f>
        <v>0</v>
      </c>
      <c r="AM183" s="125">
        <f>IF($F$3="NO",0,Valores!$C$55)</f>
        <v>0</v>
      </c>
      <c r="AN183" s="125">
        <f t="shared" si="24"/>
        <v>0</v>
      </c>
      <c r="AO183" s="125">
        <f>AI183*Valores!$C$71</f>
        <v>-49624.523245</v>
      </c>
      <c r="AP183" s="125">
        <f>AI183*Valores!$C$72</f>
        <v>-9022.640589999999</v>
      </c>
      <c r="AQ183" s="125">
        <f>AI183*-Valores!$C$73</f>
        <v>0</v>
      </c>
      <c r="AR183" s="125">
        <f>AI183*Valores!$C$74</f>
        <v>-24812.2616225</v>
      </c>
      <c r="AS183" s="125">
        <f>Valores!$C$101</f>
        <v>-1270</v>
      </c>
      <c r="AT183" s="125">
        <f>IF($F$5=0,Valores!$C$102,(Valores!$C$102+$F$5*(Valores!$C$102)))</f>
        <v>-3700</v>
      </c>
      <c r="AU183" s="125">
        <f t="shared" si="26"/>
        <v>362702.60404249997</v>
      </c>
      <c r="AV183" s="125">
        <f t="shared" si="21"/>
        <v>-49624.523245</v>
      </c>
      <c r="AW183" s="125">
        <f t="shared" si="28"/>
        <v>-9022.640589999999</v>
      </c>
      <c r="AX183" s="125">
        <f>AI183*Valores!$C$75</f>
        <v>-12180.564796499999</v>
      </c>
      <c r="AY183" s="125">
        <f>AI183*Valores!$C$76</f>
        <v>-1353.3960885</v>
      </c>
      <c r="AZ183" s="125">
        <f t="shared" si="25"/>
        <v>378950.90478</v>
      </c>
      <c r="BA183" s="125">
        <f>AI183*Valores!$C$78</f>
        <v>72181.12471999999</v>
      </c>
      <c r="BB183" s="125">
        <f>AI183*Valores!$C$79</f>
        <v>31579.242065</v>
      </c>
      <c r="BC183" s="125">
        <f>AI183*Valores!$C$80</f>
        <v>4511.3202949999995</v>
      </c>
      <c r="BD183" s="125">
        <f>AI183*Valores!$C$82</f>
        <v>15789.6210325</v>
      </c>
      <c r="BE183" s="125">
        <f>AI183*Valores!$C$84</f>
        <v>24361.129592999998</v>
      </c>
      <c r="BF183" s="125">
        <f>AI183*Valores!$C$83</f>
        <v>2706.792177</v>
      </c>
      <c r="BG183" s="126"/>
      <c r="BH183" s="126">
        <v>18</v>
      </c>
      <c r="BI183" s="123" t="s">
        <v>4</v>
      </c>
    </row>
    <row r="184" spans="1:61" s="110" customFormat="1" ht="11.25" customHeight="1">
      <c r="A184" s="123" t="s">
        <v>455</v>
      </c>
      <c r="B184" s="123">
        <v>1</v>
      </c>
      <c r="C184" s="126">
        <v>177</v>
      </c>
      <c r="D184" s="124" t="s">
        <v>456</v>
      </c>
      <c r="E184" s="192">
        <v>179</v>
      </c>
      <c r="F184" s="125">
        <f>ROUND(E184*Valores!$C$2,2)</f>
        <v>10546.73</v>
      </c>
      <c r="G184" s="192">
        <f>1323</f>
        <v>1323</v>
      </c>
      <c r="H184" s="125">
        <f>ROUND(G184*Valores!$C$2,2)</f>
        <v>77951.56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76596.39</v>
      </c>
      <c r="M184" s="125">
        <f>ROUND(IF($H$2=0,IF(AND(A184&lt;&gt;"13-930",A184&lt;&gt;"13-940"),(SUM(F184,H184,J184,L184,X184,T184,R184)*Valores!$C$4),0),0),2)</f>
        <v>56151.41</v>
      </c>
      <c r="N184" s="125">
        <f t="shared" si="22"/>
        <v>0</v>
      </c>
      <c r="O184" s="125">
        <f>Valores!$C$9</f>
        <v>74035.73</v>
      </c>
      <c r="P184" s="125">
        <f>Valores!$D$5</f>
        <v>30120.06</v>
      </c>
      <c r="Q184" s="125">
        <f>Valores!$C$22</f>
        <v>26870.16</v>
      </c>
      <c r="R184" s="125">
        <f>IF($F$4="NO",Valores!$C$47,Valores!$C$47/2)</f>
        <v>31485.59</v>
      </c>
      <c r="S184" s="125">
        <f>Valores!$C$19</f>
        <v>28025.371999999996</v>
      </c>
      <c r="T184" s="125">
        <f t="shared" si="27"/>
        <v>28025.37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Valores!$C$97</f>
        <v>82485.58</v>
      </c>
      <c r="AA184" s="125">
        <f>Valores!$C$25</f>
        <v>1231.85</v>
      </c>
      <c r="AB184" s="214">
        <v>0</v>
      </c>
      <c r="AC184" s="125">
        <f t="shared" si="23"/>
        <v>0</v>
      </c>
      <c r="AD184" s="125">
        <f>Valores!$C$26</f>
        <v>1231.85</v>
      </c>
      <c r="AE184" s="192">
        <v>0</v>
      </c>
      <c r="AF184" s="125">
        <f>ROUND(AE184*Valores!$C$2,2)</f>
        <v>0</v>
      </c>
      <c r="AG184" s="125">
        <f>SUM(F184,H184,J184,L184,M184,N184,O184,P184,Q184,R184,T184,U184,V184,X184,Y184,Z184,AA184,AC184,AD184,AF184,AH184)*Valores!$C$69</f>
        <v>65895.20079</v>
      </c>
      <c r="AH184" s="125">
        <f>ROUND(IF($F$4="NO",Valores!$C$63,Valores!$C$63/2),2)</f>
        <v>14083.23</v>
      </c>
      <c r="AI184" s="125">
        <f t="shared" si="29"/>
        <v>576710.7107899999</v>
      </c>
      <c r="AJ184" s="125">
        <f>Valores!$C$31</f>
        <v>0</v>
      </c>
      <c r="AK184" s="125">
        <f>Valores!$C$90</f>
        <v>0</v>
      </c>
      <c r="AL184" s="125">
        <f>Valores!C$38*B184</f>
        <v>0</v>
      </c>
      <c r="AM184" s="125">
        <v>0</v>
      </c>
      <c r="AN184" s="125">
        <f t="shared" si="24"/>
        <v>0</v>
      </c>
      <c r="AO184" s="125">
        <f>AI184*Valores!$C$71</f>
        <v>-63438.17818689999</v>
      </c>
      <c r="AP184" s="125">
        <f>AI184*Valores!$C$72</f>
        <v>-11534.214215799999</v>
      </c>
      <c r="AQ184" s="125">
        <f>AI184*-Valores!$C$73</f>
        <v>0</v>
      </c>
      <c r="AR184" s="125">
        <f>AI184*Valores!$C$74</f>
        <v>-31719.089093449995</v>
      </c>
      <c r="AS184" s="125">
        <f>Valores!$C$101</f>
        <v>-1270</v>
      </c>
      <c r="AT184" s="125">
        <f>IF($F$5=0,Valores!$C$102,(Valores!$C$102+$F$5*(Valores!$C$102)))</f>
        <v>-3700</v>
      </c>
      <c r="AU184" s="125">
        <f t="shared" si="26"/>
        <v>465049.22929384996</v>
      </c>
      <c r="AV184" s="125">
        <f t="shared" si="21"/>
        <v>-63438.17818689999</v>
      </c>
      <c r="AW184" s="125">
        <f t="shared" si="28"/>
        <v>-11534.214215799999</v>
      </c>
      <c r="AX184" s="125">
        <f>AI184*Valores!$C$75</f>
        <v>-15571.189191329997</v>
      </c>
      <c r="AY184" s="125">
        <f>AI184*Valores!$C$76</f>
        <v>-1730.13213237</v>
      </c>
      <c r="AZ184" s="125">
        <f t="shared" si="25"/>
        <v>484436.99706359993</v>
      </c>
      <c r="BA184" s="125">
        <f>AI184*Valores!$C$78</f>
        <v>92273.71372639999</v>
      </c>
      <c r="BB184" s="125">
        <f>AI184*Valores!$C$79</f>
        <v>40369.7497553</v>
      </c>
      <c r="BC184" s="125">
        <f>AI184*Valores!$C$80</f>
        <v>5767.107107899999</v>
      </c>
      <c r="BD184" s="125">
        <f>AI184*Valores!$C$82</f>
        <v>20184.87487765</v>
      </c>
      <c r="BE184" s="125">
        <f>AI184*Valores!$C$84</f>
        <v>31142.378382659994</v>
      </c>
      <c r="BF184" s="125">
        <f>AI184*Valores!$C$83</f>
        <v>3460.26426474</v>
      </c>
      <c r="BG184" s="126"/>
      <c r="BH184" s="126">
        <v>45</v>
      </c>
      <c r="BI184" s="123" t="s">
        <v>4</v>
      </c>
    </row>
    <row r="185" spans="1:61" s="110" customFormat="1" ht="11.25" customHeight="1">
      <c r="A185" s="123" t="s">
        <v>457</v>
      </c>
      <c r="B185" s="123">
        <v>1</v>
      </c>
      <c r="C185" s="126">
        <v>178</v>
      </c>
      <c r="D185" s="124" t="s">
        <v>458</v>
      </c>
      <c r="E185" s="192">
        <v>64</v>
      </c>
      <c r="F185" s="125">
        <f>ROUND(E185*Valores!$C$2,2)</f>
        <v>3770.9</v>
      </c>
      <c r="G185" s="192">
        <v>1354</v>
      </c>
      <c r="H185" s="125">
        <f>ROUND(G185*Valores!$C$2,2)</f>
        <v>79778.09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70704.36</v>
      </c>
      <c r="M185" s="125">
        <f>ROUND(IF($H$2=0,IF(AND(A185&lt;&gt;"13-930",A185&lt;&gt;"13-940"),(SUM(F185,H185,J185,L185,X185,T185,R185)*Valores!$C$4),0),0),2)</f>
        <v>53369.45</v>
      </c>
      <c r="N185" s="125">
        <f t="shared" si="22"/>
        <v>0</v>
      </c>
      <c r="O185" s="125">
        <f>Valores!$C$14</f>
        <v>58668.94</v>
      </c>
      <c r="P185" s="125">
        <f>Valores!$D$5</f>
        <v>30120.06</v>
      </c>
      <c r="Q185" s="125">
        <v>0</v>
      </c>
      <c r="R185" s="125">
        <f>IF($F$4="NO",Valores!$C$47,Valores!$C$47/2)</f>
        <v>31485.59</v>
      </c>
      <c r="S185" s="125">
        <f>Valores!$C$20</f>
        <v>27738.840000000004</v>
      </c>
      <c r="T185" s="125">
        <f t="shared" si="27"/>
        <v>27738.84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Valores!$C$97</f>
        <v>82485.58</v>
      </c>
      <c r="AA185" s="125">
        <f>Valores!$C$25</f>
        <v>1231.85</v>
      </c>
      <c r="AB185" s="214">
        <v>0</v>
      </c>
      <c r="AC185" s="125">
        <f t="shared" si="23"/>
        <v>0</v>
      </c>
      <c r="AD185" s="125">
        <f>Valores!$C$26</f>
        <v>1231.85</v>
      </c>
      <c r="AE185" s="192">
        <v>0</v>
      </c>
      <c r="AF185" s="125">
        <f>ROUND(AE185*Valores!$C$2,2)</f>
        <v>0</v>
      </c>
      <c r="AG185" s="125">
        <f>SUM(F185,H185,J185,L185,M185,N185,O185,P185,Q185,R185,T185,U185,V185,X185,Y185,Z185,AA185,AC185,AD185,AF185,AH185)*Valores!$C$69</f>
        <v>58652.26746</v>
      </c>
      <c r="AH185" s="125">
        <f>ROUND(IF($F$4="NO",Valores!$C$63,Valores!$C$63/2),2)</f>
        <v>14083.23</v>
      </c>
      <c r="AI185" s="125">
        <f t="shared" si="29"/>
        <v>513321.00746</v>
      </c>
      <c r="AJ185" s="125">
        <f>Valores!$C$31</f>
        <v>0</v>
      </c>
      <c r="AK185" s="125">
        <f>Valores!$C$90</f>
        <v>0</v>
      </c>
      <c r="AL185" s="125">
        <f>Valores!C$38*B185</f>
        <v>0</v>
      </c>
      <c r="AM185" s="125">
        <v>0</v>
      </c>
      <c r="AN185" s="125">
        <f t="shared" si="24"/>
        <v>0</v>
      </c>
      <c r="AO185" s="125">
        <f>AI185*Valores!$C$71</f>
        <v>-56465.310820599996</v>
      </c>
      <c r="AP185" s="125">
        <f>AI185*Valores!$C$72</f>
        <v>-10266.4201492</v>
      </c>
      <c r="AQ185" s="125">
        <f>AI185*-Valores!$C$73</f>
        <v>0</v>
      </c>
      <c r="AR185" s="125">
        <f>AI185*Valores!$C$74</f>
        <v>-28232.655410299998</v>
      </c>
      <c r="AS185" s="125">
        <f>Valores!$C$101</f>
        <v>-1270</v>
      </c>
      <c r="AT185" s="125">
        <f>IF($F$5=0,Valores!$C$102,(Valores!$C$102+$F$5*(Valores!$C$102)))</f>
        <v>-3700</v>
      </c>
      <c r="AU185" s="125">
        <f t="shared" si="26"/>
        <v>413386.6210799</v>
      </c>
      <c r="AV185" s="125">
        <f t="shared" si="21"/>
        <v>-56465.310820599996</v>
      </c>
      <c r="AW185" s="125">
        <f t="shared" si="28"/>
        <v>-10266.4201492</v>
      </c>
      <c r="AX185" s="125">
        <f>AI185*Valores!$C$75</f>
        <v>-13859.66720142</v>
      </c>
      <c r="AY185" s="125">
        <f>AI185*Valores!$C$76</f>
        <v>-1539.96302238</v>
      </c>
      <c r="AZ185" s="125">
        <f t="shared" si="25"/>
        <v>431189.6462664</v>
      </c>
      <c r="BA185" s="125">
        <f>AI185*Valores!$C$78</f>
        <v>82131.3611936</v>
      </c>
      <c r="BB185" s="125">
        <f>AI185*Valores!$C$79</f>
        <v>35932.470522200005</v>
      </c>
      <c r="BC185" s="125">
        <f>AI185*Valores!$C$80</f>
        <v>5133.2100746</v>
      </c>
      <c r="BD185" s="125">
        <f>AI185*Valores!$C$82</f>
        <v>17966.235261100002</v>
      </c>
      <c r="BE185" s="125">
        <f>AI185*Valores!$C$84</f>
        <v>27719.33440284</v>
      </c>
      <c r="BF185" s="125">
        <f>AI185*Valores!$C$83</f>
        <v>3079.92604476</v>
      </c>
      <c r="BG185" s="126"/>
      <c r="BH185" s="126">
        <v>30</v>
      </c>
      <c r="BI185" s="123" t="s">
        <v>8</v>
      </c>
    </row>
    <row r="186" spans="1:61" s="110" customFormat="1" ht="11.25" customHeight="1">
      <c r="A186" s="123" t="s">
        <v>459</v>
      </c>
      <c r="B186" s="123">
        <v>1</v>
      </c>
      <c r="C186" s="126">
        <v>179</v>
      </c>
      <c r="D186" s="124" t="s">
        <v>460</v>
      </c>
      <c r="E186" s="192">
        <v>55</v>
      </c>
      <c r="F186" s="125">
        <f>ROUND(E186*Valores!$C$2,2)</f>
        <v>3240.62</v>
      </c>
      <c r="G186" s="192">
        <v>1279</v>
      </c>
      <c r="H186" s="125">
        <f>ROUND(G186*Valores!$C$2,2)</f>
        <v>75359.06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70704.36</v>
      </c>
      <c r="M186" s="125">
        <f>ROUND(IF($H$2=0,IF(AND(A186&lt;&gt;"13-930",A186&lt;&gt;"13-940"),(SUM(F186,H186,J186,L186,X186,T186,R186)*Valores!$C$4),0),0),2)</f>
        <v>52203.75</v>
      </c>
      <c r="N186" s="125">
        <f t="shared" si="22"/>
        <v>0</v>
      </c>
      <c r="O186" s="125">
        <f>Valores!$C$16</f>
        <v>50911.51</v>
      </c>
      <c r="P186" s="125">
        <f>Valores!$D$5</f>
        <v>30120.06</v>
      </c>
      <c r="Q186" s="125">
        <v>0</v>
      </c>
      <c r="R186" s="125">
        <f>IF($F$4="NO",Valores!$C$47,Valores!$C$47/2)</f>
        <v>31485.59</v>
      </c>
      <c r="S186" s="125">
        <f>Valores!$C$19</f>
        <v>28025.371999999996</v>
      </c>
      <c r="T186" s="125">
        <f t="shared" si="27"/>
        <v>28025.37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Valores!$C$97</f>
        <v>82485.58</v>
      </c>
      <c r="AA186" s="125">
        <f>Valores!$C$25</f>
        <v>1231.85</v>
      </c>
      <c r="AB186" s="214">
        <v>0</v>
      </c>
      <c r="AC186" s="125">
        <f t="shared" si="23"/>
        <v>0</v>
      </c>
      <c r="AD186" s="125">
        <f>Valores!$C$26</f>
        <v>1231.85</v>
      </c>
      <c r="AE186" s="192">
        <v>0</v>
      </c>
      <c r="AF186" s="125">
        <f>ROUND(AE186*Valores!$C$2,2)</f>
        <v>0</v>
      </c>
      <c r="AG186" s="125">
        <f>SUM(F186,H186,J186,L186,M186,N186,O186,P186,Q186,R186,T186,U186,V186,X186,Y186,Z186,AA186,AC186,AD186,AF186,AH186)*Valores!$C$69</f>
        <v>56899.68507</v>
      </c>
      <c r="AH186" s="125">
        <f>ROUND(IF($F$4="NO",Valores!$C$63,Valores!$C$63/2),2)</f>
        <v>14083.23</v>
      </c>
      <c r="AI186" s="125">
        <f t="shared" si="29"/>
        <v>497982.51506999996</v>
      </c>
      <c r="AJ186" s="125">
        <f>Valores!$C$31</f>
        <v>0</v>
      </c>
      <c r="AK186" s="125">
        <f>Valores!$C$90</f>
        <v>0</v>
      </c>
      <c r="AL186" s="125">
        <f>Valores!C$38*B186</f>
        <v>0</v>
      </c>
      <c r="AM186" s="125">
        <v>0</v>
      </c>
      <c r="AN186" s="125">
        <f t="shared" si="24"/>
        <v>0</v>
      </c>
      <c r="AO186" s="125">
        <f>AI186*Valores!$C$71</f>
        <v>-54778.076657699996</v>
      </c>
      <c r="AP186" s="125">
        <f>AI186*Valores!$C$72</f>
        <v>-9959.650301399999</v>
      </c>
      <c r="AQ186" s="125">
        <f>AI186*-Valores!$C$73</f>
        <v>0</v>
      </c>
      <c r="AR186" s="125">
        <f>AI186*Valores!$C$74</f>
        <v>-27389.038328849998</v>
      </c>
      <c r="AS186" s="125">
        <f>Valores!$C$101</f>
        <v>-1270</v>
      </c>
      <c r="AT186" s="125">
        <f>IF($F$5=0,Valores!$C$102,(Valores!$C$102+$F$5*(Valores!$C$102)))</f>
        <v>-3700</v>
      </c>
      <c r="AU186" s="125">
        <f t="shared" si="26"/>
        <v>400885.74978204997</v>
      </c>
      <c r="AV186" s="125">
        <f t="shared" si="21"/>
        <v>-54778.076657699996</v>
      </c>
      <c r="AW186" s="125">
        <f t="shared" si="28"/>
        <v>-9959.650301399999</v>
      </c>
      <c r="AX186" s="125">
        <f>AI186*Valores!$C$75</f>
        <v>-13445.527906889998</v>
      </c>
      <c r="AY186" s="125">
        <f>AI186*Valores!$C$76</f>
        <v>-1493.9475452099998</v>
      </c>
      <c r="AZ186" s="125">
        <f t="shared" si="25"/>
        <v>418305.3126588</v>
      </c>
      <c r="BA186" s="125">
        <f>AI186*Valores!$C$78</f>
        <v>79677.20241119999</v>
      </c>
      <c r="BB186" s="125">
        <f>AI186*Valores!$C$79</f>
        <v>34858.7760549</v>
      </c>
      <c r="BC186" s="125">
        <f>AI186*Valores!$C$80</f>
        <v>4979.8251506999995</v>
      </c>
      <c r="BD186" s="125">
        <f>AI186*Valores!$C$82</f>
        <v>17429.38802745</v>
      </c>
      <c r="BE186" s="125">
        <f>AI186*Valores!$C$84</f>
        <v>26891.055813779996</v>
      </c>
      <c r="BF186" s="125">
        <f>AI186*Valores!$C$83</f>
        <v>2987.8950904199996</v>
      </c>
      <c r="BG186" s="126"/>
      <c r="BH186" s="126">
        <v>30</v>
      </c>
      <c r="BI186" s="123" t="s">
        <v>8</v>
      </c>
    </row>
    <row r="187" spans="1:61" s="110" customFormat="1" ht="11.25" customHeight="1">
      <c r="A187" s="123" t="s">
        <v>461</v>
      </c>
      <c r="B187" s="123">
        <v>1</v>
      </c>
      <c r="C187" s="126">
        <v>180</v>
      </c>
      <c r="D187" s="124" t="s">
        <v>462</v>
      </c>
      <c r="E187" s="192">
        <v>1027</v>
      </c>
      <c r="F187" s="125">
        <f>ROUND(E187*Valores!$C$2,2)</f>
        <v>60511.15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70704.36</v>
      </c>
      <c r="M187" s="125">
        <f>ROUND(IF($H$2=0,IF(AND(A187&lt;&gt;"13-930",A187&lt;&gt;"13-940"),(SUM(F187,H187,J187,L187,X187,T187,R187)*Valores!$C$4),0),0),2)</f>
        <v>47609.99</v>
      </c>
      <c r="N187" s="125">
        <f t="shared" si="22"/>
        <v>0</v>
      </c>
      <c r="O187" s="125">
        <f>Valores!$C$16</f>
        <v>50911.51</v>
      </c>
      <c r="P187" s="125">
        <f>Valores!$D$5</f>
        <v>30120.06</v>
      </c>
      <c r="Q187" s="125">
        <v>0</v>
      </c>
      <c r="R187" s="125">
        <f>IF($F$4="NO",Valores!$C$47,Valores!$C$47/2)</f>
        <v>31485.59</v>
      </c>
      <c r="S187" s="125">
        <f>Valores!$C$20</f>
        <v>27738.840000000004</v>
      </c>
      <c r="T187" s="125">
        <f t="shared" si="27"/>
        <v>27738.84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Valores!$C$97</f>
        <v>82485.58</v>
      </c>
      <c r="AA187" s="125">
        <f>Valores!$C$25</f>
        <v>1231.85</v>
      </c>
      <c r="AB187" s="214">
        <v>0</v>
      </c>
      <c r="AC187" s="125">
        <f t="shared" si="23"/>
        <v>0</v>
      </c>
      <c r="AD187" s="125">
        <f>Valores!$C$26</f>
        <v>1231.85</v>
      </c>
      <c r="AE187" s="192">
        <v>0</v>
      </c>
      <c r="AF187" s="125">
        <f>ROUND(AE187*Valores!$C$2,2)</f>
        <v>0</v>
      </c>
      <c r="AG187" s="125">
        <f>SUM(F187,H187,J187,L187,M187,N187,O187,P187,Q187,R187,T187,U187,V187,X187,Y187,Z187,AA187,AC187,AD187,AF187,AH187)*Valores!$C$69</f>
        <v>53936.707290000006</v>
      </c>
      <c r="AH187" s="125">
        <f>ROUND(IF($F$4="NO",Valores!$C$63,Valores!$C$63/2),2)</f>
        <v>14083.23</v>
      </c>
      <c r="AI187" s="125">
        <f t="shared" si="29"/>
        <v>472050.71729</v>
      </c>
      <c r="AJ187" s="125">
        <f>Valores!$C$31</f>
        <v>0</v>
      </c>
      <c r="AK187" s="125">
        <f>Valores!$C$90</f>
        <v>0</v>
      </c>
      <c r="AL187" s="125">
        <f>Valores!C$38*B187</f>
        <v>0</v>
      </c>
      <c r="AM187" s="125">
        <v>0</v>
      </c>
      <c r="AN187" s="125">
        <f t="shared" si="24"/>
        <v>0</v>
      </c>
      <c r="AO187" s="125">
        <f>AI187*Valores!$C$71</f>
        <v>-51925.5789019</v>
      </c>
      <c r="AP187" s="125">
        <f>AI187*Valores!$C$72</f>
        <v>-9441.0143458</v>
      </c>
      <c r="AQ187" s="125">
        <f>AI187*-Valores!$C$73</f>
        <v>0</v>
      </c>
      <c r="AR187" s="125">
        <f>AI187*Valores!$C$74</f>
        <v>-25962.78945095</v>
      </c>
      <c r="AS187" s="125">
        <f>Valores!$C$101</f>
        <v>-1270</v>
      </c>
      <c r="AT187" s="125">
        <f>IF($F$5=0,Valores!$C$102,(Valores!$C$102+$F$5*(Valores!$C$102)))</f>
        <v>-3700</v>
      </c>
      <c r="AU187" s="125">
        <f t="shared" si="26"/>
        <v>379751.33459135</v>
      </c>
      <c r="AV187" s="125">
        <f t="shared" si="21"/>
        <v>-51925.5789019</v>
      </c>
      <c r="AW187" s="125">
        <f t="shared" si="28"/>
        <v>-9441.0143458</v>
      </c>
      <c r="AX187" s="125">
        <f>AI187*Valores!$C$75</f>
        <v>-12745.36936683</v>
      </c>
      <c r="AY187" s="125">
        <f>AI187*Valores!$C$76</f>
        <v>-1416.1521518700001</v>
      </c>
      <c r="AZ187" s="125">
        <f t="shared" si="25"/>
        <v>396522.6025236</v>
      </c>
      <c r="BA187" s="125">
        <f>AI187*Valores!$C$78</f>
        <v>75528.1147664</v>
      </c>
      <c r="BB187" s="125">
        <f>AI187*Valores!$C$79</f>
        <v>33043.5502103</v>
      </c>
      <c r="BC187" s="125">
        <f>AI187*Valores!$C$80</f>
        <v>4720.5071729</v>
      </c>
      <c r="BD187" s="125">
        <f>AI187*Valores!$C$82</f>
        <v>16521.77510515</v>
      </c>
      <c r="BE187" s="125">
        <f>AI187*Valores!$C$84</f>
        <v>25490.73873366</v>
      </c>
      <c r="BF187" s="125">
        <f>AI187*Valores!$C$83</f>
        <v>2832.3043037400003</v>
      </c>
      <c r="BG187" s="126"/>
      <c r="BH187" s="126">
        <v>30</v>
      </c>
      <c r="BI187" s="123" t="s">
        <v>8</v>
      </c>
    </row>
    <row r="188" spans="1:61" s="110" customFormat="1" ht="11.25" customHeight="1">
      <c r="A188" s="123" t="s">
        <v>463</v>
      </c>
      <c r="B188" s="123">
        <v>1</v>
      </c>
      <c r="C188" s="126">
        <v>181</v>
      </c>
      <c r="D188" s="124" t="s">
        <v>464</v>
      </c>
      <c r="E188" s="192">
        <v>1278</v>
      </c>
      <c r="F188" s="125">
        <f>ROUND(E188*Valores!$C$2,2)</f>
        <v>75300.14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70704.36</v>
      </c>
      <c r="M188" s="125">
        <f>ROUND(IF($H$2=0,IF(AND(A188&lt;&gt;"13-930",A188&lt;&gt;"13-940"),(SUM(F188,H188,J188,L188,X188,T188,R188)*Valores!$C$4),0),0),2)</f>
        <v>51378.87</v>
      </c>
      <c r="N188" s="125">
        <f t="shared" si="22"/>
        <v>0</v>
      </c>
      <c r="O188" s="125">
        <f>Valores!$C$16</f>
        <v>50911.51</v>
      </c>
      <c r="P188" s="125">
        <f>Valores!$D$5</f>
        <v>30120.06</v>
      </c>
      <c r="Q188" s="125">
        <f>Valores!$C$22</f>
        <v>26870.16</v>
      </c>
      <c r="R188" s="125">
        <f>IF($F$4="NO",Valores!$C$47,Valores!$C$47/2)</f>
        <v>31485.59</v>
      </c>
      <c r="S188" s="125">
        <f>Valores!$C$19</f>
        <v>28025.371999999996</v>
      </c>
      <c r="T188" s="125">
        <f t="shared" si="27"/>
        <v>28025.37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Valores!$C$97</f>
        <v>82485.58</v>
      </c>
      <c r="AA188" s="125">
        <f>Valores!$C$25</f>
        <v>1231.85</v>
      </c>
      <c r="AB188" s="214">
        <v>0</v>
      </c>
      <c r="AC188" s="125">
        <f t="shared" si="23"/>
        <v>0</v>
      </c>
      <c r="AD188" s="125">
        <f>Valores!$C$26</f>
        <v>1231.85</v>
      </c>
      <c r="AE188" s="192">
        <v>0</v>
      </c>
      <c r="AF188" s="125">
        <f>ROUND(AE188*Valores!$C$2,2)</f>
        <v>0</v>
      </c>
      <c r="AG188" s="125">
        <f>SUM(F188,H188,J188,L188,M188,N188,O188,P188,Q188,R188,T188,U188,V188,X188,Y188,Z188,AA188,AC188,AD188,AF188,AH188)*Valores!$C$69</f>
        <v>59833.88552999999</v>
      </c>
      <c r="AH188" s="125">
        <f>ROUND(IF($F$4="NO",Valores!$C$63,Valores!$C$63/2),2)</f>
        <v>14083.23</v>
      </c>
      <c r="AI188" s="125">
        <f t="shared" si="29"/>
        <v>523662.4555299999</v>
      </c>
      <c r="AJ188" s="125">
        <f>Valores!$C$31</f>
        <v>0</v>
      </c>
      <c r="AK188" s="125">
        <f>Valores!$C$90</f>
        <v>0</v>
      </c>
      <c r="AL188" s="125">
        <f>Valores!C$38*B188</f>
        <v>0</v>
      </c>
      <c r="AM188" s="125">
        <f>IF($F$3="NO",0,Valores!$C$55)</f>
        <v>0</v>
      </c>
      <c r="AN188" s="125">
        <f t="shared" si="24"/>
        <v>0</v>
      </c>
      <c r="AO188" s="125">
        <f>AI188*Valores!$C$71</f>
        <v>-57602.87010829999</v>
      </c>
      <c r="AP188" s="125">
        <f>AI188*Valores!$C$72</f>
        <v>-10473.249110599998</v>
      </c>
      <c r="AQ188" s="125">
        <f>AI188*-Valores!$C$73</f>
        <v>0</v>
      </c>
      <c r="AR188" s="125">
        <f>AI188*Valores!$C$74</f>
        <v>-28801.435054149995</v>
      </c>
      <c r="AS188" s="125">
        <f>Valores!$C$101</f>
        <v>-1270</v>
      </c>
      <c r="AT188" s="125">
        <f>IF($F$5=0,Valores!$C$102,(Valores!$C$102+$F$5*(Valores!$C$102)))</f>
        <v>-3700</v>
      </c>
      <c r="AU188" s="125">
        <f t="shared" si="26"/>
        <v>421814.90125694993</v>
      </c>
      <c r="AV188" s="125">
        <f t="shared" si="21"/>
        <v>-57602.87010829999</v>
      </c>
      <c r="AW188" s="125">
        <f t="shared" si="28"/>
        <v>-10473.249110599998</v>
      </c>
      <c r="AX188" s="125">
        <f>AI188*Valores!$C$75</f>
        <v>-14138.886299309997</v>
      </c>
      <c r="AY188" s="125">
        <f>AI188*Valores!$C$76</f>
        <v>-1570.9873665899997</v>
      </c>
      <c r="AZ188" s="125">
        <f t="shared" si="25"/>
        <v>439876.46264519996</v>
      </c>
      <c r="BA188" s="125">
        <f>AI188*Valores!$C$78</f>
        <v>83785.99288479998</v>
      </c>
      <c r="BB188" s="125">
        <f>AI188*Valores!$C$79</f>
        <v>36656.371887099995</v>
      </c>
      <c r="BC188" s="125">
        <f>AI188*Valores!$C$80</f>
        <v>5236.624555299999</v>
      </c>
      <c r="BD188" s="125">
        <f>AI188*Valores!$C$82</f>
        <v>18328.185943549997</v>
      </c>
      <c r="BE188" s="125">
        <f>AI188*Valores!$C$84</f>
        <v>28277.772598619995</v>
      </c>
      <c r="BF188" s="125">
        <f>AI188*Valores!$C$83</f>
        <v>3141.9747331799995</v>
      </c>
      <c r="BG188" s="126"/>
      <c r="BH188" s="126">
        <v>36</v>
      </c>
      <c r="BI188" s="123" t="s">
        <v>4</v>
      </c>
    </row>
    <row r="189" spans="1:61" s="110" customFormat="1" ht="11.25" customHeight="1">
      <c r="A189" s="123" t="s">
        <v>465</v>
      </c>
      <c r="B189" s="123">
        <v>1</v>
      </c>
      <c r="C189" s="126">
        <v>182</v>
      </c>
      <c r="D189" s="124" t="s">
        <v>466</v>
      </c>
      <c r="E189" s="192">
        <v>1065</v>
      </c>
      <c r="F189" s="125">
        <f>ROUND(E189*Valores!$C$2,2)</f>
        <v>62750.12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35352.18</v>
      </c>
      <c r="M189" s="125">
        <f>ROUND(IF($H$2=0,IF(AND(A189&lt;&gt;"13-930",A189&lt;&gt;"13-940"),(SUM(F189,H189,J189,L189,X189,T189,R189)*Valores!$C$4),0),0),2)</f>
        <v>39403.32</v>
      </c>
      <c r="N189" s="125">
        <f t="shared" si="22"/>
        <v>0</v>
      </c>
      <c r="O189" s="125">
        <f>Valores!$C$16</f>
        <v>50911.51</v>
      </c>
      <c r="P189" s="125">
        <f>Valores!$D$5</f>
        <v>30120.06</v>
      </c>
      <c r="Q189" s="125">
        <v>0</v>
      </c>
      <c r="R189" s="125">
        <f>IF($F$4="NO",Valores!$C$47,Valores!$C$47/2)</f>
        <v>31485.59</v>
      </c>
      <c r="S189" s="125">
        <f>Valores!$C$19</f>
        <v>28025.371999999996</v>
      </c>
      <c r="T189" s="125">
        <f t="shared" si="27"/>
        <v>28025.37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Valores!$C$97</f>
        <v>82485.58</v>
      </c>
      <c r="AA189" s="125">
        <f>Valores!$C$25</f>
        <v>1231.85</v>
      </c>
      <c r="AB189" s="214">
        <v>0</v>
      </c>
      <c r="AC189" s="125">
        <f t="shared" si="23"/>
        <v>0</v>
      </c>
      <c r="AD189" s="125">
        <f>Valores!$C$26</f>
        <v>1231.85</v>
      </c>
      <c r="AE189" s="192">
        <v>0</v>
      </c>
      <c r="AF189" s="125">
        <f>ROUND(AE189*Valores!$C$2,2)</f>
        <v>0</v>
      </c>
      <c r="AG189" s="125">
        <f>SUM(F189,H189,J189,L189,M189,N189,O189,P189,Q189,R189,T189,U189,V189,X189,Y189,Z189,AA189,AC189,AD189,AF189,AH189)*Valores!$C$69</f>
        <v>48643.405139999995</v>
      </c>
      <c r="AH189" s="125">
        <f>ROUND(IF($F$4="NO",Valores!$C$63,Valores!$C$63/2),2)</f>
        <v>14083.23</v>
      </c>
      <c r="AI189" s="125">
        <f t="shared" si="29"/>
        <v>425724.06513999996</v>
      </c>
      <c r="AJ189" s="125">
        <f>Valores!$C$31</f>
        <v>0</v>
      </c>
      <c r="AK189" s="125">
        <f>Valores!$C$90</f>
        <v>0</v>
      </c>
      <c r="AL189" s="125">
        <f>Valores!C$38*B189</f>
        <v>0</v>
      </c>
      <c r="AM189" s="125">
        <f>IF($F$3="NO",0,Valores!$C$55)</f>
        <v>0</v>
      </c>
      <c r="AN189" s="125">
        <f t="shared" si="24"/>
        <v>0</v>
      </c>
      <c r="AO189" s="125">
        <f>AI189*Valores!$C$71</f>
        <v>-46829.6471654</v>
      </c>
      <c r="AP189" s="125">
        <f>AI189*Valores!$C$72</f>
        <v>-8514.481302799999</v>
      </c>
      <c r="AQ189" s="125">
        <f>AI189*-Valores!$C$73</f>
        <v>0</v>
      </c>
      <c r="AR189" s="125">
        <f>AI189*Valores!$C$74</f>
        <v>-23414.8235827</v>
      </c>
      <c r="AS189" s="125">
        <f>Valores!$C$101</f>
        <v>-1270</v>
      </c>
      <c r="AT189" s="125">
        <f>IF($F$5=0,Valores!$C$102,(Valores!$C$102+$F$5*(Valores!$C$102)))</f>
        <v>-3700</v>
      </c>
      <c r="AU189" s="125">
        <f t="shared" si="26"/>
        <v>341995.1130891</v>
      </c>
      <c r="AV189" s="125">
        <f t="shared" si="21"/>
        <v>-46829.6471654</v>
      </c>
      <c r="AW189" s="125">
        <f t="shared" si="28"/>
        <v>-8514.481302799999</v>
      </c>
      <c r="AX189" s="125">
        <f>AI189*Valores!$C$75</f>
        <v>-11494.549758779998</v>
      </c>
      <c r="AY189" s="125">
        <f>AI189*Valores!$C$76</f>
        <v>-1277.17219542</v>
      </c>
      <c r="AZ189" s="125">
        <f t="shared" si="25"/>
        <v>357608.21471759997</v>
      </c>
      <c r="BA189" s="125">
        <f>AI189*Valores!$C$78</f>
        <v>68115.85042239999</v>
      </c>
      <c r="BB189" s="125">
        <f>AI189*Valores!$C$79</f>
        <v>29800.6845598</v>
      </c>
      <c r="BC189" s="125">
        <f>AI189*Valores!$C$80</f>
        <v>4257.2406513999995</v>
      </c>
      <c r="BD189" s="125">
        <f>AI189*Valores!$C$82</f>
        <v>14900.3422799</v>
      </c>
      <c r="BE189" s="125">
        <f>AI189*Valores!$C$84</f>
        <v>22989.099517559996</v>
      </c>
      <c r="BF189" s="125">
        <f>AI189*Valores!$C$83</f>
        <v>2554.34439084</v>
      </c>
      <c r="BG189" s="126"/>
      <c r="BH189" s="126"/>
      <c r="BI189" s="123" t="s">
        <v>4</v>
      </c>
    </row>
    <row r="190" spans="1:61" s="110" customFormat="1" ht="12" customHeight="1">
      <c r="A190" s="123" t="s">
        <v>467</v>
      </c>
      <c r="B190" s="123">
        <v>1</v>
      </c>
      <c r="C190" s="126">
        <v>183</v>
      </c>
      <c r="D190" s="124" t="s">
        <v>468</v>
      </c>
      <c r="E190" s="192">
        <v>971</v>
      </c>
      <c r="F190" s="125">
        <f>ROUND(E190*Valores!$C$2,2)</f>
        <v>57211.61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38887.4</v>
      </c>
      <c r="M190" s="125">
        <f>ROUND(IF($H$2=0,IF(AND(A190&lt;&gt;"13-930",A190&lt;&gt;"13-940"),(SUM(F190,H190,J190,L190,X190,T190,R190)*Valores!$C$4),0),0),2)</f>
        <v>36261.79</v>
      </c>
      <c r="N190" s="125">
        <f t="shared" si="22"/>
        <v>0</v>
      </c>
      <c r="O190" s="125">
        <f>Valores!$C$16</f>
        <v>50911.51</v>
      </c>
      <c r="P190" s="125">
        <f>Valores!$D$5</f>
        <v>30120.06</v>
      </c>
      <c r="Q190" s="125">
        <f>Valores!$C$23</f>
        <v>25008.96</v>
      </c>
      <c r="R190" s="125">
        <f>IF($F$4="NO",Valores!$C$44,Valores!$C$44/2)</f>
        <v>20922.76</v>
      </c>
      <c r="S190" s="125">
        <f>Valores!$C$19</f>
        <v>28025.371999999996</v>
      </c>
      <c r="T190" s="125">
        <f t="shared" si="27"/>
        <v>28025.37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Valores!$C$95</f>
        <v>41242.8</v>
      </c>
      <c r="AA190" s="125">
        <f>Valores!$C$25</f>
        <v>1231.85</v>
      </c>
      <c r="AB190" s="214">
        <v>0</v>
      </c>
      <c r="AC190" s="125">
        <f t="shared" si="23"/>
        <v>0</v>
      </c>
      <c r="AD190" s="125">
        <f>Valores!$C$26</f>
        <v>1231.85</v>
      </c>
      <c r="AE190" s="192">
        <v>0</v>
      </c>
      <c r="AF190" s="125">
        <f>ROUND(AE190*Valores!$C$2,2)</f>
        <v>0</v>
      </c>
      <c r="AG190" s="125">
        <f>SUM(F190,H190,J190,L190,M190,N190,O190,P190,Q190,R190,T190,U190,V190,X190,Y190,Z190,AA190,AC190,AD190,AF190,AH190)*Valores!$C$69</f>
        <v>44522.95550999999</v>
      </c>
      <c r="AH190" s="125">
        <f>ROUND(IF($F$4="NO",Valores!$C$63,Valores!$C$63/2),2)</f>
        <v>14083.23</v>
      </c>
      <c r="AI190" s="125">
        <f t="shared" si="29"/>
        <v>389662.14550999994</v>
      </c>
      <c r="AJ190" s="125">
        <f>Valores!$C$31</f>
        <v>0</v>
      </c>
      <c r="AK190" s="125">
        <f>Valores!$C$88</f>
        <v>0</v>
      </c>
      <c r="AL190" s="125">
        <f>Valores!C$38*B190</f>
        <v>0</v>
      </c>
      <c r="AM190" s="125">
        <v>0</v>
      </c>
      <c r="AN190" s="125">
        <f t="shared" si="24"/>
        <v>0</v>
      </c>
      <c r="AO190" s="125">
        <f>AI190*Valores!$C$71</f>
        <v>-42862.83600609999</v>
      </c>
      <c r="AP190" s="125">
        <f>AI190*Valores!$C$72</f>
        <v>-7793.242910199999</v>
      </c>
      <c r="AQ190" s="125">
        <f>AI190*-Valores!$C$73</f>
        <v>0</v>
      </c>
      <c r="AR190" s="125">
        <f>AI190*Valores!$C$74</f>
        <v>-21431.418003049996</v>
      </c>
      <c r="AS190" s="125">
        <f>Valores!$C$101</f>
        <v>-1270</v>
      </c>
      <c r="AT190" s="125">
        <f>IF($F$5=0,Valores!$C$102,(Valores!$C$102+$F$5*(Valores!$C$102)))</f>
        <v>-3700</v>
      </c>
      <c r="AU190" s="125">
        <f t="shared" si="26"/>
        <v>312604.64859064994</v>
      </c>
      <c r="AV190" s="125">
        <f t="shared" si="21"/>
        <v>-42862.83600609999</v>
      </c>
      <c r="AW190" s="125">
        <f t="shared" si="28"/>
        <v>-7793.242910199999</v>
      </c>
      <c r="AX190" s="125">
        <f>AI190*Valores!$C$75</f>
        <v>-10520.877928769998</v>
      </c>
      <c r="AY190" s="125">
        <f>AI190*Valores!$C$76</f>
        <v>-1168.9864365299998</v>
      </c>
      <c r="AZ190" s="125">
        <f t="shared" si="25"/>
        <v>327316.2022283999</v>
      </c>
      <c r="BA190" s="125">
        <f>AI190*Valores!$C$78</f>
        <v>62345.94328159999</v>
      </c>
      <c r="BB190" s="125">
        <f>AI190*Valores!$C$79</f>
        <v>27276.350185699997</v>
      </c>
      <c r="BC190" s="125">
        <f>AI190*Valores!$C$80</f>
        <v>3896.6214550999994</v>
      </c>
      <c r="BD190" s="125">
        <f>AI190*Valores!$C$82</f>
        <v>13638.175092849999</v>
      </c>
      <c r="BE190" s="125">
        <f>AI190*Valores!$C$84</f>
        <v>21041.755857539996</v>
      </c>
      <c r="BF190" s="125">
        <f>AI190*Valores!$C$83</f>
        <v>2337.9728730599995</v>
      </c>
      <c r="BG190" s="126"/>
      <c r="BH190" s="126">
        <v>18</v>
      </c>
      <c r="BI190" s="123" t="s">
        <v>4</v>
      </c>
    </row>
    <row r="191" spans="1:61" s="110" customFormat="1" ht="11.25" customHeight="1">
      <c r="A191" s="123" t="s">
        <v>469</v>
      </c>
      <c r="B191" s="123">
        <v>1</v>
      </c>
      <c r="C191" s="126">
        <v>184</v>
      </c>
      <c r="D191" s="124" t="str">
        <f aca="true" t="shared" si="30" ref="D191:D226">CONCATENATE("Hora Cátedra Enseñanza Superior ",B191," hs")</f>
        <v>Hora Cátedra Enseñanza Superior 1 hs</v>
      </c>
      <c r="E191" s="192">
        <f aca="true" t="shared" si="31" ref="E191:E226">99*B191</f>
        <v>99</v>
      </c>
      <c r="F191" s="125">
        <f>ROUND(E191*Valores!$C$2,2)</f>
        <v>5833.11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1878.49</v>
      </c>
      <c r="N191" s="125">
        <f t="shared" si="22"/>
        <v>0</v>
      </c>
      <c r="O191" s="125">
        <f>Valores!$C$7*B191</f>
        <v>1998.03</v>
      </c>
      <c r="P191" s="125">
        <f>ROUND(IF(B191&lt;15,(Valores!$E$5*B191),Valores!$D$5),2)</f>
        <v>2008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1052.45</v>
      </c>
      <c r="S191" s="125">
        <f>Valores!$C$18*B191</f>
        <v>628.41</v>
      </c>
      <c r="T191" s="125">
        <f t="shared" si="27"/>
        <v>628.41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IF(Valores!$C$98*B191&gt;Valores!$C$97,Valores!$C$97,Valores!$C$98*B191)</f>
        <v>1918.41</v>
      </c>
      <c r="AA191" s="125">
        <f>IF((Valores!$C$28)*B191&gt;Valores!$F$28,Valores!$F$28,(Valores!$C$28)*B191)</f>
        <v>49.37</v>
      </c>
      <c r="AB191" s="214">
        <v>0</v>
      </c>
      <c r="AC191" s="125">
        <f t="shared" si="23"/>
        <v>0</v>
      </c>
      <c r="AD191" s="125">
        <f>IF(Valores!$C$29*B191&gt;Valores!$F$29,Valores!$F$29,Valores!$C$29*B191)</f>
        <v>41.11</v>
      </c>
      <c r="AE191" s="192">
        <v>0</v>
      </c>
      <c r="AF191" s="125">
        <f>ROUND(AE191*Valores!$C$2,2)</f>
        <v>0</v>
      </c>
      <c r="AG191" s="125">
        <f>SUM(F191,H191,J191,L191,M191,N191,O191,P191,Q191,R191,T191,U191,V191,X191,Y191,Z191,AA191,AC191,AD191,AF191,AH191)*Valores!$C$69</f>
        <v>2108.66754</v>
      </c>
      <c r="AH191" s="125">
        <f>IF($F$4="NO",IF(Valores!$D$63*'Escala Docente'!B191&gt;Valores!$F$63,Valores!$F$63,Valores!$D$63*'Escala Docente'!B191),IF(Valores!$D$63*'Escala Docente'!B191&gt;Valores!$F$63,Valores!$F$63,Valores!$D$63*'Escala Docente'!B191)/2)</f>
        <v>938.88</v>
      </c>
      <c r="AI191" s="125">
        <f t="shared" si="29"/>
        <v>18454.92754</v>
      </c>
      <c r="AJ191" s="125">
        <f>IF(Valores!$C$32*B191&gt;Valores!$F$32,Valores!$F$32,Valores!$C$32*B191)</f>
        <v>0</v>
      </c>
      <c r="AK191" s="125">
        <f>IF(Valores!$C$91*B191&gt;Valores!$C$90,Valores!$C$90,Valores!$C$91*B191)</f>
        <v>0</v>
      </c>
      <c r="AL191" s="125">
        <f>IF(Valores!C$39*B191&gt;Valores!F$38,Valores!F$38,Valores!C$39*B191)</f>
        <v>0</v>
      </c>
      <c r="AM191" s="125">
        <f>IF($F$3="NO",0,IF(Valores!$C$61*B191&gt;Valores!$F$61,Valores!$F$61,Valores!$C$61*B191))</f>
        <v>0</v>
      </c>
      <c r="AN191" s="125">
        <f t="shared" si="24"/>
        <v>0</v>
      </c>
      <c r="AO191" s="125">
        <f>AI191*Valores!$C$71</f>
        <v>-2030.0420294</v>
      </c>
      <c r="AP191" s="125">
        <f>AI191*Valores!$C$72</f>
        <v>-369.0985508</v>
      </c>
      <c r="AQ191" s="125">
        <f>AI191*-Valores!$C$73</f>
        <v>0</v>
      </c>
      <c r="AR191" s="125">
        <f>AI191*Valores!$C$74</f>
        <v>-1015.0210147</v>
      </c>
      <c r="AS191" s="125">
        <f>Valores!$C$101</f>
        <v>-1270</v>
      </c>
      <c r="AT191" s="125">
        <f>IF($F$5=0,Valores!$C$102,(Valores!$C$102+$F$5*(Valores!$C$102)))</f>
        <v>-3700</v>
      </c>
      <c r="AU191" s="125">
        <f t="shared" si="26"/>
        <v>10070.7659451</v>
      </c>
      <c r="AV191" s="125">
        <f t="shared" si="21"/>
        <v>-2030.0420294</v>
      </c>
      <c r="AW191" s="125">
        <f t="shared" si="28"/>
        <v>-369.0985508</v>
      </c>
      <c r="AX191" s="125">
        <f>AI191*Valores!$C$75</f>
        <v>-498.28304358</v>
      </c>
      <c r="AY191" s="125">
        <f>AI191*Valores!$C$76</f>
        <v>-55.36478262</v>
      </c>
      <c r="AZ191" s="125">
        <f t="shared" si="25"/>
        <v>15502.139133600002</v>
      </c>
      <c r="BA191" s="125">
        <f>AI191*Valores!$C$78</f>
        <v>2952.7884064</v>
      </c>
      <c r="BB191" s="125">
        <f>AI191*Valores!$C$79</f>
        <v>1291.8449278000003</v>
      </c>
      <c r="BC191" s="125">
        <f>AI191*Valores!$C$80</f>
        <v>184.5492754</v>
      </c>
      <c r="BD191" s="125">
        <f>AI191*Valores!$C$82</f>
        <v>645.9224639000001</v>
      </c>
      <c r="BE191" s="125">
        <f>AI191*Valores!$C$84</f>
        <v>996.56608716</v>
      </c>
      <c r="BF191" s="125">
        <f>AI191*Valores!$C$83</f>
        <v>110.72956524</v>
      </c>
      <c r="BG191" s="126"/>
      <c r="BH191" s="126">
        <f aca="true" t="shared" si="32" ref="BH191:BH222">1*B191</f>
        <v>1</v>
      </c>
      <c r="BI191" s="123" t="s">
        <v>4</v>
      </c>
    </row>
    <row r="192" spans="1:61" s="110" customFormat="1" ht="11.25" customHeight="1">
      <c r="A192" s="123" t="s">
        <v>469</v>
      </c>
      <c r="B192" s="123">
        <v>2</v>
      </c>
      <c r="C192" s="126">
        <v>185</v>
      </c>
      <c r="D192" s="124" t="str">
        <f t="shared" si="30"/>
        <v>Hora Cátedra Enseñanza Superior 2 hs</v>
      </c>
      <c r="E192" s="192">
        <f t="shared" si="31"/>
        <v>198</v>
      </c>
      <c r="F192" s="125">
        <f>ROUND(E192*Valores!$C$2,2)</f>
        <v>11666.22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3756.99</v>
      </c>
      <c r="N192" s="125">
        <f t="shared" si="22"/>
        <v>0</v>
      </c>
      <c r="O192" s="125">
        <f>Valores!$C$7*B192</f>
        <v>3996.06</v>
      </c>
      <c r="P192" s="125">
        <f>ROUND(IF(B192&lt;15,(Valores!$E$5*B192),Valores!$D$5),2)</f>
        <v>4016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2104.9</v>
      </c>
      <c r="S192" s="125">
        <f>Valores!$C$18*B192</f>
        <v>1256.82</v>
      </c>
      <c r="T192" s="125">
        <f t="shared" si="27"/>
        <v>1256.82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IF(Valores!$C$98*B192&gt;Valores!$C$97,Valores!$C$97,Valores!$C$98*B192)</f>
        <v>3836.82</v>
      </c>
      <c r="AA192" s="125">
        <f>IF((Valores!$C$28)*B192&gt;Valores!$F$28,Valores!$F$28,(Valores!$C$28)*B192)</f>
        <v>98.74</v>
      </c>
      <c r="AB192" s="214">
        <v>0</v>
      </c>
      <c r="AC192" s="125">
        <f t="shared" si="23"/>
        <v>0</v>
      </c>
      <c r="AD192" s="125">
        <f>IF(Valores!$C$29*B192&gt;Valores!$F$29,Valores!$F$29,Valores!$C$29*B192)</f>
        <v>82.22</v>
      </c>
      <c r="AE192" s="192">
        <v>0</v>
      </c>
      <c r="AF192" s="125">
        <f>ROUND(AE192*Valores!$C$2,2)</f>
        <v>0</v>
      </c>
      <c r="AG192" s="125">
        <f>SUM(F192,H192,J192,L192,M192,N192,O192,P192,Q192,R192,T192,U192,V192,X192,Y192,Z192,AA192,AC192,AD192,AF192,AH192)*Valores!$C$69</f>
        <v>4217.33637</v>
      </c>
      <c r="AH192" s="125">
        <f>IF($F$4="NO",IF(Valores!$D$63*'Escala Docente'!B192&gt;Valores!$F$63,Valores!$F$63,Valores!$D$63*'Escala Docente'!B192),IF(Valores!$D$63*'Escala Docente'!B192&gt;Valores!$F$63,Valores!$F$63,Valores!$D$63*'Escala Docente'!B192)/2)</f>
        <v>1877.76</v>
      </c>
      <c r="AI192" s="125">
        <f t="shared" si="29"/>
        <v>36909.86637</v>
      </c>
      <c r="AJ192" s="125">
        <f>IF(Valores!$C$32*B192&gt;Valores!$F$32,Valores!$F$32,Valores!$C$32*B192)</f>
        <v>0</v>
      </c>
      <c r="AK192" s="125">
        <f>IF(Valores!$C$91*B192&gt;Valores!$C$90,Valores!$C$90,Valores!$C$91*B192)</f>
        <v>0</v>
      </c>
      <c r="AL192" s="125">
        <f>IF(Valores!C$39*B192&gt;Valores!F$38,Valores!F$38,Valores!C$39*B192)</f>
        <v>0</v>
      </c>
      <c r="AM192" s="125">
        <f>IF($F$3="NO",0,IF(Valores!$C$61*B192&gt;Valores!$F$61,Valores!$F$61,Valores!$C$61*B192))</f>
        <v>0</v>
      </c>
      <c r="AN192" s="125">
        <f t="shared" si="24"/>
        <v>0</v>
      </c>
      <c r="AO192" s="125">
        <f>AI192*Valores!$C$71</f>
        <v>-4060.0853007000005</v>
      </c>
      <c r="AP192" s="125">
        <f>AI192*Valores!$C$72</f>
        <v>-738.1973274000001</v>
      </c>
      <c r="AQ192" s="125">
        <f>AI192*-Valores!$C$73</f>
        <v>0</v>
      </c>
      <c r="AR192" s="125">
        <f>AI192*Valores!$C$74</f>
        <v>-2030.0426503500003</v>
      </c>
      <c r="AS192" s="125">
        <f>Valores!$C$101</f>
        <v>-1270</v>
      </c>
      <c r="AT192" s="125">
        <f>IF($F$5=0,Valores!$C$102,(Valores!$C$102+$F$5*(Valores!$C$102)))</f>
        <v>-3700</v>
      </c>
      <c r="AU192" s="125">
        <f t="shared" si="26"/>
        <v>25111.541091550003</v>
      </c>
      <c r="AV192" s="125">
        <f t="shared" si="21"/>
        <v>-4060.0853007000005</v>
      </c>
      <c r="AW192" s="125">
        <f t="shared" si="28"/>
        <v>-738.1973274000001</v>
      </c>
      <c r="AX192" s="125">
        <f>AI192*Valores!$C$75</f>
        <v>-996.56639199</v>
      </c>
      <c r="AY192" s="125">
        <f>AI192*Valores!$C$76</f>
        <v>-110.72959911000001</v>
      </c>
      <c r="AZ192" s="125">
        <f t="shared" si="25"/>
        <v>31004.287750800002</v>
      </c>
      <c r="BA192" s="125">
        <f>AI192*Valores!$C$78</f>
        <v>5905.5786192000005</v>
      </c>
      <c r="BB192" s="125">
        <f>AI192*Valores!$C$79</f>
        <v>2583.6906459000006</v>
      </c>
      <c r="BC192" s="125">
        <f>AI192*Valores!$C$80</f>
        <v>369.09866370000003</v>
      </c>
      <c r="BD192" s="125">
        <f>AI192*Valores!$C$82</f>
        <v>1291.8453229500003</v>
      </c>
      <c r="BE192" s="125">
        <f>AI192*Valores!$C$84</f>
        <v>1993.13278398</v>
      </c>
      <c r="BF192" s="125">
        <f>AI192*Valores!$C$83</f>
        <v>221.45919822000002</v>
      </c>
      <c r="BG192" s="126"/>
      <c r="BH192" s="126">
        <f t="shared" si="32"/>
        <v>2</v>
      </c>
      <c r="BI192" s="123" t="s">
        <v>4</v>
      </c>
    </row>
    <row r="193" spans="1:61" s="110" customFormat="1" ht="11.25" customHeight="1">
      <c r="A193" s="123" t="s">
        <v>469</v>
      </c>
      <c r="B193" s="123">
        <v>3</v>
      </c>
      <c r="C193" s="126">
        <v>186</v>
      </c>
      <c r="D193" s="124" t="str">
        <f t="shared" si="30"/>
        <v>Hora Cátedra Enseñanza Superior 3 hs</v>
      </c>
      <c r="E193" s="192">
        <f t="shared" si="31"/>
        <v>297</v>
      </c>
      <c r="F193" s="125">
        <f>ROUND(E193*Valores!$C$2,2)</f>
        <v>17499.33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5635.48</v>
      </c>
      <c r="N193" s="125">
        <f t="shared" si="22"/>
        <v>0</v>
      </c>
      <c r="O193" s="125">
        <f>Valores!$C$7*B193</f>
        <v>5994.09</v>
      </c>
      <c r="P193" s="125">
        <f>ROUND(IF(B193&lt;15,(Valores!$E$5*B193),Valores!$D$5),2)</f>
        <v>6024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3157.3500000000004</v>
      </c>
      <c r="S193" s="125">
        <f>Valores!$C$18*B193</f>
        <v>1885.23</v>
      </c>
      <c r="T193" s="125">
        <f t="shared" si="27"/>
        <v>1885.23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IF(Valores!$C$98*B193&gt;Valores!$C$97,Valores!$C$97,Valores!$C$98*B193)</f>
        <v>5755.2300000000005</v>
      </c>
      <c r="AA193" s="125">
        <f>IF((Valores!$C$28)*B193&gt;Valores!$F$28,Valores!$F$28,(Valores!$C$28)*B193)</f>
        <v>148.10999999999999</v>
      </c>
      <c r="AB193" s="214">
        <v>0</v>
      </c>
      <c r="AC193" s="125">
        <f t="shared" si="23"/>
        <v>0</v>
      </c>
      <c r="AD193" s="125">
        <f>IF(Valores!$C$29*B193&gt;Valores!$F$29,Valores!$F$29,Valores!$C$29*B193)</f>
        <v>123.33</v>
      </c>
      <c r="AE193" s="192">
        <v>0</v>
      </c>
      <c r="AF193" s="125">
        <f>ROUND(AE193*Valores!$C$2,2)</f>
        <v>0</v>
      </c>
      <c r="AG193" s="125">
        <f>SUM(F193,H193,J193,L193,M193,N193,O193,P193,Q193,R193,T193,U193,V193,X193,Y193,Z193,AA193,AC193,AD193,AF193,AH193)*Valores!$C$69</f>
        <v>6326.005200000001</v>
      </c>
      <c r="AH193" s="125">
        <f>IF($F$4="NO",IF(Valores!$D$63*'Escala Docente'!B193&gt;Valores!$F$63,Valores!$F$63,Valores!$D$63*'Escala Docente'!B193),IF(Valores!$D$63*'Escala Docente'!B193&gt;Valores!$F$63,Valores!$F$63,Valores!$D$63*'Escala Docente'!B193)/2)+0.01</f>
        <v>2816.65</v>
      </c>
      <c r="AI193" s="125">
        <f t="shared" si="29"/>
        <v>55364.80520000001</v>
      </c>
      <c r="AJ193" s="125">
        <f>IF(Valores!$C$32*B193&gt;Valores!$F$32,Valores!$F$32,Valores!$C$32*B193)</f>
        <v>0</v>
      </c>
      <c r="AK193" s="125">
        <f>IF(Valores!$C$91*B193&gt;Valores!$C$90,Valores!$C$90,Valores!$C$91*B193)</f>
        <v>0</v>
      </c>
      <c r="AL193" s="125">
        <f>IF(Valores!C$39*B193&gt;Valores!F$38,Valores!F$38,Valores!C$39*B193)</f>
        <v>0</v>
      </c>
      <c r="AM193" s="125">
        <f>IF($F$3="NO",0,IF(Valores!$C$61*B193&gt;Valores!$F$61,Valores!$F$61,Valores!$C$61*B193))</f>
        <v>0</v>
      </c>
      <c r="AN193" s="125">
        <f t="shared" si="24"/>
        <v>0</v>
      </c>
      <c r="AO193" s="125">
        <f>AI193*Valores!$C$71</f>
        <v>-6090.128572000001</v>
      </c>
      <c r="AP193" s="125">
        <f>AI193*Valores!$C$72</f>
        <v>-1107.2961040000002</v>
      </c>
      <c r="AQ193" s="125">
        <f>AI193*-Valores!$C$73</f>
        <v>0</v>
      </c>
      <c r="AR193" s="125">
        <f>AI193*Valores!$C$74</f>
        <v>-3045.0642860000007</v>
      </c>
      <c r="AS193" s="125">
        <f>Valores!$C$101</f>
        <v>-1270</v>
      </c>
      <c r="AT193" s="125">
        <f>IF($F$5=0,Valores!$C$102,(Valores!$C$102+$F$5*(Valores!$C$102)))</f>
        <v>-3700</v>
      </c>
      <c r="AU193" s="125">
        <f t="shared" si="26"/>
        <v>40152.31623800001</v>
      </c>
      <c r="AV193" s="125">
        <f t="shared" si="21"/>
        <v>-6090.128572000001</v>
      </c>
      <c r="AW193" s="125">
        <f t="shared" si="28"/>
        <v>-1107.2961040000002</v>
      </c>
      <c r="AX193" s="125">
        <f>AI193*Valores!$C$75</f>
        <v>-1494.8497404000002</v>
      </c>
      <c r="AY193" s="125">
        <f>AI193*Valores!$C$76</f>
        <v>-166.09441560000002</v>
      </c>
      <c r="AZ193" s="125">
        <f t="shared" si="25"/>
        <v>46506.43636800001</v>
      </c>
      <c r="BA193" s="125">
        <f>AI193*Valores!$C$78</f>
        <v>8858.368832000002</v>
      </c>
      <c r="BB193" s="125">
        <f>AI193*Valores!$C$79</f>
        <v>3875.536364000001</v>
      </c>
      <c r="BC193" s="125">
        <f>AI193*Valores!$C$80</f>
        <v>553.6480520000001</v>
      </c>
      <c r="BD193" s="125">
        <f>AI193*Valores!$C$82</f>
        <v>1937.7681820000005</v>
      </c>
      <c r="BE193" s="125">
        <f>AI193*Valores!$C$84</f>
        <v>2989.6994808000004</v>
      </c>
      <c r="BF193" s="125">
        <f>AI193*Valores!$C$83</f>
        <v>332.18883120000004</v>
      </c>
      <c r="BG193" s="126"/>
      <c r="BH193" s="126">
        <f t="shared" si="32"/>
        <v>3</v>
      </c>
      <c r="BI193" s="123" t="s">
        <v>4</v>
      </c>
    </row>
    <row r="194" spans="1:61" s="110" customFormat="1" ht="11.25" customHeight="1">
      <c r="A194" s="123" t="s">
        <v>469</v>
      </c>
      <c r="B194" s="123">
        <v>4</v>
      </c>
      <c r="C194" s="126">
        <v>187</v>
      </c>
      <c r="D194" s="124" t="str">
        <f t="shared" si="30"/>
        <v>Hora Cátedra Enseñanza Superior 4 hs</v>
      </c>
      <c r="E194" s="192">
        <f t="shared" si="31"/>
        <v>396</v>
      </c>
      <c r="F194" s="125">
        <f>ROUND(E194*Valores!$C$2,2)</f>
        <v>23332.44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7513.97</v>
      </c>
      <c r="N194" s="125">
        <f t="shared" si="22"/>
        <v>0</v>
      </c>
      <c r="O194" s="125">
        <f>Valores!$C$7*B194</f>
        <v>7992.12</v>
      </c>
      <c r="P194" s="125">
        <f>ROUND(IF(B194&lt;15,(Valores!$E$5*B194),Valores!$D$5),2)</f>
        <v>8032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4209.8</v>
      </c>
      <c r="S194" s="125">
        <f>Valores!$C$18*B194</f>
        <v>2513.64</v>
      </c>
      <c r="T194" s="125">
        <f t="shared" si="27"/>
        <v>2513.64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IF(Valores!$C$98*B194&gt;Valores!$C$97,Valores!$C$97,Valores!$C$98*B194)</f>
        <v>7673.64</v>
      </c>
      <c r="AA194" s="125">
        <f>IF((Valores!$C$28)*B194&gt;Valores!$F$28,Valores!$F$28,(Valores!$C$28)*B194)</f>
        <v>197.48</v>
      </c>
      <c r="AB194" s="214">
        <v>0</v>
      </c>
      <c r="AC194" s="125">
        <f t="shared" si="23"/>
        <v>0</v>
      </c>
      <c r="AD194" s="125">
        <f>IF(Valores!$C$29*B194&gt;Valores!$F$29,Valores!$F$29,Valores!$C$29*B194)</f>
        <v>164.44</v>
      </c>
      <c r="AE194" s="192">
        <v>0</v>
      </c>
      <c r="AF194" s="125">
        <f>ROUND(AE194*Valores!$C$2,2)</f>
        <v>0</v>
      </c>
      <c r="AG194" s="125">
        <f>SUM(F194,H194,J194,L194,M194,N194,O194,P194,Q194,R194,T194,U194,V194,X194,Y194,Z194,AA194,AC194,AD194,AF194,AH194)*Valores!$C$69</f>
        <v>8434.67274</v>
      </c>
      <c r="AH194" s="125">
        <f>IF($F$4="NO",IF(Valores!$D$63*'Escala Docente'!B194&gt;Valores!$F$63,Valores!$F$63,Valores!$D$63*'Escala Docente'!B194),IF(Valores!$D$63*'Escala Docente'!B194&gt;Valores!$F$63,Valores!$F$63,Valores!$D$63*'Escala Docente'!B194)/2)+0.01</f>
        <v>3755.53</v>
      </c>
      <c r="AI194" s="125">
        <f t="shared" si="29"/>
        <v>73819.73274</v>
      </c>
      <c r="AJ194" s="125">
        <f>IF(Valores!$C$32*B194&gt;Valores!$F$32,Valores!$F$32,Valores!$C$32*B194)</f>
        <v>0</v>
      </c>
      <c r="AK194" s="125">
        <f>IF(Valores!$C$91*B194&gt;Valores!$C$90,Valores!$C$90,Valores!$C$91*B194)</f>
        <v>0</v>
      </c>
      <c r="AL194" s="125">
        <f>IF(Valores!C$39*B194&gt;Valores!F$38,Valores!F$38,Valores!C$39*B194)</f>
        <v>0</v>
      </c>
      <c r="AM194" s="125">
        <f>IF($F$3="NO",0,IF(Valores!$C$61*B194&gt;Valores!$F$61,Valores!$F$61,Valores!$C$61*B194))</f>
        <v>0</v>
      </c>
      <c r="AN194" s="125">
        <f t="shared" si="24"/>
        <v>0</v>
      </c>
      <c r="AO194" s="125">
        <f>AI194*Valores!$C$71</f>
        <v>-8120.170601400001</v>
      </c>
      <c r="AP194" s="125">
        <f>AI194*Valores!$C$72</f>
        <v>-1476.3946548000001</v>
      </c>
      <c r="AQ194" s="125">
        <f>AI194*-Valores!$C$73</f>
        <v>0</v>
      </c>
      <c r="AR194" s="125">
        <f>AI194*Valores!$C$74</f>
        <v>-4060.0853007000005</v>
      </c>
      <c r="AS194" s="125">
        <f>Valores!$C$101</f>
        <v>-1270</v>
      </c>
      <c r="AT194" s="125">
        <f>IF($F$5=0,Valores!$C$102,(Valores!$C$102+$F$5*(Valores!$C$102)))</f>
        <v>-3700</v>
      </c>
      <c r="AU194" s="125">
        <f t="shared" si="26"/>
        <v>55193.08218310001</v>
      </c>
      <c r="AV194" s="125">
        <f t="shared" si="21"/>
        <v>-8120.170601400001</v>
      </c>
      <c r="AW194" s="125">
        <f t="shared" si="28"/>
        <v>-1476.3946548000001</v>
      </c>
      <c r="AX194" s="125">
        <f>AI194*Valores!$C$75</f>
        <v>-1993.13278398</v>
      </c>
      <c r="AY194" s="125">
        <f>AI194*Valores!$C$76</f>
        <v>-221.45919822000002</v>
      </c>
      <c r="AZ194" s="125">
        <f t="shared" si="25"/>
        <v>62008.575501600004</v>
      </c>
      <c r="BA194" s="125">
        <f>AI194*Valores!$C$78</f>
        <v>11811.157238400001</v>
      </c>
      <c r="BB194" s="125">
        <f>AI194*Valores!$C$79</f>
        <v>5167.381291800001</v>
      </c>
      <c r="BC194" s="125">
        <f>AI194*Valores!$C$80</f>
        <v>738.1973274000001</v>
      </c>
      <c r="BD194" s="125">
        <f>AI194*Valores!$C$82</f>
        <v>2583.6906459000006</v>
      </c>
      <c r="BE194" s="125">
        <f>AI194*Valores!$C$84</f>
        <v>3986.26556796</v>
      </c>
      <c r="BF194" s="125">
        <f>AI194*Valores!$C$83</f>
        <v>442.91839644000004</v>
      </c>
      <c r="BG194" s="126"/>
      <c r="BH194" s="126">
        <f t="shared" si="32"/>
        <v>4</v>
      </c>
      <c r="BI194" s="123" t="s">
        <v>4</v>
      </c>
    </row>
    <row r="195" spans="1:61" s="110" customFormat="1" ht="11.25" customHeight="1">
      <c r="A195" s="123" t="s">
        <v>469</v>
      </c>
      <c r="B195" s="123">
        <v>5</v>
      </c>
      <c r="C195" s="126">
        <v>188</v>
      </c>
      <c r="D195" s="124" t="str">
        <f t="shared" si="30"/>
        <v>Hora Cátedra Enseñanza Superior 5 hs</v>
      </c>
      <c r="E195" s="192">
        <f t="shared" si="31"/>
        <v>495</v>
      </c>
      <c r="F195" s="125">
        <f>ROUND(E195*Valores!$C$2,2)</f>
        <v>29165.55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9392.46</v>
      </c>
      <c r="N195" s="125">
        <f t="shared" si="22"/>
        <v>0</v>
      </c>
      <c r="O195" s="125">
        <f>Valores!$C$7*B195</f>
        <v>9990.15</v>
      </c>
      <c r="P195" s="125">
        <f>ROUND(IF(B195&lt;15,(Valores!$E$5*B195),Valores!$D$5),2)</f>
        <v>10040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5262.25</v>
      </c>
      <c r="S195" s="125">
        <f>Valores!$C$18*B195</f>
        <v>3142.0499999999997</v>
      </c>
      <c r="T195" s="125">
        <f t="shared" si="27"/>
        <v>3142.05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IF(Valores!$C$98*B195&gt;Valores!$C$97,Valores!$C$97,Valores!$C$98*B195)</f>
        <v>9592.050000000001</v>
      </c>
      <c r="AA195" s="125">
        <f>IF((Valores!$C$28)*B195&gt;Valores!$F$28,Valores!$F$28,(Valores!$C$28)*B195)</f>
        <v>246.85</v>
      </c>
      <c r="AB195" s="214">
        <v>0</v>
      </c>
      <c r="AC195" s="125">
        <f t="shared" si="23"/>
        <v>0</v>
      </c>
      <c r="AD195" s="125">
        <f>IF(Valores!$C$29*B195&gt;Valores!$F$29,Valores!$F$29,Valores!$C$29*B195)</f>
        <v>205.55</v>
      </c>
      <c r="AE195" s="192">
        <v>0</v>
      </c>
      <c r="AF195" s="125">
        <f>ROUND(AE195*Valores!$C$2,2)</f>
        <v>0</v>
      </c>
      <c r="AG195" s="125">
        <f>SUM(F195,H195,J195,L195,M195,N195,O195,P195,Q195,R195,T195,U195,V195,X195,Y195,Z195,AA195,AC195,AD195,AF195,AH195)*Valores!$C$69</f>
        <v>10543.34028</v>
      </c>
      <c r="AH195" s="125">
        <f>IF($F$4="NO",IF(Valores!$D$63*'Escala Docente'!B195&gt;Valores!$F$63,Valores!$F$63,Valores!$D$63*'Escala Docente'!B195),IF(Valores!$D$63*'Escala Docente'!B195&gt;Valores!$F$63,Valores!$F$63,Valores!$D$63*'Escala Docente'!B195)/2)+0.01</f>
        <v>4694.41</v>
      </c>
      <c r="AI195" s="125">
        <f t="shared" si="29"/>
        <v>92274.66028000001</v>
      </c>
      <c r="AJ195" s="125">
        <f>IF(Valores!$C$32*B195&gt;Valores!$F$32,Valores!$F$32,Valores!$C$32*B195)</f>
        <v>0</v>
      </c>
      <c r="AK195" s="125">
        <f>IF(Valores!$C$91*B195&gt;Valores!$C$90,Valores!$C$90,Valores!$C$91*B195)</f>
        <v>0</v>
      </c>
      <c r="AL195" s="125">
        <f>IF(Valores!C$39*B195&gt;Valores!F$38,Valores!F$38,Valores!C$39*B195)</f>
        <v>0</v>
      </c>
      <c r="AM195" s="125">
        <f>IF($F$3="NO",0,IF(Valores!$C$61*B195&gt;Valores!$F$61,Valores!$F$61,Valores!$C$61*B195))</f>
        <v>0</v>
      </c>
      <c r="AN195" s="125">
        <f t="shared" si="24"/>
        <v>0</v>
      </c>
      <c r="AO195" s="125">
        <f>AI195*Valores!$C$71</f>
        <v>-10150.2126308</v>
      </c>
      <c r="AP195" s="125">
        <f>AI195*Valores!$C$72</f>
        <v>-1845.4932056000002</v>
      </c>
      <c r="AQ195" s="125">
        <f>AI195*-Valores!$C$73</f>
        <v>0</v>
      </c>
      <c r="AR195" s="125">
        <f>AI195*Valores!$C$74</f>
        <v>-5075.1063154</v>
      </c>
      <c r="AS195" s="125">
        <f>Valores!$C$101</f>
        <v>-1270</v>
      </c>
      <c r="AT195" s="125">
        <f>IF($F$5=0,Valores!$C$102,(Valores!$C$102+$F$5*(Valores!$C$102)))</f>
        <v>-3700</v>
      </c>
      <c r="AU195" s="125">
        <f t="shared" si="26"/>
        <v>70233.84812820001</v>
      </c>
      <c r="AV195" s="125">
        <f t="shared" si="21"/>
        <v>-10150.2126308</v>
      </c>
      <c r="AW195" s="125">
        <f t="shared" si="28"/>
        <v>-1845.4932056000002</v>
      </c>
      <c r="AX195" s="125">
        <f>AI195*Valores!$C$75</f>
        <v>-2491.4158275600003</v>
      </c>
      <c r="AY195" s="125">
        <f>AI195*Valores!$C$76</f>
        <v>-276.82398084000005</v>
      </c>
      <c r="AZ195" s="125">
        <f t="shared" si="25"/>
        <v>77510.71463520001</v>
      </c>
      <c r="BA195" s="125">
        <f>AI195*Valores!$C$78</f>
        <v>14763.945644800002</v>
      </c>
      <c r="BB195" s="125">
        <f>AI195*Valores!$C$79</f>
        <v>6459.226219600001</v>
      </c>
      <c r="BC195" s="125">
        <f>AI195*Valores!$C$80</f>
        <v>922.7466028000001</v>
      </c>
      <c r="BD195" s="125">
        <f>AI195*Valores!$C$82</f>
        <v>3229.6131098000005</v>
      </c>
      <c r="BE195" s="125">
        <f>AI195*Valores!$C$84</f>
        <v>4982.8316551200005</v>
      </c>
      <c r="BF195" s="125">
        <f>AI195*Valores!$C$83</f>
        <v>553.6479616800001</v>
      </c>
      <c r="BG195" s="126"/>
      <c r="BH195" s="126">
        <f t="shared" si="32"/>
        <v>5</v>
      </c>
      <c r="BI195" s="123" t="s">
        <v>4</v>
      </c>
    </row>
    <row r="196" spans="1:61" s="110" customFormat="1" ht="11.25" customHeight="1">
      <c r="A196" s="123" t="s">
        <v>469</v>
      </c>
      <c r="B196" s="123">
        <v>6</v>
      </c>
      <c r="C196" s="126">
        <v>189</v>
      </c>
      <c r="D196" s="124" t="str">
        <f t="shared" si="30"/>
        <v>Hora Cátedra Enseñanza Superior 6 hs</v>
      </c>
      <c r="E196" s="192">
        <f t="shared" si="31"/>
        <v>594</v>
      </c>
      <c r="F196" s="125">
        <f>ROUND(E196*Valores!$C$2,2)</f>
        <v>34998.66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11270.96</v>
      </c>
      <c r="N196" s="125">
        <f t="shared" si="22"/>
        <v>0</v>
      </c>
      <c r="O196" s="125">
        <f>Valores!$C$7*B196</f>
        <v>11988.18</v>
      </c>
      <c r="P196" s="125">
        <f>ROUND(IF(B196&lt;15,(Valores!$E$5*B196),Valores!$D$5),2)</f>
        <v>12048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6314.700000000001</v>
      </c>
      <c r="S196" s="125">
        <f>Valores!$C$18*B196</f>
        <v>3770.46</v>
      </c>
      <c r="T196" s="125">
        <f t="shared" si="27"/>
        <v>3770.46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IF(Valores!$C$98*B196&gt;Valores!$C$97,Valores!$C$97,Valores!$C$98*B196)</f>
        <v>11510.460000000001</v>
      </c>
      <c r="AA196" s="125">
        <f>IF((Valores!$C$28)*B196&gt;Valores!$F$28,Valores!$F$28,(Valores!$C$28)*B196)</f>
        <v>296.21999999999997</v>
      </c>
      <c r="AB196" s="214">
        <v>0</v>
      </c>
      <c r="AC196" s="125">
        <f t="shared" si="23"/>
        <v>0</v>
      </c>
      <c r="AD196" s="125">
        <f>IF(Valores!$C$29*B196&gt;Valores!$F$29,Valores!$F$29,Valores!$C$29*B196)</f>
        <v>246.66</v>
      </c>
      <c r="AE196" s="192">
        <v>0</v>
      </c>
      <c r="AF196" s="125">
        <f>ROUND(AE196*Valores!$C$2,2)</f>
        <v>0</v>
      </c>
      <c r="AG196" s="125">
        <f>SUM(F196,H196,J196,L196,M196,N196,O196,P196,Q196,R196,T196,U196,V196,X196,Y196,Z196,AA196,AC196,AD196,AF196,AH196)*Valores!$C$69</f>
        <v>12652.00911</v>
      </c>
      <c r="AH196" s="125">
        <f>IF($F$4="NO",IF(Valores!$D$63*'Escala Docente'!B196&gt;Valores!$F$63,Valores!$F$63,Valores!$D$63*'Escala Docente'!B196),IF(Valores!$D$63*'Escala Docente'!B196&gt;Valores!$F$63,Valores!$F$63,Valores!$D$63*'Escala Docente'!B196)/2)+0.01</f>
        <v>5633.29</v>
      </c>
      <c r="AI196" s="125">
        <f t="shared" si="29"/>
        <v>110729.59911000001</v>
      </c>
      <c r="AJ196" s="125">
        <f>IF(Valores!$C$32*B196&gt;Valores!$F$32,Valores!$F$32,Valores!$C$32*B196)</f>
        <v>0</v>
      </c>
      <c r="AK196" s="125">
        <f>IF(Valores!$C$91*B196&gt;Valores!$C$90,Valores!$C$90,Valores!$C$91*B196)</f>
        <v>0</v>
      </c>
      <c r="AL196" s="125">
        <f>IF(Valores!C$39*B196&gt;Valores!F$38,Valores!F$38,Valores!C$39*B196)</f>
        <v>0</v>
      </c>
      <c r="AM196" s="125">
        <f>IF($F$3="NO",0,IF(Valores!$C$61*B196&gt;Valores!$F$61,Valores!$F$61,Valores!$C$61*B196))</f>
        <v>0</v>
      </c>
      <c r="AN196" s="125">
        <f t="shared" si="24"/>
        <v>0</v>
      </c>
      <c r="AO196" s="125">
        <f>AI196*Valores!$C$71</f>
        <v>-12180.255902100002</v>
      </c>
      <c r="AP196" s="125">
        <f>AI196*Valores!$C$72</f>
        <v>-2214.5919822</v>
      </c>
      <c r="AQ196" s="125">
        <f>AI196*-Valores!$C$73</f>
        <v>0</v>
      </c>
      <c r="AR196" s="125">
        <f>AI196*Valores!$C$74</f>
        <v>-6090.127951050001</v>
      </c>
      <c r="AS196" s="125">
        <f>Valores!$C$101</f>
        <v>-1270</v>
      </c>
      <c r="AT196" s="125">
        <f>IF($F$5=0,Valores!$C$102,(Valores!$C$102+$F$5*(Valores!$C$102)))</f>
        <v>-3700</v>
      </c>
      <c r="AU196" s="125">
        <f t="shared" si="26"/>
        <v>85274.62327465002</v>
      </c>
      <c r="AV196" s="125">
        <f t="shared" si="21"/>
        <v>-12180.255902100002</v>
      </c>
      <c r="AW196" s="125">
        <f t="shared" si="28"/>
        <v>-2214.5919822</v>
      </c>
      <c r="AX196" s="125">
        <f>AI196*Valores!$C$75</f>
        <v>-2989.6991759700004</v>
      </c>
      <c r="AY196" s="125">
        <f>AI196*Valores!$C$76</f>
        <v>-332.18879733000006</v>
      </c>
      <c r="AZ196" s="125">
        <f t="shared" si="25"/>
        <v>93012.86325240001</v>
      </c>
      <c r="BA196" s="125">
        <f>AI196*Valores!$C$78</f>
        <v>17716.7358576</v>
      </c>
      <c r="BB196" s="125">
        <f>AI196*Valores!$C$79</f>
        <v>7751.071937700001</v>
      </c>
      <c r="BC196" s="125">
        <f>AI196*Valores!$C$80</f>
        <v>1107.2959911</v>
      </c>
      <c r="BD196" s="125">
        <f>AI196*Valores!$C$82</f>
        <v>3875.5359688500007</v>
      </c>
      <c r="BE196" s="125">
        <f>AI196*Valores!$C$84</f>
        <v>5979.398351940001</v>
      </c>
      <c r="BF196" s="125">
        <f>AI196*Valores!$C$83</f>
        <v>664.3775946600001</v>
      </c>
      <c r="BG196" s="126"/>
      <c r="BH196" s="126">
        <f t="shared" si="32"/>
        <v>6</v>
      </c>
      <c r="BI196" s="123" t="s">
        <v>4</v>
      </c>
    </row>
    <row r="197" spans="1:61" s="110" customFormat="1" ht="11.25" customHeight="1">
      <c r="A197" s="123" t="s">
        <v>469</v>
      </c>
      <c r="B197" s="123">
        <v>7</v>
      </c>
      <c r="C197" s="126">
        <v>190</v>
      </c>
      <c r="D197" s="124" t="str">
        <f t="shared" si="30"/>
        <v>Hora Cátedra Enseñanza Superior 7 hs</v>
      </c>
      <c r="E197" s="192">
        <f t="shared" si="31"/>
        <v>693</v>
      </c>
      <c r="F197" s="125">
        <f>ROUND(E197*Valores!$C$2,2)</f>
        <v>40831.77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13149.45</v>
      </c>
      <c r="N197" s="125">
        <f t="shared" si="22"/>
        <v>0</v>
      </c>
      <c r="O197" s="125">
        <f>Valores!$C$7*B197</f>
        <v>13986.21</v>
      </c>
      <c r="P197" s="125">
        <f>ROUND(IF(B197&lt;15,(Valores!$E$5*B197),Valores!$D$5),2)</f>
        <v>14056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7367.150000000001</v>
      </c>
      <c r="S197" s="125">
        <f>Valores!$C$18*B197</f>
        <v>4398.87</v>
      </c>
      <c r="T197" s="125">
        <f t="shared" si="27"/>
        <v>4398.87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IF(Valores!$C$98*B197&gt;Valores!$C$97,Valores!$C$97,Valores!$C$98*B197)</f>
        <v>13428.87</v>
      </c>
      <c r="AA197" s="125">
        <f>IF((Valores!$C$28)*B197&gt;Valores!$F$28,Valores!$F$28,(Valores!$C$28)*B197)</f>
        <v>345.59</v>
      </c>
      <c r="AB197" s="214">
        <v>0</v>
      </c>
      <c r="AC197" s="125">
        <f t="shared" si="23"/>
        <v>0</v>
      </c>
      <c r="AD197" s="125">
        <f>IF(Valores!$C$29*B197&gt;Valores!$F$29,Valores!$F$29,Valores!$C$29*B197)</f>
        <v>287.77</v>
      </c>
      <c r="AE197" s="192">
        <v>0</v>
      </c>
      <c r="AF197" s="125">
        <f>ROUND(AE197*Valores!$C$2,2)</f>
        <v>0</v>
      </c>
      <c r="AG197" s="125">
        <f>SUM(F197,H197,J197,L197,M197,N197,O197,P197,Q197,R197,T197,U197,V197,X197,Y197,Z197,AA197,AC197,AD197,AF197,AH197)*Valores!$C$69</f>
        <v>14760.676649999998</v>
      </c>
      <c r="AH197" s="125">
        <f>IF($F$4="NO",IF(Valores!$D$63*'Escala Docente'!B197&gt;Valores!$F$63,Valores!$F$63,Valores!$D$63*'Escala Docente'!B197),IF(Valores!$D$63*'Escala Docente'!B197&gt;Valores!$F$63,Valores!$F$63,Valores!$D$63*'Escala Docente'!B197)/2)+0.01</f>
        <v>6572.17</v>
      </c>
      <c r="AI197" s="125">
        <f t="shared" si="29"/>
        <v>129184.52664999997</v>
      </c>
      <c r="AJ197" s="125">
        <f>IF(Valores!$C$32*B197&gt;Valores!$F$32,Valores!$F$32,Valores!$C$32*B197)</f>
        <v>0</v>
      </c>
      <c r="AK197" s="125">
        <f>IF(Valores!$C$91*B197&gt;Valores!$C$90,Valores!$C$90,Valores!$C$91*B197)</f>
        <v>0</v>
      </c>
      <c r="AL197" s="125">
        <f>IF(Valores!C$39*B197&gt;Valores!F$38,Valores!F$38,Valores!C$39*B197)</f>
        <v>0</v>
      </c>
      <c r="AM197" s="125">
        <f>IF($F$3="NO",0,IF(Valores!$C$61*B197&gt;Valores!$F$61,Valores!$F$61,Valores!$C$61*B197))</f>
        <v>0</v>
      </c>
      <c r="AN197" s="125">
        <f t="shared" si="24"/>
        <v>0</v>
      </c>
      <c r="AO197" s="125">
        <f>AI197*Valores!$C$71</f>
        <v>-14210.297931499998</v>
      </c>
      <c r="AP197" s="125">
        <f>AI197*Valores!$C$72</f>
        <v>-2583.6905329999995</v>
      </c>
      <c r="AQ197" s="125">
        <f>AI197*-Valores!$C$73</f>
        <v>0</v>
      </c>
      <c r="AR197" s="125">
        <f>AI197*Valores!$C$74</f>
        <v>-7105.148965749999</v>
      </c>
      <c r="AS197" s="125">
        <f>Valores!$C$101</f>
        <v>-1270</v>
      </c>
      <c r="AT197" s="125">
        <f>IF($F$5=0,Valores!$C$102,(Valores!$C$102+$F$5*(Valores!$C$102)))</f>
        <v>-3700</v>
      </c>
      <c r="AU197" s="125">
        <f t="shared" si="26"/>
        <v>100315.38921974998</v>
      </c>
      <c r="AV197" s="125">
        <f aca="true" t="shared" si="33" ref="AV197:AV260">AO197</f>
        <v>-14210.297931499998</v>
      </c>
      <c r="AW197" s="125">
        <f t="shared" si="28"/>
        <v>-2583.6905329999995</v>
      </c>
      <c r="AX197" s="125">
        <f>AI197*Valores!$C$75</f>
        <v>-3487.982219549999</v>
      </c>
      <c r="AY197" s="125">
        <f>AI197*Valores!$C$76</f>
        <v>-387.5535799499999</v>
      </c>
      <c r="AZ197" s="125">
        <f t="shared" si="25"/>
        <v>108515.00238599998</v>
      </c>
      <c r="BA197" s="125">
        <f>AI197*Valores!$C$78</f>
        <v>20669.524263999996</v>
      </c>
      <c r="BB197" s="125">
        <f>AI197*Valores!$C$79</f>
        <v>9042.9168655</v>
      </c>
      <c r="BC197" s="125">
        <f>AI197*Valores!$C$80</f>
        <v>1291.8452664999998</v>
      </c>
      <c r="BD197" s="125">
        <f>AI197*Valores!$C$82</f>
        <v>4521.45843275</v>
      </c>
      <c r="BE197" s="125">
        <f>AI197*Valores!$C$84</f>
        <v>6975.964439099998</v>
      </c>
      <c r="BF197" s="125">
        <f>AI197*Valores!$C$83</f>
        <v>775.1071598999998</v>
      </c>
      <c r="BG197" s="126"/>
      <c r="BH197" s="126">
        <f t="shared" si="32"/>
        <v>7</v>
      </c>
      <c r="BI197" s="123" t="s">
        <v>4</v>
      </c>
    </row>
    <row r="198" spans="1:61" s="110" customFormat="1" ht="11.25" customHeight="1">
      <c r="A198" s="123" t="s">
        <v>469</v>
      </c>
      <c r="B198" s="123">
        <v>8</v>
      </c>
      <c r="C198" s="126">
        <v>191</v>
      </c>
      <c r="D198" s="124" t="str">
        <f t="shared" si="30"/>
        <v>Hora Cátedra Enseñanza Superior 8 hs</v>
      </c>
      <c r="E198" s="192">
        <f t="shared" si="31"/>
        <v>792</v>
      </c>
      <c r="F198" s="125">
        <f>ROUND(E198*Valores!$C$2,2)</f>
        <v>46664.88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15027.94</v>
      </c>
      <c r="N198" s="125">
        <f t="shared" si="22"/>
        <v>0</v>
      </c>
      <c r="O198" s="125">
        <f>Valores!$C$7*B198</f>
        <v>15984.24</v>
      </c>
      <c r="P198" s="125">
        <f>ROUND(IF(B198&lt;15,(Valores!$E$5*B198),Valores!$D$5),2)</f>
        <v>16064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8419.6</v>
      </c>
      <c r="S198" s="125">
        <f>Valores!$C$18*B198</f>
        <v>5027.28</v>
      </c>
      <c r="T198" s="125">
        <f t="shared" si="27"/>
        <v>5027.28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IF(Valores!$C$98*B198&gt;Valores!$C$97,Valores!$C$97,Valores!$C$98*B198)</f>
        <v>15347.28</v>
      </c>
      <c r="AA198" s="125">
        <f>IF((Valores!$C$28)*B198&gt;Valores!$F$28,Valores!$F$28,(Valores!$C$28)*B198)</f>
        <v>394.96</v>
      </c>
      <c r="AB198" s="214">
        <v>0</v>
      </c>
      <c r="AC198" s="125">
        <f t="shared" si="23"/>
        <v>0</v>
      </c>
      <c r="AD198" s="125">
        <f>IF(Valores!$C$29*B198&gt;Valores!$F$29,Valores!$F$29,Valores!$C$29*B198)</f>
        <v>328.88</v>
      </c>
      <c r="AE198" s="192">
        <v>0</v>
      </c>
      <c r="AF198" s="125">
        <f>ROUND(AE198*Valores!$C$2,2)</f>
        <v>0</v>
      </c>
      <c r="AG198" s="125">
        <f>SUM(F198,H198,J198,L198,M198,N198,O198,P198,Q198,R198,T198,U198,V198,X198,Y198,Z198,AA198,AC198,AD198,AF198,AH198)*Valores!$C$69</f>
        <v>16869.34548</v>
      </c>
      <c r="AH198" s="125">
        <f>IF($F$4="NO",IF(Valores!$D$63*'Escala Docente'!B198&gt;Valores!$F$63,Valores!$F$63,Valores!$D$63*'Escala Docente'!B198),IF(Valores!$D$63*'Escala Docente'!B198&gt;Valores!$F$63,Valores!$F$63,Valores!$D$63*'Escala Docente'!B198)/2)+0.02</f>
        <v>7511.06</v>
      </c>
      <c r="AI198" s="125">
        <f t="shared" si="29"/>
        <v>147639.46548</v>
      </c>
      <c r="AJ198" s="125">
        <f>IF(Valores!$C$32*B198&gt;Valores!$F$32,Valores!$F$32,Valores!$C$32*B198)</f>
        <v>0</v>
      </c>
      <c r="AK198" s="125">
        <f>IF(Valores!$C$91*B198&gt;Valores!$C$90,Valores!$C$90,Valores!$C$91*B198)</f>
        <v>0</v>
      </c>
      <c r="AL198" s="125">
        <f>IF(Valores!C$39*B198&gt;Valores!F$38,Valores!F$38,Valores!C$39*B198)</f>
        <v>0</v>
      </c>
      <c r="AM198" s="125">
        <f>IF($F$3="NO",0,IF(Valores!$C$61*B198&gt;Valores!$F$61,Valores!$F$61,Valores!$C$61*B198))</f>
        <v>0</v>
      </c>
      <c r="AN198" s="125">
        <f t="shared" si="24"/>
        <v>0</v>
      </c>
      <c r="AO198" s="125">
        <f>AI198*Valores!$C$71</f>
        <v>-16240.341202800002</v>
      </c>
      <c r="AP198" s="125">
        <f>AI198*Valores!$C$72</f>
        <v>-2952.7893096000003</v>
      </c>
      <c r="AQ198" s="125">
        <f>AI198*-Valores!$C$73</f>
        <v>0</v>
      </c>
      <c r="AR198" s="125">
        <f>AI198*Valores!$C$74</f>
        <v>-8120.170601400001</v>
      </c>
      <c r="AS198" s="125">
        <f>Valores!$C$101</f>
        <v>-1270</v>
      </c>
      <c r="AT198" s="125">
        <f>IF($F$5=0,Valores!$C$102,(Valores!$C$102+$F$5*(Valores!$C$102)))</f>
        <v>-3700</v>
      </c>
      <c r="AU198" s="125">
        <f t="shared" si="26"/>
        <v>115356.16436620001</v>
      </c>
      <c r="AV198" s="125">
        <f t="shared" si="33"/>
        <v>-16240.341202800002</v>
      </c>
      <c r="AW198" s="125">
        <f t="shared" si="28"/>
        <v>-2952.7893096000003</v>
      </c>
      <c r="AX198" s="125">
        <f>AI198*Valores!$C$75</f>
        <v>-3986.26556796</v>
      </c>
      <c r="AY198" s="125">
        <f>AI198*Valores!$C$76</f>
        <v>-442.91839644000004</v>
      </c>
      <c r="AZ198" s="125">
        <f t="shared" si="25"/>
        <v>124017.15100320001</v>
      </c>
      <c r="BA198" s="125">
        <f>AI198*Valores!$C$78</f>
        <v>23622.314476800002</v>
      </c>
      <c r="BB198" s="125">
        <f>AI198*Valores!$C$79</f>
        <v>10334.762583600002</v>
      </c>
      <c r="BC198" s="125">
        <f>AI198*Valores!$C$80</f>
        <v>1476.3946548000001</v>
      </c>
      <c r="BD198" s="125">
        <f>AI198*Valores!$C$82</f>
        <v>5167.381291800001</v>
      </c>
      <c r="BE198" s="125">
        <f>AI198*Valores!$C$84</f>
        <v>7972.53113592</v>
      </c>
      <c r="BF198" s="125">
        <f>AI198*Valores!$C$83</f>
        <v>885.8367928800001</v>
      </c>
      <c r="BG198" s="126"/>
      <c r="BH198" s="126">
        <f t="shared" si="32"/>
        <v>8</v>
      </c>
      <c r="BI198" s="123" t="s">
        <v>4</v>
      </c>
    </row>
    <row r="199" spans="1:61" s="110" customFormat="1" ht="11.25" customHeight="1">
      <c r="A199" s="123" t="s">
        <v>469</v>
      </c>
      <c r="B199" s="123">
        <v>9</v>
      </c>
      <c r="C199" s="126">
        <v>192</v>
      </c>
      <c r="D199" s="124" t="str">
        <f t="shared" si="30"/>
        <v>Hora Cátedra Enseñanza Superior 9 hs</v>
      </c>
      <c r="E199" s="192">
        <f t="shared" si="31"/>
        <v>891</v>
      </c>
      <c r="F199" s="125">
        <f>ROUND(E199*Valores!$C$2,2)</f>
        <v>52497.99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16906.43</v>
      </c>
      <c r="N199" s="125">
        <f t="shared" si="22"/>
        <v>0</v>
      </c>
      <c r="O199" s="125">
        <f>Valores!$C$7*B199</f>
        <v>17982.27</v>
      </c>
      <c r="P199" s="125">
        <f>ROUND(IF(B199&lt;15,(Valores!$E$5*B199),Valores!$D$5),2)</f>
        <v>18072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9472.050000000001</v>
      </c>
      <c r="S199" s="125">
        <f>Valores!$C$18*B199</f>
        <v>5655.69</v>
      </c>
      <c r="T199" s="125">
        <f t="shared" si="27"/>
        <v>5655.69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IF(Valores!$C$98*B199&gt;Valores!$C$97,Valores!$C$97,Valores!$C$98*B199)</f>
        <v>17265.690000000002</v>
      </c>
      <c r="AA199" s="125">
        <f>IF((Valores!$C$28)*B199&gt;Valores!$F$28,Valores!$F$28,(Valores!$C$28)*B199)</f>
        <v>444.33</v>
      </c>
      <c r="AB199" s="214">
        <v>0</v>
      </c>
      <c r="AC199" s="125">
        <f t="shared" si="23"/>
        <v>0</v>
      </c>
      <c r="AD199" s="125">
        <f>IF(Valores!$C$29*B199&gt;Valores!$F$29,Valores!$F$29,Valores!$C$29*B199)</f>
        <v>369.99</v>
      </c>
      <c r="AE199" s="192">
        <v>0</v>
      </c>
      <c r="AF199" s="125">
        <f>ROUND(AE199*Valores!$C$2,2)</f>
        <v>0</v>
      </c>
      <c r="AG199" s="125">
        <f>SUM(F199,H199,J199,L199,M199,N199,O199,P199,Q199,R199,T199,U199,V199,X199,Y199,Z199,AA199,AC199,AD199,AF199,AH199)*Valores!$C$69</f>
        <v>18978.01302</v>
      </c>
      <c r="AH199" s="125">
        <f>IF($F$4="NO",IF(Valores!$D$63*'Escala Docente'!B199&gt;Valores!$F$63,Valores!$F$63,Valores!$D$63*'Escala Docente'!B199),IF(Valores!$D$63*'Escala Docente'!B199&gt;Valores!$F$63,Valores!$F$63,Valores!$D$63*'Escala Docente'!B199)/2)+0.02</f>
        <v>8449.94</v>
      </c>
      <c r="AI199" s="125">
        <f t="shared" si="29"/>
        <v>166094.39301999996</v>
      </c>
      <c r="AJ199" s="125">
        <f>IF(Valores!$C$32*B199&gt;Valores!$F$32,Valores!$F$32,Valores!$C$32*B199)</f>
        <v>0</v>
      </c>
      <c r="AK199" s="125">
        <f>IF(Valores!$C$91*B199&gt;Valores!$C$90,Valores!$C$90,Valores!$C$91*B199)</f>
        <v>0</v>
      </c>
      <c r="AL199" s="125">
        <f>IF(Valores!C$39*B199&gt;Valores!F$38,Valores!F$38,Valores!C$39*B199)</f>
        <v>0</v>
      </c>
      <c r="AM199" s="125">
        <f>IF($F$3="NO",0,IF(Valores!$C$61*B199&gt;Valores!$F$61,Valores!$F$61,Valores!$C$61*B199))</f>
        <v>0</v>
      </c>
      <c r="AN199" s="125">
        <f t="shared" si="24"/>
        <v>0</v>
      </c>
      <c r="AO199" s="125">
        <f>AI199*Valores!$C$71</f>
        <v>-18270.383232199994</v>
      </c>
      <c r="AP199" s="125">
        <f>AI199*Valores!$C$72</f>
        <v>-3321.887860399999</v>
      </c>
      <c r="AQ199" s="125">
        <f>AI199*-Valores!$C$73</f>
        <v>0</v>
      </c>
      <c r="AR199" s="125">
        <f>AI199*Valores!$C$74</f>
        <v>-9135.191616099997</v>
      </c>
      <c r="AS199" s="125">
        <f>Valores!$C$101</f>
        <v>-1270</v>
      </c>
      <c r="AT199" s="125">
        <f>IF($F$5=0,Valores!$C$102,(Valores!$C$102+$F$5*(Valores!$C$102)))</f>
        <v>-3700</v>
      </c>
      <c r="AU199" s="125">
        <f t="shared" si="26"/>
        <v>130396.93031129998</v>
      </c>
      <c r="AV199" s="125">
        <f t="shared" si="33"/>
        <v>-18270.383232199994</v>
      </c>
      <c r="AW199" s="125">
        <f t="shared" si="28"/>
        <v>-3321.887860399999</v>
      </c>
      <c r="AX199" s="125">
        <f>AI199*Valores!$C$75</f>
        <v>-4484.548611539999</v>
      </c>
      <c r="AY199" s="125">
        <f>AI199*Valores!$C$76</f>
        <v>-498.2831790599999</v>
      </c>
      <c r="AZ199" s="125">
        <f t="shared" si="25"/>
        <v>139519.29013679997</v>
      </c>
      <c r="BA199" s="125">
        <f>AI199*Valores!$C$78</f>
        <v>26575.102883199994</v>
      </c>
      <c r="BB199" s="125">
        <f>AI199*Valores!$C$79</f>
        <v>11626.607511399998</v>
      </c>
      <c r="BC199" s="125">
        <f>AI199*Valores!$C$80</f>
        <v>1660.9439301999996</v>
      </c>
      <c r="BD199" s="125">
        <f>AI199*Valores!$C$82</f>
        <v>5813.303755699999</v>
      </c>
      <c r="BE199" s="125">
        <f>AI199*Valores!$C$84</f>
        <v>8969.097223079998</v>
      </c>
      <c r="BF199" s="125">
        <f>AI199*Valores!$C$83</f>
        <v>996.5663581199998</v>
      </c>
      <c r="BG199" s="126"/>
      <c r="BH199" s="126">
        <f t="shared" si="32"/>
        <v>9</v>
      </c>
      <c r="BI199" s="123" t="s">
        <v>4</v>
      </c>
    </row>
    <row r="200" spans="1:61" s="110" customFormat="1" ht="11.25" customHeight="1">
      <c r="A200" s="123" t="s">
        <v>469</v>
      </c>
      <c r="B200" s="123">
        <v>10</v>
      </c>
      <c r="C200" s="126">
        <v>193</v>
      </c>
      <c r="D200" s="124" t="str">
        <f t="shared" si="30"/>
        <v>Hora Cátedra Enseñanza Superior 10 hs</v>
      </c>
      <c r="E200" s="192">
        <f t="shared" si="31"/>
        <v>990</v>
      </c>
      <c r="F200" s="125">
        <f>ROUND(E200*Valores!$C$2,2)</f>
        <v>58331.1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18784.93</v>
      </c>
      <c r="N200" s="125">
        <f aca="true" t="shared" si="34" ref="N200:N263">ROUND(SUM(F200,H200,J200,L200,X200,R200)*$H$2,2)</f>
        <v>0</v>
      </c>
      <c r="O200" s="125">
        <f>Valores!$C$7*B200</f>
        <v>19980.3</v>
      </c>
      <c r="P200" s="125">
        <f>ROUND(IF(B200&lt;15,(Valores!$E$5*B200),Valores!$D$5),2)</f>
        <v>20080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10524.5</v>
      </c>
      <c r="S200" s="125">
        <f>Valores!$C$18*B200</f>
        <v>6284.099999999999</v>
      </c>
      <c r="T200" s="125">
        <f t="shared" si="27"/>
        <v>6284.1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IF(Valores!$C$98*B200&gt;Valores!$C$97,Valores!$C$97,Valores!$C$98*B200)</f>
        <v>19184.100000000002</v>
      </c>
      <c r="AA200" s="125">
        <f>IF((Valores!$C$28)*B200&gt;Valores!$F$28,Valores!$F$28,(Valores!$C$28)*B200)</f>
        <v>493.7</v>
      </c>
      <c r="AB200" s="214">
        <v>0</v>
      </c>
      <c r="AC200" s="125">
        <f aca="true" t="shared" si="35" ref="AC200:AC263">ROUND(SUM(F200,H200,J200,X200,R200)*AB200,2)</f>
        <v>0</v>
      </c>
      <c r="AD200" s="125">
        <f>IF(Valores!$C$29*B200&gt;Valores!$F$29,Valores!$F$29,Valores!$C$29*B200)</f>
        <v>411.1</v>
      </c>
      <c r="AE200" s="192">
        <v>0</v>
      </c>
      <c r="AF200" s="125">
        <f>ROUND(AE200*Valores!$C$2,2)</f>
        <v>0</v>
      </c>
      <c r="AG200" s="125">
        <f>SUM(F200,H200,J200,L200,M200,N200,O200,P200,Q200,R200,T200,U200,V200,X200,Y200,Z200,AA200,AC200,AD200,AF200,AH200)*Valores!$C$69</f>
        <v>21086.681850000004</v>
      </c>
      <c r="AH200" s="125">
        <f>IF($F$4="NO",IF(Valores!$D$63*'Escala Docente'!B200&gt;Valores!$F$63,Valores!$F$63,Valores!$D$63*'Escala Docente'!B200),IF(Valores!$D$63*'Escala Docente'!B200&gt;Valores!$F$63,Valores!$F$63,Valores!$D$63*'Escala Docente'!B200)/2)+0.02</f>
        <v>9388.82</v>
      </c>
      <c r="AI200" s="125">
        <f t="shared" si="29"/>
        <v>184549.33185000002</v>
      </c>
      <c r="AJ200" s="125">
        <f>IF(Valores!$C$32*B200&gt;Valores!$F$32,Valores!$F$32,Valores!$C$32*B200)</f>
        <v>0</v>
      </c>
      <c r="AK200" s="125">
        <f>IF(Valores!$C$91*B200&gt;Valores!$C$90,Valores!$C$90,Valores!$C$91*B200)</f>
        <v>0</v>
      </c>
      <c r="AL200" s="125">
        <f>IF(Valores!C$39*B200&gt;Valores!F$38,Valores!F$38,Valores!C$39*B200)</f>
        <v>0</v>
      </c>
      <c r="AM200" s="125">
        <f>IF($F$3="NO",0,IF(Valores!$C$61*B200&gt;Valores!$F$61,Valores!$F$61,Valores!$C$61*B200))</f>
        <v>0</v>
      </c>
      <c r="AN200" s="125">
        <f aca="true" t="shared" si="36" ref="AN200:AN263">SUM(AJ200:AM200)</f>
        <v>0</v>
      </c>
      <c r="AO200" s="125">
        <f>AI200*Valores!$C$71</f>
        <v>-20300.426503500003</v>
      </c>
      <c r="AP200" s="125">
        <f>AI200*Valores!$C$72</f>
        <v>-3690.9866370000004</v>
      </c>
      <c r="AQ200" s="125">
        <f>AI200*-Valores!$C$73</f>
        <v>0</v>
      </c>
      <c r="AR200" s="125">
        <f>AI200*Valores!$C$74</f>
        <v>-10150.213251750001</v>
      </c>
      <c r="AS200" s="125">
        <f>Valores!$C$101</f>
        <v>-1270</v>
      </c>
      <c r="AT200" s="125">
        <f>IF($F$5=0,Valores!$C$102,(Valores!$C$102+$F$5*(Valores!$C$102)))</f>
        <v>-3700</v>
      </c>
      <c r="AU200" s="125">
        <f t="shared" si="26"/>
        <v>145437.70545775</v>
      </c>
      <c r="AV200" s="125">
        <f t="shared" si="33"/>
        <v>-20300.426503500003</v>
      </c>
      <c r="AW200" s="125">
        <f t="shared" si="28"/>
        <v>-3690.9866370000004</v>
      </c>
      <c r="AX200" s="125">
        <f>AI200*Valores!$C$75</f>
        <v>-4982.83195995</v>
      </c>
      <c r="AY200" s="125">
        <f>AI200*Valores!$C$76</f>
        <v>-553.64799555</v>
      </c>
      <c r="AZ200" s="125">
        <f aca="true" t="shared" si="37" ref="AZ200:AZ263">AI200+AN200+SUM(AV200:AY200)</f>
        <v>155021.438754</v>
      </c>
      <c r="BA200" s="125">
        <f>AI200*Valores!$C$78</f>
        <v>29527.893096000003</v>
      </c>
      <c r="BB200" s="125">
        <f>AI200*Valores!$C$79</f>
        <v>12918.453229500003</v>
      </c>
      <c r="BC200" s="125">
        <f>AI200*Valores!$C$80</f>
        <v>1845.4933185000002</v>
      </c>
      <c r="BD200" s="125">
        <f>AI200*Valores!$C$82</f>
        <v>6459.226614750001</v>
      </c>
      <c r="BE200" s="125">
        <f>AI200*Valores!$C$84</f>
        <v>9965.6639199</v>
      </c>
      <c r="BF200" s="125">
        <f>AI200*Valores!$C$83</f>
        <v>1107.2959911</v>
      </c>
      <c r="BG200" s="126"/>
      <c r="BH200" s="126">
        <f t="shared" si="32"/>
        <v>10</v>
      </c>
      <c r="BI200" s="123" t="s">
        <v>4</v>
      </c>
    </row>
    <row r="201" spans="1:61" s="110" customFormat="1" ht="11.25" customHeight="1">
      <c r="A201" s="123" t="s">
        <v>469</v>
      </c>
      <c r="B201" s="123">
        <v>11</v>
      </c>
      <c r="C201" s="126">
        <v>194</v>
      </c>
      <c r="D201" s="124" t="str">
        <f t="shared" si="30"/>
        <v>Hora Cátedra Enseñanza Superior 11 hs</v>
      </c>
      <c r="E201" s="192">
        <f t="shared" si="31"/>
        <v>1089</v>
      </c>
      <c r="F201" s="125">
        <f>ROUND(E201*Valores!$C$2,2)</f>
        <v>64164.21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20663.42</v>
      </c>
      <c r="N201" s="125">
        <f t="shared" si="34"/>
        <v>0</v>
      </c>
      <c r="O201" s="125">
        <f>Valores!$C$7*B201</f>
        <v>21978.329999999998</v>
      </c>
      <c r="P201" s="125">
        <f>ROUND(IF(B201&lt;15,(Valores!$E$5*B201),Valores!$D$5),2)</f>
        <v>22088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11576.95</v>
      </c>
      <c r="S201" s="125">
        <f>Valores!$C$18*B201</f>
        <v>6912.509999999999</v>
      </c>
      <c r="T201" s="125">
        <f t="shared" si="27"/>
        <v>6912.51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IF(Valores!$C$98*B201&gt;Valores!$C$97,Valores!$C$97,Valores!$C$98*B201)</f>
        <v>21102.510000000002</v>
      </c>
      <c r="AA201" s="125">
        <f>IF((Valores!$C$28)*B201&gt;Valores!$F$28,Valores!$F$28,(Valores!$C$28)*B201)</f>
        <v>543.0699999999999</v>
      </c>
      <c r="AB201" s="214">
        <v>0</v>
      </c>
      <c r="AC201" s="125">
        <f t="shared" si="35"/>
        <v>0</v>
      </c>
      <c r="AD201" s="125">
        <f>IF(Valores!$C$29*B201&gt;Valores!$F$29,Valores!$F$29,Valores!$C$29*B201)</f>
        <v>452.21</v>
      </c>
      <c r="AE201" s="192">
        <v>0</v>
      </c>
      <c r="AF201" s="125">
        <f>ROUND(AE201*Valores!$C$2,2)</f>
        <v>0</v>
      </c>
      <c r="AG201" s="125">
        <f>SUM(F201,H201,J201,L201,M201,N201,O201,P201,Q201,R201,T201,U201,V201,X201,Y201,Z201,AA201,AC201,AD201,AF201,AH201)*Valores!$C$69</f>
        <v>23195.349390000003</v>
      </c>
      <c r="AH201" s="125">
        <f>IF($F$4="NO",IF(Valores!$D$63*'Escala Docente'!B201&gt;Valores!$F$63,Valores!$F$63,Valores!$D$63*'Escala Docente'!B201),IF(Valores!$D$63*'Escala Docente'!B201&gt;Valores!$F$63,Valores!$F$63,Valores!$D$63*'Escala Docente'!B201)/2)+0.02</f>
        <v>10327.7</v>
      </c>
      <c r="AI201" s="125">
        <f t="shared" si="29"/>
        <v>203004.25939000002</v>
      </c>
      <c r="AJ201" s="125">
        <f>IF(Valores!$C$32*B201&gt;Valores!$F$32,Valores!$F$32,Valores!$C$32*B201)</f>
        <v>0</v>
      </c>
      <c r="AK201" s="125">
        <f>IF(Valores!$C$91*B201&gt;Valores!$C$90,Valores!$C$90,Valores!$C$91*B201)</f>
        <v>0</v>
      </c>
      <c r="AL201" s="125">
        <f>IF(Valores!C$39*B201&gt;Valores!F$38,Valores!F$38,Valores!C$39*B201)</f>
        <v>0</v>
      </c>
      <c r="AM201" s="125">
        <f>IF($F$3="NO",0,IF(Valores!$C$61*B201&gt;Valores!$F$61,Valores!$F$61,Valores!$C$61*B201))</f>
        <v>0</v>
      </c>
      <c r="AN201" s="125">
        <f t="shared" si="36"/>
        <v>0</v>
      </c>
      <c r="AO201" s="125">
        <f>AI201*Valores!$C$71</f>
        <v>-22330.468532900002</v>
      </c>
      <c r="AP201" s="125">
        <f>AI201*Valores!$C$72</f>
        <v>-4060.0851878000003</v>
      </c>
      <c r="AQ201" s="125">
        <f>AI201*-Valores!$C$73</f>
        <v>0</v>
      </c>
      <c r="AR201" s="125">
        <f>AI201*Valores!$C$74</f>
        <v>-11165.234266450001</v>
      </c>
      <c r="AS201" s="125">
        <f>Valores!$C$101</f>
        <v>-1270</v>
      </c>
      <c r="AT201" s="125">
        <f>IF($F$5=0,Valores!$C$102,(Valores!$C$102+$F$5*(Valores!$C$102)))</f>
        <v>-3700</v>
      </c>
      <c r="AU201" s="125">
        <f aca="true" t="shared" si="38" ref="AU201:AU264">AI201+SUM(AN201:AT201)</f>
        <v>160478.47140285</v>
      </c>
      <c r="AV201" s="125">
        <f t="shared" si="33"/>
        <v>-22330.468532900002</v>
      </c>
      <c r="AW201" s="125">
        <f t="shared" si="28"/>
        <v>-4060.0851878000003</v>
      </c>
      <c r="AX201" s="125">
        <f>AI201*Valores!$C$75</f>
        <v>-5481.115003530001</v>
      </c>
      <c r="AY201" s="125">
        <f>AI201*Valores!$C$76</f>
        <v>-609.01277817</v>
      </c>
      <c r="AZ201" s="125">
        <f t="shared" si="37"/>
        <v>170523.57788760003</v>
      </c>
      <c r="BA201" s="125">
        <f>AI201*Valores!$C$78</f>
        <v>32480.681502400003</v>
      </c>
      <c r="BB201" s="125">
        <f>AI201*Valores!$C$79</f>
        <v>14210.298157300003</v>
      </c>
      <c r="BC201" s="125">
        <f>AI201*Valores!$C$80</f>
        <v>2030.0425939000002</v>
      </c>
      <c r="BD201" s="125">
        <f>AI201*Valores!$C$82</f>
        <v>7105.149078650002</v>
      </c>
      <c r="BE201" s="125">
        <f>AI201*Valores!$C$84</f>
        <v>10962.230007060001</v>
      </c>
      <c r="BF201" s="125">
        <f>AI201*Valores!$C$83</f>
        <v>1218.02555634</v>
      </c>
      <c r="BG201" s="126"/>
      <c r="BH201" s="126">
        <f t="shared" si="32"/>
        <v>11</v>
      </c>
      <c r="BI201" s="123" t="s">
        <v>4</v>
      </c>
    </row>
    <row r="202" spans="1:61" s="110" customFormat="1" ht="11.25" customHeight="1">
      <c r="A202" s="123" t="s">
        <v>469</v>
      </c>
      <c r="B202" s="123">
        <v>12</v>
      </c>
      <c r="C202" s="126">
        <v>195</v>
      </c>
      <c r="D202" s="124" t="str">
        <f t="shared" si="30"/>
        <v>Hora Cátedra Enseñanza Superior 12 hs</v>
      </c>
      <c r="E202" s="192">
        <f t="shared" si="31"/>
        <v>1188</v>
      </c>
      <c r="F202" s="125">
        <f>ROUND(E202*Valores!$C$2,2)</f>
        <v>69997.32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22541.91</v>
      </c>
      <c r="N202" s="125">
        <f t="shared" si="34"/>
        <v>0</v>
      </c>
      <c r="O202" s="125">
        <f>Valores!$C$7*B202</f>
        <v>23976.36</v>
      </c>
      <c r="P202" s="125">
        <f>ROUND(IF(B202&lt;15,(Valores!$E$5*B202),Valores!$D$5),2)</f>
        <v>24096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12629.400000000001</v>
      </c>
      <c r="S202" s="125">
        <f>Valores!$C$18*B202</f>
        <v>7540.92</v>
      </c>
      <c r="T202" s="125">
        <f t="shared" si="27"/>
        <v>7540.92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IF(Valores!$C$98*B202&gt;Valores!$C$97,Valores!$C$97,Valores!$C$98*B202)</f>
        <v>23020.920000000002</v>
      </c>
      <c r="AA202" s="125">
        <f>IF((Valores!$C$28)*B202&gt;Valores!$F$28,Valores!$F$28,(Valores!$C$28)*B202)</f>
        <v>592.4399999999999</v>
      </c>
      <c r="AB202" s="214">
        <v>0</v>
      </c>
      <c r="AC202" s="125">
        <f t="shared" si="35"/>
        <v>0</v>
      </c>
      <c r="AD202" s="125">
        <f>IF(Valores!$C$29*B202&gt;Valores!$F$29,Valores!$F$29,Valores!$C$29*B202)</f>
        <v>493.32</v>
      </c>
      <c r="AE202" s="192">
        <v>0</v>
      </c>
      <c r="AF202" s="125">
        <f>ROUND(AE202*Valores!$C$2,2)</f>
        <v>0</v>
      </c>
      <c r="AG202" s="125">
        <f>SUM(F202,H202,J202,L202,M202,N202,O202,P202,Q202,R202,T202,U202,V202,X202,Y202,Z202,AA202,AC202,AD202,AF202,AH202)*Valores!$C$69</f>
        <v>25304.016930000005</v>
      </c>
      <c r="AH202" s="125">
        <f>IF($F$4="NO",IF(Valores!$D$63*'Escala Docente'!B202&gt;Valores!$F$63,Valores!$F$63,Valores!$D$63*'Escala Docente'!B202),IF(Valores!$D$63*'Escala Docente'!B202&gt;Valores!$F$63,Valores!$F$63,Valores!$D$63*'Escala Docente'!B202)/2)+0.02</f>
        <v>11266.58</v>
      </c>
      <c r="AI202" s="125">
        <f t="shared" si="29"/>
        <v>221459.18693000005</v>
      </c>
      <c r="AJ202" s="125">
        <f>IF(Valores!$C$32*B202&gt;Valores!$F$32,Valores!$F$32,Valores!$C$32*B202)</f>
        <v>0</v>
      </c>
      <c r="AK202" s="125">
        <f>IF(Valores!$C$91*B202&gt;Valores!$C$90,Valores!$C$90,Valores!$C$91*B202)</f>
        <v>0</v>
      </c>
      <c r="AL202" s="125">
        <f>IF(Valores!C$39*B202&gt;Valores!F$38,Valores!F$38,Valores!C$39*B202)</f>
        <v>0</v>
      </c>
      <c r="AM202" s="125">
        <f>IF($F$3="NO",0,IF(Valores!$C$61*B202&gt;Valores!$F$61,Valores!$F$61,Valores!$C$61*B202))</f>
        <v>0</v>
      </c>
      <c r="AN202" s="125">
        <f t="shared" si="36"/>
        <v>0</v>
      </c>
      <c r="AO202" s="125">
        <f>AI202*Valores!$C$71</f>
        <v>-24360.510562300005</v>
      </c>
      <c r="AP202" s="125">
        <f>AI202*Valores!$C$72</f>
        <v>-4429.183738600002</v>
      </c>
      <c r="AQ202" s="125">
        <f>AI202*-Valores!$C$73</f>
        <v>0</v>
      </c>
      <c r="AR202" s="125">
        <f>AI202*Valores!$C$74</f>
        <v>-12180.255281150003</v>
      </c>
      <c r="AS202" s="125">
        <f>Valores!$C$101</f>
        <v>-1270</v>
      </c>
      <c r="AT202" s="125">
        <f>IF($F$5=0,Valores!$C$102,(Valores!$C$102+$F$5*(Valores!$C$102)))</f>
        <v>-3700</v>
      </c>
      <c r="AU202" s="125">
        <f t="shared" si="38"/>
        <v>175519.23734795005</v>
      </c>
      <c r="AV202" s="125">
        <f t="shared" si="33"/>
        <v>-24360.510562300005</v>
      </c>
      <c r="AW202" s="125">
        <f t="shared" si="28"/>
        <v>-4429.183738600002</v>
      </c>
      <c r="AX202" s="125">
        <f>AI202*Valores!$C$75</f>
        <v>-5979.398047110001</v>
      </c>
      <c r="AY202" s="125">
        <f>AI202*Valores!$C$76</f>
        <v>-664.3775607900002</v>
      </c>
      <c r="AZ202" s="125">
        <f t="shared" si="37"/>
        <v>186025.71702120005</v>
      </c>
      <c r="BA202" s="125">
        <f>AI202*Valores!$C$78</f>
        <v>35433.46990880001</v>
      </c>
      <c r="BB202" s="125">
        <f>AI202*Valores!$C$79</f>
        <v>15502.143085100006</v>
      </c>
      <c r="BC202" s="125">
        <f>AI202*Valores!$C$80</f>
        <v>2214.591869300001</v>
      </c>
      <c r="BD202" s="125">
        <f>AI202*Valores!$C$82</f>
        <v>7751.071542550003</v>
      </c>
      <c r="BE202" s="125">
        <f>AI202*Valores!$C$84</f>
        <v>11958.796094220002</v>
      </c>
      <c r="BF202" s="125">
        <f>AI202*Valores!$C$83</f>
        <v>1328.7551215800004</v>
      </c>
      <c r="BG202" s="126"/>
      <c r="BH202" s="126">
        <f t="shared" si="32"/>
        <v>12</v>
      </c>
      <c r="BI202" s="123" t="s">
        <v>4</v>
      </c>
    </row>
    <row r="203" spans="1:61" s="110" customFormat="1" ht="11.25" customHeight="1">
      <c r="A203" s="123" t="s">
        <v>469</v>
      </c>
      <c r="B203" s="123">
        <v>13</v>
      </c>
      <c r="C203" s="126">
        <v>196</v>
      </c>
      <c r="D203" s="124" t="str">
        <f t="shared" si="30"/>
        <v>Hora Cátedra Enseñanza Superior 13 hs</v>
      </c>
      <c r="E203" s="192">
        <f t="shared" si="31"/>
        <v>1287</v>
      </c>
      <c r="F203" s="125">
        <f>ROUND(E203*Valores!$C$2,2)</f>
        <v>75830.43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24420.4</v>
      </c>
      <c r="N203" s="125">
        <f t="shared" si="34"/>
        <v>0</v>
      </c>
      <c r="O203" s="125">
        <f>Valores!$C$7*B203</f>
        <v>25974.39</v>
      </c>
      <c r="P203" s="125">
        <f>ROUND(IF(B203&lt;15,(Valores!$E$5*B203),Valores!$D$5),2)</f>
        <v>26104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13681.85</v>
      </c>
      <c r="S203" s="125">
        <f>Valores!$C$18*B203</f>
        <v>8169.33</v>
      </c>
      <c r="T203" s="125">
        <f aca="true" t="shared" si="39" ref="T203:T266">ROUND(S203*(1+$H$2),2)</f>
        <v>8169.33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IF(Valores!$C$98*B203&gt;Valores!$C$97,Valores!$C$97,Valores!$C$98*B203)</f>
        <v>24939.33</v>
      </c>
      <c r="AA203" s="125">
        <f>IF((Valores!$C$28)*B203&gt;Valores!$F$28,Valores!$F$28,(Valores!$C$28)*B203)</f>
        <v>641.81</v>
      </c>
      <c r="AB203" s="214">
        <v>0</v>
      </c>
      <c r="AC203" s="125">
        <f t="shared" si="35"/>
        <v>0</v>
      </c>
      <c r="AD203" s="125">
        <f>IF(Valores!$C$29*B203&gt;Valores!$F$29,Valores!$F$29,Valores!$C$29*B203)</f>
        <v>534.43</v>
      </c>
      <c r="AE203" s="192">
        <v>0</v>
      </c>
      <c r="AF203" s="125">
        <f>ROUND(AE203*Valores!$C$2,2)</f>
        <v>0</v>
      </c>
      <c r="AG203" s="125">
        <f>SUM(F203,H203,J203,L203,M203,N203,O203,P203,Q203,R203,T203,U203,V203,X203,Y203,Z203,AA203,AC203,AD203,AF203,AH203)*Valores!$C$69</f>
        <v>27412.685759999997</v>
      </c>
      <c r="AH203" s="125">
        <f>IF($F$4="NO",IF(Valores!$D$63*'Escala Docente'!B203&gt;Valores!$F$63,Valores!$F$63,Valores!$D$63*'Escala Docente'!B203),IF(Valores!$D$63*'Escala Docente'!B203&gt;Valores!$F$63,Valores!$F$63,Valores!$D$63*'Escala Docente'!B203)/2)+0.03</f>
        <v>12205.470000000001</v>
      </c>
      <c r="AI203" s="125">
        <f t="shared" si="29"/>
        <v>239914.12575999997</v>
      </c>
      <c r="AJ203" s="125">
        <f>IF(Valores!$C$32*B203&gt;Valores!$F$32,Valores!$F$32,Valores!$C$32*B203)</f>
        <v>0</v>
      </c>
      <c r="AK203" s="125">
        <f>IF(Valores!$C$91*B203&gt;Valores!$C$90,Valores!$C$90,Valores!$C$91*B203)</f>
        <v>0</v>
      </c>
      <c r="AL203" s="125">
        <f>IF(Valores!C$39*B203&gt;Valores!F$38,Valores!F$38,Valores!C$39*B203)</f>
        <v>0</v>
      </c>
      <c r="AM203" s="125">
        <f>IF($F$3="NO",0,IF(Valores!$C$61*B203&gt;Valores!$F$61,Valores!$F$61,Valores!$C$61*B203))</f>
        <v>0</v>
      </c>
      <c r="AN203" s="125">
        <f t="shared" si="36"/>
        <v>0</v>
      </c>
      <c r="AO203" s="125">
        <f>AI203*Valores!$C$71</f>
        <v>-26390.553833599995</v>
      </c>
      <c r="AP203" s="125">
        <f>AI203*Valores!$C$72</f>
        <v>-4798.2825152</v>
      </c>
      <c r="AQ203" s="125">
        <f>AI203*-Valores!$C$73</f>
        <v>0</v>
      </c>
      <c r="AR203" s="125">
        <f>AI203*Valores!$C$74</f>
        <v>-13195.276916799998</v>
      </c>
      <c r="AS203" s="125">
        <f>Valores!$C$101</f>
        <v>-1270</v>
      </c>
      <c r="AT203" s="125">
        <f>IF($F$5=0,Valores!$C$102,(Valores!$C$102+$F$5*(Valores!$C$102)))</f>
        <v>-3700</v>
      </c>
      <c r="AU203" s="125">
        <f t="shared" si="38"/>
        <v>190560.01249439997</v>
      </c>
      <c r="AV203" s="125">
        <f t="shared" si="33"/>
        <v>-26390.553833599995</v>
      </c>
      <c r="AW203" s="125">
        <f t="shared" si="28"/>
        <v>-4798.2825152</v>
      </c>
      <c r="AX203" s="125">
        <f>AI203*Valores!$C$75</f>
        <v>-6477.681395519999</v>
      </c>
      <c r="AY203" s="125">
        <f>AI203*Valores!$C$76</f>
        <v>-719.7423772799999</v>
      </c>
      <c r="AZ203" s="125">
        <f t="shared" si="37"/>
        <v>201527.86563839996</v>
      </c>
      <c r="BA203" s="125">
        <f>AI203*Valores!$C$78</f>
        <v>38386.2601216</v>
      </c>
      <c r="BB203" s="125">
        <f>AI203*Valores!$C$79</f>
        <v>16793.988803199998</v>
      </c>
      <c r="BC203" s="125">
        <f>AI203*Valores!$C$80</f>
        <v>2399.1412576</v>
      </c>
      <c r="BD203" s="125">
        <f>AI203*Valores!$C$82</f>
        <v>8396.994401599999</v>
      </c>
      <c r="BE203" s="125">
        <f>AI203*Valores!$C$84</f>
        <v>12955.362791039997</v>
      </c>
      <c r="BF203" s="125">
        <f>AI203*Valores!$C$83</f>
        <v>1439.4847545599998</v>
      </c>
      <c r="BG203" s="126"/>
      <c r="BH203" s="126">
        <f t="shared" si="32"/>
        <v>13</v>
      </c>
      <c r="BI203" s="123" t="s">
        <v>4</v>
      </c>
    </row>
    <row r="204" spans="1:61" s="110" customFormat="1" ht="11.25" customHeight="1">
      <c r="A204" s="123" t="s">
        <v>469</v>
      </c>
      <c r="B204" s="123">
        <v>14</v>
      </c>
      <c r="C204" s="126">
        <v>197</v>
      </c>
      <c r="D204" s="124" t="str">
        <f t="shared" si="30"/>
        <v>Hora Cátedra Enseñanza Superior 14 hs</v>
      </c>
      <c r="E204" s="192">
        <f t="shared" si="31"/>
        <v>1386</v>
      </c>
      <c r="F204" s="125">
        <f>ROUND(E204*Valores!$C$2,2)</f>
        <v>81663.54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26298.9</v>
      </c>
      <c r="N204" s="125">
        <f t="shared" si="34"/>
        <v>0</v>
      </c>
      <c r="O204" s="125">
        <f>Valores!$C$7*B204</f>
        <v>27972.42</v>
      </c>
      <c r="P204" s="125">
        <f>ROUND(IF(B204&lt;15,(Valores!$E$5*B204),Valores!$D$5),2)</f>
        <v>28112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14734.300000000001</v>
      </c>
      <c r="S204" s="125">
        <f>Valores!$C$18*B204</f>
        <v>8797.74</v>
      </c>
      <c r="T204" s="125">
        <f t="shared" si="39"/>
        <v>8797.74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IF(Valores!$C$98*B204&gt;Valores!$C$97,Valores!$C$97,Valores!$C$98*B204)</f>
        <v>26857.74</v>
      </c>
      <c r="AA204" s="125">
        <f>IF((Valores!$C$28)*B204&gt;Valores!$F$28,Valores!$F$28,(Valores!$C$28)*B204)</f>
        <v>691.18</v>
      </c>
      <c r="AB204" s="214">
        <v>0</v>
      </c>
      <c r="AC204" s="125">
        <f t="shared" si="35"/>
        <v>0</v>
      </c>
      <c r="AD204" s="125">
        <f>IF(Valores!$C$29*B204&gt;Valores!$F$29,Valores!$F$29,Valores!$C$29*B204)</f>
        <v>575.54</v>
      </c>
      <c r="AE204" s="192">
        <v>0</v>
      </c>
      <c r="AF204" s="125">
        <f>ROUND(AE204*Valores!$C$2,2)</f>
        <v>0</v>
      </c>
      <c r="AG204" s="125">
        <f>SUM(F204,H204,J204,L204,M204,N204,O204,P204,Q204,R204,T204,U204,V204,X204,Y204,Z204,AA204,AC204,AD204,AF204,AH204)*Valores!$C$69</f>
        <v>29521.354589999995</v>
      </c>
      <c r="AH204" s="125">
        <f>IF($F$4="NO",IF(Valores!$D$63*'Escala Docente'!B204&gt;Valores!$F$63,Valores!$F$63,Valores!$D$63*'Escala Docente'!B204),IF(Valores!$D$63*'Escala Docente'!B204&gt;Valores!$F$63,Valores!$F$63,Valores!$D$63*'Escala Docente'!B204)/2)+0.03</f>
        <v>13144.35</v>
      </c>
      <c r="AI204" s="125">
        <f t="shared" si="29"/>
        <v>258369.06458999997</v>
      </c>
      <c r="AJ204" s="125">
        <f>IF(Valores!$C$32*B204&gt;Valores!$F$32,Valores!$F$32,Valores!$C$32*B204)</f>
        <v>0</v>
      </c>
      <c r="AK204" s="125">
        <f>IF(Valores!$C$91*B204&gt;Valores!$C$90,Valores!$C$90,Valores!$C$91*B204)</f>
        <v>0</v>
      </c>
      <c r="AL204" s="125">
        <f>IF(Valores!C$39*B204&gt;Valores!F$38,Valores!F$38,Valores!C$39*B204)</f>
        <v>0</v>
      </c>
      <c r="AM204" s="125">
        <f>IF($F$3="NO",0,IF(Valores!$C$61*B204&gt;Valores!$F$61,Valores!$F$61,Valores!$C$61*B204))</f>
        <v>0</v>
      </c>
      <c r="AN204" s="125">
        <f t="shared" si="36"/>
        <v>0</v>
      </c>
      <c r="AO204" s="125">
        <f>AI204*Valores!$C$71</f>
        <v>-28420.597104899996</v>
      </c>
      <c r="AP204" s="125">
        <f>AI204*Valores!$C$72</f>
        <v>-5167.381291799999</v>
      </c>
      <c r="AQ204" s="125">
        <f>AI204*-Valores!$C$73</f>
        <v>0</v>
      </c>
      <c r="AR204" s="125">
        <f>AI204*Valores!$C$74</f>
        <v>-14210.298552449998</v>
      </c>
      <c r="AS204" s="125">
        <f>Valores!$C$101</f>
        <v>-1270</v>
      </c>
      <c r="AT204" s="125">
        <f>IF($F$5=0,Valores!$C$102,(Valores!$C$102+$F$5*(Valores!$C$102)))</f>
        <v>-3700</v>
      </c>
      <c r="AU204" s="125">
        <f t="shared" si="38"/>
        <v>205600.78764084997</v>
      </c>
      <c r="AV204" s="125">
        <f t="shared" si="33"/>
        <v>-28420.597104899996</v>
      </c>
      <c r="AW204" s="125">
        <f aca="true" t="shared" si="40" ref="AW204:AW267">AP204</f>
        <v>-5167.381291799999</v>
      </c>
      <c r="AX204" s="125">
        <f>AI204*Valores!$C$75</f>
        <v>-6975.964743929999</v>
      </c>
      <c r="AY204" s="125">
        <f>AI204*Valores!$C$76</f>
        <v>-775.1071937699999</v>
      </c>
      <c r="AZ204" s="125">
        <f t="shared" si="37"/>
        <v>217030.01425559996</v>
      </c>
      <c r="BA204" s="125">
        <f>AI204*Valores!$C$78</f>
        <v>41339.050334399995</v>
      </c>
      <c r="BB204" s="125">
        <f>AI204*Valores!$C$79</f>
        <v>18085.8345213</v>
      </c>
      <c r="BC204" s="125">
        <f>AI204*Valores!$C$80</f>
        <v>2583.6906458999997</v>
      </c>
      <c r="BD204" s="125">
        <f>AI204*Valores!$C$82</f>
        <v>9042.91726065</v>
      </c>
      <c r="BE204" s="125">
        <f>AI204*Valores!$C$84</f>
        <v>13951.929487859998</v>
      </c>
      <c r="BF204" s="125">
        <f>AI204*Valores!$C$83</f>
        <v>1550.2143875399997</v>
      </c>
      <c r="BG204" s="126"/>
      <c r="BH204" s="126">
        <f t="shared" si="32"/>
        <v>14</v>
      </c>
      <c r="BI204" s="123" t="s">
        <v>4</v>
      </c>
    </row>
    <row r="205" spans="1:61" s="110" customFormat="1" ht="11.25" customHeight="1">
      <c r="A205" s="123" t="s">
        <v>469</v>
      </c>
      <c r="B205" s="123">
        <v>15</v>
      </c>
      <c r="C205" s="126">
        <v>198</v>
      </c>
      <c r="D205" s="124" t="str">
        <f t="shared" si="30"/>
        <v>Hora Cátedra Enseñanza Superior 15 hs</v>
      </c>
      <c r="E205" s="192">
        <f t="shared" si="31"/>
        <v>1485</v>
      </c>
      <c r="F205" s="125">
        <f>ROUND(E205*Valores!$C$2,2)</f>
        <v>87496.65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28177.39</v>
      </c>
      <c r="N205" s="125">
        <f t="shared" si="34"/>
        <v>0</v>
      </c>
      <c r="O205" s="125">
        <f>Valores!$C$7*B205</f>
        <v>29970.45</v>
      </c>
      <c r="P205" s="125">
        <f>ROUND(IF(B205&lt;15,(Valores!$E$5*B205),Valores!$D$5),2)</f>
        <v>30120.06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15786.75</v>
      </c>
      <c r="S205" s="125">
        <f>Valores!$C$18*B205</f>
        <v>9426.15</v>
      </c>
      <c r="T205" s="125">
        <f t="shared" si="39"/>
        <v>9426.15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IF(Valores!$C$98*B205&gt;Valores!$C$97,Valores!$C$97,Valores!$C$98*B205)</f>
        <v>28776.15</v>
      </c>
      <c r="AA205" s="125">
        <f>IF((Valores!$C$28)*B205&gt;Valores!$F$28,Valores!$F$28,(Valores!$C$28)*B205)</f>
        <v>740.55</v>
      </c>
      <c r="AB205" s="214">
        <v>0</v>
      </c>
      <c r="AC205" s="125">
        <f t="shared" si="35"/>
        <v>0</v>
      </c>
      <c r="AD205" s="125">
        <f>IF(Valores!$C$29*B205&gt;Valores!$F$29,Valores!$F$29,Valores!$C$29*B205)</f>
        <v>616.65</v>
      </c>
      <c r="AE205" s="192">
        <v>0</v>
      </c>
      <c r="AF205" s="125">
        <f>ROUND(AE205*Valores!$C$2,2)</f>
        <v>0</v>
      </c>
      <c r="AG205" s="125">
        <f>SUM(F205,H205,J205,L205,M205,N205,O205,P205,Q205,R205,T205,U205,V205,X205,Y205,Z205,AA205,AC205,AD205,AF205,AH205)*Valores!$C$69</f>
        <v>31630.02987</v>
      </c>
      <c r="AH205" s="125">
        <f>IF($F$4="NO",IF(Valores!$D$63*'Escala Docente'!B205&gt;Valores!$F$63,Valores!$F$63,Valores!$D$63*'Escala Docente'!B205),IF(Valores!$D$63*'Escala Docente'!B205&gt;Valores!$F$63,Valores!$F$63,Valores!$D$63*'Escala Docente'!B205)/2)+0.03</f>
        <v>14083.230000000001</v>
      </c>
      <c r="AI205" s="125">
        <f t="shared" si="29"/>
        <v>276824.05986999994</v>
      </c>
      <c r="AJ205" s="125">
        <f>IF(Valores!$C$32*B205&gt;Valores!$F$32,Valores!$F$32,Valores!$C$32*B205)</f>
        <v>0</v>
      </c>
      <c r="AK205" s="125">
        <f>IF(Valores!$C$91*B205&gt;Valores!$C$90,Valores!$C$90,Valores!$C$91*B205)</f>
        <v>0</v>
      </c>
      <c r="AL205" s="125">
        <f>IF(Valores!C$39*B205&gt;Valores!F$38,Valores!F$38,Valores!C$39*B205)</f>
        <v>0</v>
      </c>
      <c r="AM205" s="125">
        <f>IF($F$3="NO",0,IF(Valores!$C$61*B205&gt;Valores!$F$61,Valores!$F$61,Valores!$C$61*B205))</f>
        <v>0</v>
      </c>
      <c r="AN205" s="125">
        <f t="shared" si="36"/>
        <v>0</v>
      </c>
      <c r="AO205" s="125">
        <f>AI205*Valores!$C$71</f>
        <v>-30450.646585699993</v>
      </c>
      <c r="AP205" s="125">
        <f>AI205*Valores!$C$72</f>
        <v>-5536.481197399999</v>
      </c>
      <c r="AQ205" s="125">
        <f>AI205*-Valores!$C$73</f>
        <v>0</v>
      </c>
      <c r="AR205" s="125">
        <f>AI205*Valores!$C$74</f>
        <v>-15225.323292849997</v>
      </c>
      <c r="AS205" s="125">
        <f>Valores!$C$101</f>
        <v>-1270</v>
      </c>
      <c r="AT205" s="125">
        <f>IF($F$5=0,Valores!$C$102,(Valores!$C$102+$F$5*(Valores!$C$102)))</f>
        <v>-3700</v>
      </c>
      <c r="AU205" s="125">
        <f t="shared" si="38"/>
        <v>220641.60879404994</v>
      </c>
      <c r="AV205" s="125">
        <f t="shared" si="33"/>
        <v>-30450.646585699993</v>
      </c>
      <c r="AW205" s="125">
        <f t="shared" si="40"/>
        <v>-5536.481197399999</v>
      </c>
      <c r="AX205" s="125">
        <f>AI205*Valores!$C$75</f>
        <v>-7474.2496164899985</v>
      </c>
      <c r="AY205" s="125">
        <f>AI205*Valores!$C$76</f>
        <v>-830.4721796099998</v>
      </c>
      <c r="AZ205" s="125">
        <f t="shared" si="37"/>
        <v>232532.21029079997</v>
      </c>
      <c r="BA205" s="125">
        <f>AI205*Valores!$C$78</f>
        <v>44291.84957919999</v>
      </c>
      <c r="BB205" s="125">
        <f>AI205*Valores!$C$79</f>
        <v>19377.684190899996</v>
      </c>
      <c r="BC205" s="125">
        <f>AI205*Valores!$C$80</f>
        <v>2768.2405986999993</v>
      </c>
      <c r="BD205" s="125">
        <f>AI205*Valores!$C$82</f>
        <v>9688.842095449998</v>
      </c>
      <c r="BE205" s="125">
        <f>AI205*Valores!$C$84</f>
        <v>14948.499232979997</v>
      </c>
      <c r="BF205" s="125">
        <f>AI205*Valores!$C$83</f>
        <v>1660.9443592199996</v>
      </c>
      <c r="BG205" s="126"/>
      <c r="BH205" s="126">
        <f t="shared" si="32"/>
        <v>15</v>
      </c>
      <c r="BI205" s="123" t="s">
        <v>4</v>
      </c>
    </row>
    <row r="206" spans="1:61" s="110" customFormat="1" ht="11.25" customHeight="1">
      <c r="A206" s="123" t="s">
        <v>469</v>
      </c>
      <c r="B206" s="123">
        <v>16</v>
      </c>
      <c r="C206" s="126">
        <v>199</v>
      </c>
      <c r="D206" s="124" t="str">
        <f t="shared" si="30"/>
        <v>Hora Cátedra Enseñanza Superior 16 hs</v>
      </c>
      <c r="E206" s="192">
        <f t="shared" si="31"/>
        <v>1584</v>
      </c>
      <c r="F206" s="125">
        <f>ROUND(E206*Valores!$C$2,2)</f>
        <v>93329.76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30055.88</v>
      </c>
      <c r="N206" s="125">
        <f t="shared" si="34"/>
        <v>0</v>
      </c>
      <c r="O206" s="125">
        <f>Valores!$C$7*B206</f>
        <v>31968.48</v>
      </c>
      <c r="P206" s="125">
        <f>ROUND(IF(B206&lt;15,(Valores!$E$5*B206),Valores!$D$5),2)</f>
        <v>30120.06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16839.2</v>
      </c>
      <c r="S206" s="125">
        <f>Valores!$C$18*B206</f>
        <v>10054.56</v>
      </c>
      <c r="T206" s="125">
        <f t="shared" si="39"/>
        <v>10054.56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IF(Valores!$C$98*B206&gt;Valores!$C$97,Valores!$C$97,Valores!$C$98*B206)</f>
        <v>30694.56</v>
      </c>
      <c r="AA206" s="125">
        <f>IF((Valores!$C$28)*B206&gt;Valores!$F$28,Valores!$F$28,(Valores!$C$28)*B206)</f>
        <v>789.92</v>
      </c>
      <c r="AB206" s="214">
        <v>0</v>
      </c>
      <c r="AC206" s="125">
        <f t="shared" si="35"/>
        <v>0</v>
      </c>
      <c r="AD206" s="125">
        <f>IF(Valores!$C$29*B206&gt;Valores!$F$29,Valores!$F$29,Valores!$C$29*B206)</f>
        <v>657.76</v>
      </c>
      <c r="AE206" s="192">
        <v>0</v>
      </c>
      <c r="AF206" s="125">
        <f>ROUND(AE206*Valores!$C$2,2)</f>
        <v>0</v>
      </c>
      <c r="AG206" s="125">
        <f>SUM(F206,H206,J206,L206,M206,N206,O206,P206,Q206,R206,T206,U206,V206,X206,Y206,Z206,AA206,AC206,AD206,AF206,AH206)*Valores!$C$69</f>
        <v>33479.66541000001</v>
      </c>
      <c r="AH206" s="125">
        <f>IF($F$4="NO",IF(Valores!$D$63*'Escala Docente'!B206&gt;Valores!$F$63,Valores!$F$63,Valores!$D$63*'Escala Docente'!B206),IF(Valores!$D$63*'Escala Docente'!B206&gt;Valores!$F$63,Valores!$F$63,Valores!$D$63*'Escala Docente'!B206)/2)+0.03</f>
        <v>15022.11</v>
      </c>
      <c r="AI206" s="125">
        <f t="shared" si="29"/>
        <v>293011.95541</v>
      </c>
      <c r="AJ206" s="125">
        <f>IF(Valores!$C$32*B206&gt;Valores!$F$32,Valores!$F$32,Valores!$C$32*B206)</f>
        <v>0</v>
      </c>
      <c r="AK206" s="125">
        <f>IF(Valores!$C$91*B206&gt;Valores!$C$90,Valores!$C$90,Valores!$C$91*B206)</f>
        <v>0</v>
      </c>
      <c r="AL206" s="125">
        <f>IF(Valores!C$39*B206&gt;Valores!F$38,Valores!F$38,Valores!C$39*B206)</f>
        <v>0</v>
      </c>
      <c r="AM206" s="125">
        <f>IF($F$3="NO",0,IF(Valores!$C$61*B206&gt;Valores!$F$61,Valores!$F$61,Valores!$C$61*B206))</f>
        <v>0</v>
      </c>
      <c r="AN206" s="125">
        <f t="shared" si="36"/>
        <v>0</v>
      </c>
      <c r="AO206" s="125">
        <f>AI206*Valores!$C$71</f>
        <v>-32231.3150951</v>
      </c>
      <c r="AP206" s="125">
        <f>AI206*Valores!$C$72</f>
        <v>-5860.2391082</v>
      </c>
      <c r="AQ206" s="125">
        <f>AI206*-Valores!$C$73</f>
        <v>0</v>
      </c>
      <c r="AR206" s="125">
        <f>AI206*Valores!$C$74</f>
        <v>-16115.65754755</v>
      </c>
      <c r="AS206" s="125">
        <f>Valores!$C$101</f>
        <v>-1270</v>
      </c>
      <c r="AT206" s="125">
        <f>IF($F$5=0,Valores!$C$102,(Valores!$C$102+$F$5*(Valores!$C$102)))</f>
        <v>-3700</v>
      </c>
      <c r="AU206" s="125">
        <f t="shared" si="38"/>
        <v>233834.74365915</v>
      </c>
      <c r="AV206" s="125">
        <f t="shared" si="33"/>
        <v>-32231.3150951</v>
      </c>
      <c r="AW206" s="125">
        <f t="shared" si="40"/>
        <v>-5860.2391082</v>
      </c>
      <c r="AX206" s="125">
        <f>AI206*Valores!$C$75</f>
        <v>-7911.32279607</v>
      </c>
      <c r="AY206" s="125">
        <f>AI206*Valores!$C$76</f>
        <v>-879.03586623</v>
      </c>
      <c r="AZ206" s="125">
        <f t="shared" si="37"/>
        <v>246130.0425444</v>
      </c>
      <c r="BA206" s="125">
        <f>AI206*Valores!$C$78</f>
        <v>46881.9128656</v>
      </c>
      <c r="BB206" s="125">
        <f>AI206*Valores!$C$79</f>
        <v>20510.8368787</v>
      </c>
      <c r="BC206" s="125">
        <f>AI206*Valores!$C$80</f>
        <v>2930.1195541</v>
      </c>
      <c r="BD206" s="125">
        <f>AI206*Valores!$C$82</f>
        <v>10255.41843935</v>
      </c>
      <c r="BE206" s="125">
        <f>AI206*Valores!$C$84</f>
        <v>15822.64559214</v>
      </c>
      <c r="BF206" s="125">
        <f>AI206*Valores!$C$83</f>
        <v>1758.07173246</v>
      </c>
      <c r="BG206" s="126"/>
      <c r="BH206" s="126">
        <f t="shared" si="32"/>
        <v>16</v>
      </c>
      <c r="BI206" s="123" t="s">
        <v>4</v>
      </c>
    </row>
    <row r="207" spans="1:61" s="110" customFormat="1" ht="11.25" customHeight="1">
      <c r="A207" s="123" t="s">
        <v>469</v>
      </c>
      <c r="B207" s="123">
        <v>17</v>
      </c>
      <c r="C207" s="126">
        <v>200</v>
      </c>
      <c r="D207" s="124" t="str">
        <f t="shared" si="30"/>
        <v>Hora Cátedra Enseñanza Superior 17 hs</v>
      </c>
      <c r="E207" s="192">
        <f t="shared" si="31"/>
        <v>1683</v>
      </c>
      <c r="F207" s="125">
        <f>ROUND(E207*Valores!$C$2,2)</f>
        <v>99162.86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31934.37</v>
      </c>
      <c r="N207" s="125">
        <f t="shared" si="34"/>
        <v>0</v>
      </c>
      <c r="O207" s="125">
        <f>Valores!$C$7*B207</f>
        <v>33966.51</v>
      </c>
      <c r="P207" s="125">
        <f>ROUND(IF(B207&lt;15,(Valores!$E$5*B207),Valores!$D$5),2)</f>
        <v>30120.06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17891.65</v>
      </c>
      <c r="S207" s="125">
        <f>Valores!$C$18*B207</f>
        <v>10682.97</v>
      </c>
      <c r="T207" s="125">
        <f t="shared" si="39"/>
        <v>10682.97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IF(Valores!$C$98*B207&gt;Valores!$C$97,Valores!$C$97,Valores!$C$98*B207)</f>
        <v>32612.97</v>
      </c>
      <c r="AA207" s="125">
        <f>IF((Valores!$C$28)*B207&gt;Valores!$F$28,Valores!$F$28,(Valores!$C$28)*B207)</f>
        <v>839.29</v>
      </c>
      <c r="AB207" s="214">
        <v>0</v>
      </c>
      <c r="AC207" s="125">
        <f t="shared" si="35"/>
        <v>0</v>
      </c>
      <c r="AD207" s="125">
        <f>IF(Valores!$C$29*B207&gt;Valores!$F$29,Valores!$F$29,Valores!$C$29*B207)</f>
        <v>698.87</v>
      </c>
      <c r="AE207" s="192">
        <v>0</v>
      </c>
      <c r="AF207" s="125">
        <f>ROUND(AE207*Valores!$C$2,2)</f>
        <v>0</v>
      </c>
      <c r="AG207" s="125">
        <f>SUM(F207,H207,J207,L207,M207,N207,O207,P207,Q207,R207,T207,U207,V207,X207,Y207,Z207,AA207,AC207,AD207,AF207,AH207)*Valores!$C$69</f>
        <v>35329.299660000004</v>
      </c>
      <c r="AH207" s="125">
        <f>IF($F$4="NO",IF(Valores!$D$63*'Escala Docente'!B207&gt;Valores!$F$63,Valores!$F$63,Valores!$D$63*'Escala Docente'!B207),IF(Valores!$D$63*'Escala Docente'!B207&gt;Valores!$F$63,Valores!$F$63,Valores!$D$63*'Escala Docente'!B207)/2)+0.03</f>
        <v>15960.99</v>
      </c>
      <c r="AI207" s="125">
        <f t="shared" si="29"/>
        <v>309199.83966</v>
      </c>
      <c r="AJ207" s="125">
        <f>IF(Valores!$C$32*B207&gt;Valores!$F$32,Valores!$F$32,Valores!$C$32*B207)</f>
        <v>0</v>
      </c>
      <c r="AK207" s="125">
        <f>IF(Valores!$C$91*B207&gt;Valores!$C$90,Valores!$C$90,Valores!$C$91*B207)</f>
        <v>0</v>
      </c>
      <c r="AL207" s="125">
        <f>IF(Valores!C$39*B207&gt;Valores!F$38,Valores!F$38,Valores!C$39*B207)</f>
        <v>0</v>
      </c>
      <c r="AM207" s="125">
        <f>IF($F$3="NO",0,IF(Valores!$C$61*B207&gt;Valores!$F$61,Valores!$F$61,Valores!$C$61*B207))</f>
        <v>0</v>
      </c>
      <c r="AN207" s="125">
        <f t="shared" si="36"/>
        <v>0</v>
      </c>
      <c r="AO207" s="125">
        <f>AI207*Valores!$C$71</f>
        <v>-34011.9823626</v>
      </c>
      <c r="AP207" s="125">
        <f>AI207*Valores!$C$72</f>
        <v>-6183.9967932</v>
      </c>
      <c r="AQ207" s="125">
        <f>AI207*-Valores!$C$73</f>
        <v>0</v>
      </c>
      <c r="AR207" s="125">
        <f>AI207*Valores!$C$74</f>
        <v>-17005.9911813</v>
      </c>
      <c r="AS207" s="125">
        <f>Valores!$C$101</f>
        <v>-1270</v>
      </c>
      <c r="AT207" s="125">
        <f>IF($F$5=0,Valores!$C$102,(Valores!$C$102+$F$5*(Valores!$C$102)))</f>
        <v>-3700</v>
      </c>
      <c r="AU207" s="125">
        <f t="shared" si="38"/>
        <v>247027.8693229</v>
      </c>
      <c r="AV207" s="125">
        <f t="shared" si="33"/>
        <v>-34011.9823626</v>
      </c>
      <c r="AW207" s="125">
        <f t="shared" si="40"/>
        <v>-6183.9967932</v>
      </c>
      <c r="AX207" s="125">
        <f>AI207*Valores!$C$75</f>
        <v>-8348.39567082</v>
      </c>
      <c r="AY207" s="125">
        <f>AI207*Valores!$C$76</f>
        <v>-927.59951898</v>
      </c>
      <c r="AZ207" s="125">
        <f t="shared" si="37"/>
        <v>259727.8653144</v>
      </c>
      <c r="BA207" s="125">
        <f>AI207*Valores!$C$78</f>
        <v>49471.9743456</v>
      </c>
      <c r="BB207" s="125">
        <f>AI207*Valores!$C$79</f>
        <v>21643.988776200003</v>
      </c>
      <c r="BC207" s="125">
        <f>AI207*Valores!$C$80</f>
        <v>3091.9983966</v>
      </c>
      <c r="BD207" s="125">
        <f>AI207*Valores!$C$82</f>
        <v>10821.994388100002</v>
      </c>
      <c r="BE207" s="125">
        <f>AI207*Valores!$C$84</f>
        <v>16696.79134164</v>
      </c>
      <c r="BF207" s="125">
        <f>AI207*Valores!$C$83</f>
        <v>1855.19903796</v>
      </c>
      <c r="BG207" s="126"/>
      <c r="BH207" s="126">
        <f t="shared" si="32"/>
        <v>17</v>
      </c>
      <c r="BI207" s="123" t="s">
        <v>4</v>
      </c>
    </row>
    <row r="208" spans="1:61" s="110" customFormat="1" ht="11.25" customHeight="1">
      <c r="A208" s="123" t="s">
        <v>469</v>
      </c>
      <c r="B208" s="123">
        <v>18</v>
      </c>
      <c r="C208" s="126">
        <v>201</v>
      </c>
      <c r="D208" s="124" t="str">
        <f t="shared" si="30"/>
        <v>Hora Cátedra Enseñanza Superior 18 hs</v>
      </c>
      <c r="E208" s="192">
        <f t="shared" si="31"/>
        <v>1782</v>
      </c>
      <c r="F208" s="125">
        <f>ROUND(E208*Valores!$C$2,2)</f>
        <v>104995.97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33812.86</v>
      </c>
      <c r="N208" s="125">
        <f t="shared" si="34"/>
        <v>0</v>
      </c>
      <c r="O208" s="125">
        <f>Valores!$C$7*B208</f>
        <v>35964.54</v>
      </c>
      <c r="P208" s="125">
        <f>ROUND(IF(B208&lt;15,(Valores!$E$5*B208),Valores!$D$5),2)</f>
        <v>30120.06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18944.100000000002</v>
      </c>
      <c r="S208" s="125">
        <f>Valores!$C$18*B208</f>
        <v>11311.38</v>
      </c>
      <c r="T208" s="125">
        <f t="shared" si="39"/>
        <v>11311.38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IF(Valores!$C$98*B208&gt;Valores!$C$97,Valores!$C$97,Valores!$C$98*B208)</f>
        <v>34531.380000000005</v>
      </c>
      <c r="AA208" s="125">
        <f>IF((Valores!$C$28)*B208&gt;Valores!$F$28,Valores!$F$28,(Valores!$C$28)*B208)</f>
        <v>888.66</v>
      </c>
      <c r="AB208" s="214">
        <v>0</v>
      </c>
      <c r="AC208" s="125">
        <f t="shared" si="35"/>
        <v>0</v>
      </c>
      <c r="AD208" s="125">
        <f>IF(Valores!$C$29*B208&gt;Valores!$F$29,Valores!$F$29,Valores!$C$29*B208)</f>
        <v>739.98</v>
      </c>
      <c r="AE208" s="192">
        <v>0</v>
      </c>
      <c r="AF208" s="125">
        <f>ROUND(AE208*Valores!$C$2,2)</f>
        <v>0</v>
      </c>
      <c r="AG208" s="125">
        <f>SUM(F208,H208,J208,L208,M208,N208,O208,P208,Q208,R208,T208,U208,V208,X208,Y208,Z208,AA208,AC208,AD208,AF208,AH208)*Valores!$C$69</f>
        <v>37178.93649</v>
      </c>
      <c r="AH208" s="125">
        <f>IF($F$4="NO",IF(Valores!$D$63*'Escala Docente'!B208&gt;Valores!$F$63,Valores!$F$63,Valores!$D$63*'Escala Docente'!B208),IF(Valores!$D$63*'Escala Docente'!B208&gt;Valores!$F$63,Valores!$F$63,Valores!$D$63*'Escala Docente'!B208)/2)+0.04</f>
        <v>16899.88</v>
      </c>
      <c r="AI208" s="125">
        <f t="shared" si="29"/>
        <v>325387.74649</v>
      </c>
      <c r="AJ208" s="125">
        <f>IF(Valores!$C$32*B208&gt;Valores!$F$32,Valores!$F$32,Valores!$C$32*B208)</f>
        <v>0</v>
      </c>
      <c r="AK208" s="125">
        <f>IF(Valores!$C$91*B208&gt;Valores!$C$90,Valores!$C$90,Valores!$C$91*B208)</f>
        <v>0</v>
      </c>
      <c r="AL208" s="125">
        <f>IF(Valores!C$39*B208&gt;Valores!F$38,Valores!F$38,Valores!C$39*B208)</f>
        <v>0</v>
      </c>
      <c r="AM208" s="125">
        <f>IF($F$3="NO",0,IF(Valores!$C$61*B208&gt;Valores!$F$61,Valores!$F$61,Valores!$C$61*B208))</f>
        <v>0</v>
      </c>
      <c r="AN208" s="125">
        <f t="shared" si="36"/>
        <v>0</v>
      </c>
      <c r="AO208" s="125">
        <f>AI208*Valores!$C$71</f>
        <v>-35792.652113899996</v>
      </c>
      <c r="AP208" s="125">
        <f>AI208*Valores!$C$72</f>
        <v>-6507.7549298</v>
      </c>
      <c r="AQ208" s="125">
        <f>AI208*-Valores!$C$73</f>
        <v>0</v>
      </c>
      <c r="AR208" s="125">
        <f>AI208*Valores!$C$74</f>
        <v>-17896.326056949998</v>
      </c>
      <c r="AS208" s="125">
        <f>Valores!$C$101</f>
        <v>-1270</v>
      </c>
      <c r="AT208" s="125">
        <f>IF($F$5=0,Valores!$C$102,(Valores!$C$102+$F$5*(Valores!$C$102)))</f>
        <v>-3700</v>
      </c>
      <c r="AU208" s="125">
        <f t="shared" si="38"/>
        <v>260221.01338935</v>
      </c>
      <c r="AV208" s="125">
        <f t="shared" si="33"/>
        <v>-35792.652113899996</v>
      </c>
      <c r="AW208" s="125">
        <f t="shared" si="40"/>
        <v>-6507.7549298</v>
      </c>
      <c r="AX208" s="125">
        <f>AI208*Valores!$C$75</f>
        <v>-8785.46915523</v>
      </c>
      <c r="AY208" s="125">
        <f>AI208*Valores!$C$76</f>
        <v>-976.16323947</v>
      </c>
      <c r="AZ208" s="125">
        <f t="shared" si="37"/>
        <v>273325.7070516</v>
      </c>
      <c r="BA208" s="125">
        <f>AI208*Valores!$C$78</f>
        <v>52062.0394384</v>
      </c>
      <c r="BB208" s="125">
        <f>AI208*Valores!$C$79</f>
        <v>22777.1422543</v>
      </c>
      <c r="BC208" s="125">
        <f>AI208*Valores!$C$80</f>
        <v>3253.8774649</v>
      </c>
      <c r="BD208" s="125">
        <f>AI208*Valores!$C$82</f>
        <v>11388.57112715</v>
      </c>
      <c r="BE208" s="125">
        <f>AI208*Valores!$C$84</f>
        <v>17570.93831046</v>
      </c>
      <c r="BF208" s="125">
        <f>AI208*Valores!$C$83</f>
        <v>1952.32647894</v>
      </c>
      <c r="BG208" s="126"/>
      <c r="BH208" s="126">
        <f t="shared" si="32"/>
        <v>18</v>
      </c>
      <c r="BI208" s="123" t="s">
        <v>4</v>
      </c>
    </row>
    <row r="209" spans="1:61" s="110" customFormat="1" ht="11.25" customHeight="1">
      <c r="A209" s="123" t="s">
        <v>469</v>
      </c>
      <c r="B209" s="123">
        <v>19</v>
      </c>
      <c r="C209" s="126">
        <v>202</v>
      </c>
      <c r="D209" s="124" t="str">
        <f t="shared" si="30"/>
        <v>Hora Cátedra Enseñanza Superior 19 hs</v>
      </c>
      <c r="E209" s="192">
        <f t="shared" si="31"/>
        <v>1881</v>
      </c>
      <c r="F209" s="125">
        <f>ROUND(E209*Valores!$C$2,2)</f>
        <v>110829.08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35691.36</v>
      </c>
      <c r="N209" s="125">
        <f t="shared" si="34"/>
        <v>0</v>
      </c>
      <c r="O209" s="125">
        <f>Valores!$C$7*B209</f>
        <v>37962.57</v>
      </c>
      <c r="P209" s="125">
        <f>ROUND(IF(B209&lt;15,(Valores!$E$5*B209),Valores!$D$5),2)</f>
        <v>30120.06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19996.55</v>
      </c>
      <c r="S209" s="125">
        <f>Valores!$C$18*B209</f>
        <v>11939.789999999999</v>
      </c>
      <c r="T209" s="125">
        <f t="shared" si="39"/>
        <v>11939.79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IF(Valores!$C$98*B209&gt;Valores!$C$97,Valores!$C$97,Valores!$C$98*B209)</f>
        <v>36449.79</v>
      </c>
      <c r="AA209" s="125">
        <f>IF((Valores!$C$28)*B209&gt;Valores!$F$28,Valores!$F$28,(Valores!$C$28)*B209)</f>
        <v>938.03</v>
      </c>
      <c r="AB209" s="214">
        <v>0</v>
      </c>
      <c r="AC209" s="125">
        <f t="shared" si="35"/>
        <v>0</v>
      </c>
      <c r="AD209" s="125">
        <f>IF(Valores!$C$29*B209&gt;Valores!$F$29,Valores!$F$29,Valores!$C$29*B209)</f>
        <v>781.09</v>
      </c>
      <c r="AE209" s="192">
        <v>0</v>
      </c>
      <c r="AF209" s="125">
        <f>ROUND(AE209*Valores!$C$2,2)</f>
        <v>0</v>
      </c>
      <c r="AG209" s="125">
        <f>SUM(F209,H209,J209,L209,M209,N209,O209,P209,Q209,R209,T209,U209,V209,X209,Y209,Z209,AA209,AC209,AD209,AF209,AH209)*Valores!$C$69</f>
        <v>39028.57332000001</v>
      </c>
      <c r="AH209" s="125">
        <f>IF($F$4="NO",IF(Valores!$D$63*'Escala Docente'!B209&gt;Valores!$F$63,Valores!$F$63,Valores!$D$63*'Escala Docente'!B209),IF(Valores!$D$63*'Escala Docente'!B209&gt;Valores!$F$63,Valores!$F$63,Valores!$D$63*'Escala Docente'!B209)/2)+0.04</f>
        <v>17838.760000000002</v>
      </c>
      <c r="AI209" s="125">
        <f t="shared" si="29"/>
        <v>341575.6533200001</v>
      </c>
      <c r="AJ209" s="125">
        <f>IF(Valores!$C$32*B209&gt;Valores!$F$32,Valores!$F$32,Valores!$C$32*B209)</f>
        <v>0</v>
      </c>
      <c r="AK209" s="125">
        <f>IF(Valores!$C$91*B209&gt;Valores!$C$90,Valores!$C$90,Valores!$C$91*B209)</f>
        <v>0</v>
      </c>
      <c r="AL209" s="125">
        <f>IF(Valores!C$39*B209&gt;Valores!F$38,Valores!F$38,Valores!C$39*B209)</f>
        <v>0</v>
      </c>
      <c r="AM209" s="125">
        <f>IF($F$3="NO",0,IF(Valores!$C$61*B209&gt;Valores!$F$61,Valores!$F$61,Valores!$C$61*B209))</f>
        <v>0</v>
      </c>
      <c r="AN209" s="125">
        <f t="shared" si="36"/>
        <v>0</v>
      </c>
      <c r="AO209" s="125">
        <f>AI209*Valores!$C$71</f>
        <v>-37573.321865200014</v>
      </c>
      <c r="AP209" s="125">
        <f>AI209*Valores!$C$72</f>
        <v>-6831.513066400003</v>
      </c>
      <c r="AQ209" s="125">
        <f>AI209*-Valores!$C$73</f>
        <v>0</v>
      </c>
      <c r="AR209" s="125">
        <f>AI209*Valores!$C$74</f>
        <v>-18786.660932600007</v>
      </c>
      <c r="AS209" s="125">
        <f>Valores!$C$101</f>
        <v>-1270</v>
      </c>
      <c r="AT209" s="125">
        <f>IF($F$5=0,Valores!$C$102,(Valores!$C$102+$F$5*(Valores!$C$102)))</f>
        <v>-3700</v>
      </c>
      <c r="AU209" s="125">
        <f t="shared" si="38"/>
        <v>273414.1574558001</v>
      </c>
      <c r="AV209" s="125">
        <f t="shared" si="33"/>
        <v>-37573.321865200014</v>
      </c>
      <c r="AW209" s="125">
        <f t="shared" si="40"/>
        <v>-6831.513066400003</v>
      </c>
      <c r="AX209" s="125">
        <f>AI209*Valores!$C$75</f>
        <v>-9222.542639640003</v>
      </c>
      <c r="AY209" s="125">
        <f>AI209*Valores!$C$76</f>
        <v>-1024.7269599600004</v>
      </c>
      <c r="AZ209" s="125">
        <f t="shared" si="37"/>
        <v>286923.5487888001</v>
      </c>
      <c r="BA209" s="125">
        <f>AI209*Valores!$C$78</f>
        <v>54652.10453120002</v>
      </c>
      <c r="BB209" s="125">
        <f>AI209*Valores!$C$79</f>
        <v>23910.29573240001</v>
      </c>
      <c r="BC209" s="125">
        <f>AI209*Valores!$C$80</f>
        <v>3415.7565332000013</v>
      </c>
      <c r="BD209" s="125">
        <f>AI209*Valores!$C$82</f>
        <v>11955.147866200005</v>
      </c>
      <c r="BE209" s="125">
        <f>AI209*Valores!$C$84</f>
        <v>18445.085279280007</v>
      </c>
      <c r="BF209" s="125">
        <f>AI209*Valores!$C$83</f>
        <v>2049.4539199200008</v>
      </c>
      <c r="BG209" s="126"/>
      <c r="BH209" s="126">
        <f t="shared" si="32"/>
        <v>19</v>
      </c>
      <c r="BI209" s="123" t="s">
        <v>4</v>
      </c>
    </row>
    <row r="210" spans="1:61" s="110" customFormat="1" ht="11.25" customHeight="1">
      <c r="A210" s="123" t="s">
        <v>469</v>
      </c>
      <c r="B210" s="123">
        <v>20</v>
      </c>
      <c r="C210" s="126">
        <v>203</v>
      </c>
      <c r="D210" s="124" t="str">
        <f t="shared" si="30"/>
        <v>Hora Cátedra Enseñanza Superior 20 hs</v>
      </c>
      <c r="E210" s="192">
        <f t="shared" si="31"/>
        <v>1980</v>
      </c>
      <c r="F210" s="125">
        <f>ROUND(E210*Valores!$C$2,2)</f>
        <v>116662.19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37569.85</v>
      </c>
      <c r="N210" s="125">
        <f t="shared" si="34"/>
        <v>0</v>
      </c>
      <c r="O210" s="125">
        <f>Valores!$C$7*B210</f>
        <v>39960.6</v>
      </c>
      <c r="P210" s="125">
        <f>ROUND(IF(B210&lt;15,(Valores!$E$5*B210),Valores!$D$5),2)</f>
        <v>30120.06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21049</v>
      </c>
      <c r="S210" s="125">
        <f>Valores!$C$18*B210</f>
        <v>12568.199999999999</v>
      </c>
      <c r="T210" s="125">
        <f t="shared" si="39"/>
        <v>12568.2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IF(Valores!$C$98*B210&gt;Valores!$C$97,Valores!$C$97,Valores!$C$98*B210)</f>
        <v>38368.200000000004</v>
      </c>
      <c r="AA210" s="125">
        <f>IF((Valores!$C$28)*B210&gt;Valores!$F$28,Valores!$F$28,(Valores!$C$28)*B210)</f>
        <v>987.4</v>
      </c>
      <c r="AB210" s="214">
        <v>0</v>
      </c>
      <c r="AC210" s="125">
        <f t="shared" si="35"/>
        <v>0</v>
      </c>
      <c r="AD210" s="125">
        <f>IF(Valores!$C$29*B210&gt;Valores!$F$29,Valores!$F$29,Valores!$C$29*B210)</f>
        <v>822.2</v>
      </c>
      <c r="AE210" s="192">
        <v>0</v>
      </c>
      <c r="AF210" s="125">
        <f>ROUND(AE210*Valores!$C$2,2)</f>
        <v>0</v>
      </c>
      <c r="AG210" s="125">
        <f>SUM(F210,H210,J210,L210,M210,N210,O210,P210,Q210,R210,T210,U210,V210,X210,Y210,Z210,AA210,AC210,AD210,AF210,AH210)*Valores!$C$69</f>
        <v>40878.20886000001</v>
      </c>
      <c r="AH210" s="125">
        <f>IF($F$4="NO",IF(Valores!$D$63*'Escala Docente'!B210&gt;Valores!$F$63,Valores!$F$63,Valores!$D$63*'Escala Docente'!B210),IF(Valores!$D$63*'Escala Docente'!B210&gt;Valores!$F$63,Valores!$F$63,Valores!$D$63*'Escala Docente'!B210)/2)+0.04</f>
        <v>18777.64</v>
      </c>
      <c r="AI210" s="125">
        <f t="shared" si="29"/>
        <v>357763.5488600001</v>
      </c>
      <c r="AJ210" s="125">
        <f>IF(Valores!$C$32*B210&gt;Valores!$F$32,Valores!$F$32,Valores!$C$32*B210)</f>
        <v>0</v>
      </c>
      <c r="AK210" s="125">
        <f>IF(Valores!$C$91*B210&gt;Valores!$C$90,Valores!$C$90,Valores!$C$91*B210)</f>
        <v>0</v>
      </c>
      <c r="AL210" s="125">
        <f>IF(Valores!C$39*B210&gt;Valores!F$38,Valores!F$38,Valores!C$39*B210)</f>
        <v>0</v>
      </c>
      <c r="AM210" s="125">
        <f>IF($F$3="NO",0,IF(Valores!$C$61*B210&gt;Valores!$F$61,Valores!$F$61,Valores!$C$61*B210))</f>
        <v>0</v>
      </c>
      <c r="AN210" s="125">
        <f t="shared" si="36"/>
        <v>0</v>
      </c>
      <c r="AO210" s="125">
        <f>AI210*Valores!$C$71</f>
        <v>-39353.99037460001</v>
      </c>
      <c r="AP210" s="125">
        <f>AI210*Valores!$C$72</f>
        <v>-7155.270977200002</v>
      </c>
      <c r="AQ210" s="125">
        <f>AI210*-Valores!$C$73</f>
        <v>0</v>
      </c>
      <c r="AR210" s="125">
        <f>AI210*Valores!$C$74</f>
        <v>-19676.995187300006</v>
      </c>
      <c r="AS210" s="125">
        <f>Valores!$C$101</f>
        <v>-1270</v>
      </c>
      <c r="AT210" s="125">
        <f>IF($F$5=0,Valores!$C$102,(Valores!$C$102+$F$5*(Valores!$C$102)))</f>
        <v>-3700</v>
      </c>
      <c r="AU210" s="125">
        <f t="shared" si="38"/>
        <v>286607.2923209001</v>
      </c>
      <c r="AV210" s="125">
        <f t="shared" si="33"/>
        <v>-39353.99037460001</v>
      </c>
      <c r="AW210" s="125">
        <f t="shared" si="40"/>
        <v>-7155.270977200002</v>
      </c>
      <c r="AX210" s="125">
        <f>AI210*Valores!$C$75</f>
        <v>-9659.615819220002</v>
      </c>
      <c r="AY210" s="125">
        <f>AI210*Valores!$C$76</f>
        <v>-1073.2906465800004</v>
      </c>
      <c r="AZ210" s="125">
        <f t="shared" si="37"/>
        <v>300521.3810424001</v>
      </c>
      <c r="BA210" s="125">
        <f>AI210*Valores!$C$78</f>
        <v>57242.16781760001</v>
      </c>
      <c r="BB210" s="125">
        <f>AI210*Valores!$C$79</f>
        <v>25043.44842020001</v>
      </c>
      <c r="BC210" s="125">
        <f>AI210*Valores!$C$80</f>
        <v>3577.635488600001</v>
      </c>
      <c r="BD210" s="125">
        <f>AI210*Valores!$C$82</f>
        <v>12521.724210100005</v>
      </c>
      <c r="BE210" s="125">
        <f>AI210*Valores!$C$84</f>
        <v>19319.231638440004</v>
      </c>
      <c r="BF210" s="125">
        <f>AI210*Valores!$C$83</f>
        <v>2146.5812931600008</v>
      </c>
      <c r="BG210" s="126"/>
      <c r="BH210" s="126">
        <f t="shared" si="32"/>
        <v>20</v>
      </c>
      <c r="BI210" s="123" t="s">
        <v>4</v>
      </c>
    </row>
    <row r="211" spans="1:61" s="110" customFormat="1" ht="11.25" customHeight="1">
      <c r="A211" s="123" t="s">
        <v>469</v>
      </c>
      <c r="B211" s="123">
        <v>21</v>
      </c>
      <c r="C211" s="126">
        <v>204</v>
      </c>
      <c r="D211" s="124" t="str">
        <f t="shared" si="30"/>
        <v>Hora Cátedra Enseñanza Superior 21 hs</v>
      </c>
      <c r="E211" s="192">
        <f t="shared" si="31"/>
        <v>2079</v>
      </c>
      <c r="F211" s="125">
        <f>ROUND(E211*Valores!$C$2,2)</f>
        <v>122495.3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39448.34</v>
      </c>
      <c r="N211" s="125">
        <f t="shared" si="34"/>
        <v>0</v>
      </c>
      <c r="O211" s="125">
        <f>Valores!$C$7*B211</f>
        <v>41958.63</v>
      </c>
      <c r="P211" s="125">
        <f>ROUND(IF(B211&lt;15,(Valores!$E$5*B211),Valores!$D$5),2)</f>
        <v>30120.06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22101.45</v>
      </c>
      <c r="S211" s="125">
        <f>Valores!$C$18*B211</f>
        <v>13196.609999999999</v>
      </c>
      <c r="T211" s="125">
        <f t="shared" si="39"/>
        <v>13196.61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IF(Valores!$C$98*B211&gt;Valores!$C$97,Valores!$C$97,Valores!$C$98*B211)</f>
        <v>40286.61</v>
      </c>
      <c r="AA211" s="125">
        <f>IF((Valores!$C$28)*B211&gt;Valores!$F$28,Valores!$F$28,(Valores!$C$28)*B211)</f>
        <v>1036.77</v>
      </c>
      <c r="AB211" s="214">
        <v>0</v>
      </c>
      <c r="AC211" s="125">
        <f t="shared" si="35"/>
        <v>0</v>
      </c>
      <c r="AD211" s="125">
        <f>IF(Valores!$C$29*B211&gt;Valores!$F$29,Valores!$F$29,Valores!$C$29*B211)</f>
        <v>863.31</v>
      </c>
      <c r="AE211" s="192">
        <v>0</v>
      </c>
      <c r="AF211" s="125">
        <f>ROUND(AE211*Valores!$C$2,2)</f>
        <v>0</v>
      </c>
      <c r="AG211" s="125">
        <f>SUM(F211,H211,J211,L211,M211,N211,O211,P211,Q211,R211,T211,U211,V211,X211,Y211,Z211,AA211,AC211,AD211,AF211,AH211)*Valores!$C$69</f>
        <v>42727.84569</v>
      </c>
      <c r="AH211" s="125">
        <f>IF($F$4="NO",IF(Valores!$D$63*'Escala Docente'!B211&gt;Valores!$F$63,Valores!$F$63,Valores!$D$63*'Escala Docente'!B211),IF(Valores!$D$63*'Escala Docente'!B211&gt;Valores!$F$63,Valores!$F$63,Valores!$D$63*'Escala Docente'!B211)/2)+0.05</f>
        <v>19716.53</v>
      </c>
      <c r="AI211" s="125">
        <f t="shared" si="29"/>
        <v>373951.45569</v>
      </c>
      <c r="AJ211" s="125">
        <f>IF(Valores!$C$32*B211&gt;Valores!$F$32,Valores!$F$32,Valores!$C$32*B211)</f>
        <v>0</v>
      </c>
      <c r="AK211" s="125">
        <f>IF(Valores!$C$91*B211&gt;Valores!$C$90,Valores!$C$90,Valores!$C$91*B211)</f>
        <v>0</v>
      </c>
      <c r="AL211" s="125">
        <f>IF(Valores!C$39*B211&gt;Valores!F$38,Valores!F$38,Valores!C$39*B211)</f>
        <v>0</v>
      </c>
      <c r="AM211" s="125">
        <f>IF($F$3="NO",0,IF(Valores!$C$61*B211&gt;Valores!$F$61,Valores!$F$61,Valores!$C$61*B211))</f>
        <v>0</v>
      </c>
      <c r="AN211" s="125">
        <f t="shared" si="36"/>
        <v>0</v>
      </c>
      <c r="AO211" s="125">
        <f>AI211*Valores!$C$71</f>
        <v>-41134.660125899994</v>
      </c>
      <c r="AP211" s="125">
        <f>AI211*Valores!$C$72</f>
        <v>-7479.029113799999</v>
      </c>
      <c r="AQ211" s="125">
        <f>AI211*-Valores!$C$73</f>
        <v>0</v>
      </c>
      <c r="AR211" s="125">
        <f>AI211*Valores!$C$74</f>
        <v>-20567.330062949997</v>
      </c>
      <c r="AS211" s="125">
        <f>Valores!$C$101</f>
        <v>-1270</v>
      </c>
      <c r="AT211" s="125">
        <f>IF($F$5=0,Valores!$C$102,(Valores!$C$102+$F$5*(Valores!$C$102)))</f>
        <v>-3700</v>
      </c>
      <c r="AU211" s="125">
        <f t="shared" si="38"/>
        <v>299800.43638734997</v>
      </c>
      <c r="AV211" s="125">
        <f t="shared" si="33"/>
        <v>-41134.660125899994</v>
      </c>
      <c r="AW211" s="125">
        <f t="shared" si="40"/>
        <v>-7479.029113799999</v>
      </c>
      <c r="AX211" s="125">
        <f>AI211*Valores!$C$75</f>
        <v>-10096.689303629999</v>
      </c>
      <c r="AY211" s="125">
        <f>AI211*Valores!$C$76</f>
        <v>-1121.8543670699999</v>
      </c>
      <c r="AZ211" s="125">
        <f t="shared" si="37"/>
        <v>314119.22277959995</v>
      </c>
      <c r="BA211" s="125">
        <f>AI211*Valores!$C$78</f>
        <v>59832.232910399995</v>
      </c>
      <c r="BB211" s="125">
        <f>AI211*Valores!$C$79</f>
        <v>26176.6018983</v>
      </c>
      <c r="BC211" s="125">
        <f>AI211*Valores!$C$80</f>
        <v>3739.5145568999997</v>
      </c>
      <c r="BD211" s="125">
        <f>AI211*Valores!$C$82</f>
        <v>13088.30094915</v>
      </c>
      <c r="BE211" s="125">
        <f>AI211*Valores!$C$84</f>
        <v>20193.378607259998</v>
      </c>
      <c r="BF211" s="125">
        <f>AI211*Valores!$C$83</f>
        <v>2243.7087341399997</v>
      </c>
      <c r="BG211" s="126"/>
      <c r="BH211" s="126">
        <f t="shared" si="32"/>
        <v>21</v>
      </c>
      <c r="BI211" s="123" t="s">
        <v>8</v>
      </c>
    </row>
    <row r="212" spans="1:61" s="110" customFormat="1" ht="11.25" customHeight="1">
      <c r="A212" s="123" t="s">
        <v>469</v>
      </c>
      <c r="B212" s="123">
        <v>22</v>
      </c>
      <c r="C212" s="126">
        <v>205</v>
      </c>
      <c r="D212" s="124" t="str">
        <f t="shared" si="30"/>
        <v>Hora Cátedra Enseñanza Superior 22 hs</v>
      </c>
      <c r="E212" s="192">
        <f t="shared" si="31"/>
        <v>2178</v>
      </c>
      <c r="F212" s="125">
        <f>ROUND(E212*Valores!$C$2,2)</f>
        <v>128328.41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41326.83</v>
      </c>
      <c r="N212" s="125">
        <f t="shared" si="34"/>
        <v>0</v>
      </c>
      <c r="O212" s="125">
        <f>Valores!$C$7*B212</f>
        <v>43956.659999999996</v>
      </c>
      <c r="P212" s="125">
        <f>ROUND(IF(B212&lt;15,(Valores!$E$5*B212),Valores!$D$5),2)</f>
        <v>30120.06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23153.9</v>
      </c>
      <c r="S212" s="125">
        <f>Valores!$C$18*B212</f>
        <v>13825.019999999999</v>
      </c>
      <c r="T212" s="125">
        <f t="shared" si="39"/>
        <v>13825.02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IF(Valores!$C$98*B212&gt;Valores!$C$97,Valores!$C$97,Valores!$C$98*B212)</f>
        <v>42205.020000000004</v>
      </c>
      <c r="AA212" s="125">
        <f>IF((Valores!$C$28)*B212&gt;Valores!$F$28,Valores!$F$28,(Valores!$C$28)*B212)</f>
        <v>1086.1399999999999</v>
      </c>
      <c r="AB212" s="214">
        <v>0</v>
      </c>
      <c r="AC212" s="125">
        <f t="shared" si="35"/>
        <v>0</v>
      </c>
      <c r="AD212" s="125">
        <f>IF(Valores!$C$29*B212&gt;Valores!$F$29,Valores!$F$29,Valores!$C$29*B212)</f>
        <v>904.42</v>
      </c>
      <c r="AE212" s="192">
        <v>0</v>
      </c>
      <c r="AF212" s="125">
        <f>ROUND(AE212*Valores!$C$2,2)</f>
        <v>0</v>
      </c>
      <c r="AG212" s="125">
        <f>SUM(F212,H212,J212,L212,M212,N212,O212,P212,Q212,R212,T212,U212,V212,X212,Y212,Z212,AA212,AC212,AD212,AF212,AH212)*Valores!$C$69</f>
        <v>44577.48123</v>
      </c>
      <c r="AH212" s="125">
        <f>IF($F$4="NO",IF(Valores!$D$63*'Escala Docente'!B212&gt;Valores!$F$63,Valores!$F$63,Valores!$D$63*'Escala Docente'!B212),IF(Valores!$D$63*'Escala Docente'!B212&gt;Valores!$F$63,Valores!$F$63,Valores!$D$63*'Escala Docente'!B212)/2)+0.05</f>
        <v>20655.41</v>
      </c>
      <c r="AI212" s="125">
        <f t="shared" si="29"/>
        <v>390139.35123</v>
      </c>
      <c r="AJ212" s="125">
        <f>IF(Valores!$C$32*B212&gt;Valores!$F$32,Valores!$F$32,Valores!$C$32*B212)</f>
        <v>0</v>
      </c>
      <c r="AK212" s="125">
        <f>IF(Valores!$C$91*B212&gt;Valores!$C$90,Valores!$C$90,Valores!$C$91*B212)</f>
        <v>0</v>
      </c>
      <c r="AL212" s="125">
        <f>IF(Valores!C$39*B212&gt;Valores!F$38,Valores!F$38,Valores!C$39*B212)</f>
        <v>0</v>
      </c>
      <c r="AM212" s="125">
        <f>IF($F$3="NO",0,IF(Valores!$C$61*B212&gt;Valores!$F$61,Valores!$F$61,Valores!$C$61*B212))</f>
        <v>0</v>
      </c>
      <c r="AN212" s="125">
        <f t="shared" si="36"/>
        <v>0</v>
      </c>
      <c r="AO212" s="125">
        <f>AI212*Valores!$C$71</f>
        <v>-42915.3286353</v>
      </c>
      <c r="AP212" s="125">
        <f>AI212*Valores!$C$72</f>
        <v>-7802.787024599999</v>
      </c>
      <c r="AQ212" s="125">
        <f>AI212*-Valores!$C$73</f>
        <v>0</v>
      </c>
      <c r="AR212" s="125">
        <f>AI212*Valores!$C$74</f>
        <v>-21457.66431765</v>
      </c>
      <c r="AS212" s="125">
        <f>Valores!$C$101</f>
        <v>-1270</v>
      </c>
      <c r="AT212" s="125">
        <f>IF($F$5=0,Valores!$C$102,(Valores!$C$102+$F$5*(Valores!$C$102)))</f>
        <v>-3700</v>
      </c>
      <c r="AU212" s="125">
        <f t="shared" si="38"/>
        <v>312993.57125245</v>
      </c>
      <c r="AV212" s="125">
        <f t="shared" si="33"/>
        <v>-42915.3286353</v>
      </c>
      <c r="AW212" s="125">
        <f t="shared" si="40"/>
        <v>-7802.787024599999</v>
      </c>
      <c r="AX212" s="125">
        <f>AI212*Valores!$C$75</f>
        <v>-10533.76248321</v>
      </c>
      <c r="AY212" s="125">
        <f>AI212*Valores!$C$76</f>
        <v>-1170.4180536899999</v>
      </c>
      <c r="AZ212" s="125">
        <f t="shared" si="37"/>
        <v>327717.05503319995</v>
      </c>
      <c r="BA212" s="125">
        <f>AI212*Valores!$C$78</f>
        <v>62422.296196799995</v>
      </c>
      <c r="BB212" s="125">
        <f>AI212*Valores!$C$79</f>
        <v>27309.7545861</v>
      </c>
      <c r="BC212" s="125">
        <f>AI212*Valores!$C$80</f>
        <v>3901.3935122999997</v>
      </c>
      <c r="BD212" s="125">
        <f>AI212*Valores!$C$82</f>
        <v>13654.87729305</v>
      </c>
      <c r="BE212" s="125">
        <f>AI212*Valores!$C$84</f>
        <v>21067.52496642</v>
      </c>
      <c r="BF212" s="125">
        <f>AI212*Valores!$C$83</f>
        <v>2340.8361073799997</v>
      </c>
      <c r="BG212" s="126"/>
      <c r="BH212" s="126">
        <f t="shared" si="32"/>
        <v>22</v>
      </c>
      <c r="BI212" s="123" t="s">
        <v>4</v>
      </c>
    </row>
    <row r="213" spans="1:61" s="110" customFormat="1" ht="11.25" customHeight="1">
      <c r="A213" s="123" t="s">
        <v>469</v>
      </c>
      <c r="B213" s="123">
        <v>23</v>
      </c>
      <c r="C213" s="126">
        <v>206</v>
      </c>
      <c r="D213" s="124" t="str">
        <f t="shared" si="30"/>
        <v>Hora Cátedra Enseñanza Superior 23 hs</v>
      </c>
      <c r="E213" s="192">
        <f t="shared" si="31"/>
        <v>2277</v>
      </c>
      <c r="F213" s="125">
        <f>ROUND(E213*Valores!$C$2,2)</f>
        <v>134161.52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43205.33</v>
      </c>
      <c r="N213" s="125">
        <f t="shared" si="34"/>
        <v>0</v>
      </c>
      <c r="O213" s="125">
        <f>Valores!$C$7*B213</f>
        <v>45954.69</v>
      </c>
      <c r="P213" s="125">
        <f>ROUND(IF(B213&lt;15,(Valores!$E$5*B213),Valores!$D$5),2)</f>
        <v>30120.06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24206.350000000002</v>
      </c>
      <c r="S213" s="125">
        <f>Valores!$C$18*B213</f>
        <v>14453.429999999998</v>
      </c>
      <c r="T213" s="125">
        <f t="shared" si="39"/>
        <v>14453.43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IF(Valores!$C$98*B213&gt;Valores!$C$97,Valores!$C$97,Valores!$C$98*B213)</f>
        <v>44123.43</v>
      </c>
      <c r="AA213" s="125">
        <f>IF((Valores!$C$28)*B213&gt;Valores!$F$28,Valores!$F$28,(Valores!$C$28)*B213)</f>
        <v>1135.51</v>
      </c>
      <c r="AB213" s="214">
        <v>0</v>
      </c>
      <c r="AC213" s="125">
        <f t="shared" si="35"/>
        <v>0</v>
      </c>
      <c r="AD213" s="125">
        <f>IF(Valores!$C$29*B213&gt;Valores!$F$29,Valores!$F$29,Valores!$C$29*B213)</f>
        <v>945.53</v>
      </c>
      <c r="AE213" s="192">
        <v>0</v>
      </c>
      <c r="AF213" s="125">
        <f>ROUND(AE213*Valores!$C$2,2)</f>
        <v>0</v>
      </c>
      <c r="AG213" s="125">
        <f>SUM(F213,H213,J213,L213,M213,N213,O213,P213,Q213,R213,T213,U213,V213,X213,Y213,Z213,AA213,AC213,AD213,AF213,AH213)*Valores!$C$69</f>
        <v>46427.11805999999</v>
      </c>
      <c r="AH213" s="125">
        <f>IF($F$4="NO",IF(Valores!$D$63*'Escala Docente'!B213&gt;Valores!$F$63,Valores!$F$63,Valores!$D$63*'Escala Docente'!B213),IF(Valores!$D$63*'Escala Docente'!B213&gt;Valores!$F$63,Valores!$F$63,Valores!$D$63*'Escala Docente'!B213)/2)+0.05</f>
        <v>21594.29</v>
      </c>
      <c r="AI213" s="125">
        <f t="shared" si="29"/>
        <v>406327.25805999996</v>
      </c>
      <c r="AJ213" s="125">
        <f>IF(Valores!$C$32*B213&gt;Valores!$F$32,Valores!$F$32,Valores!$C$32*B213)</f>
        <v>0</v>
      </c>
      <c r="AK213" s="125">
        <f>IF(Valores!$C$91*B213&gt;Valores!$C$90,Valores!$C$90,Valores!$C$91*B213)</f>
        <v>0</v>
      </c>
      <c r="AL213" s="125">
        <f>IF(Valores!C$39*B213&gt;Valores!F$38,Valores!F$38,Valores!C$39*B213)</f>
        <v>0</v>
      </c>
      <c r="AM213" s="125">
        <f>IF($F$3="NO",0,IF(Valores!$C$61*B213&gt;Valores!$F$61,Valores!$F$61,Valores!$C$61*B213))</f>
        <v>0</v>
      </c>
      <c r="AN213" s="125">
        <f t="shared" si="36"/>
        <v>0</v>
      </c>
      <c r="AO213" s="125">
        <f>AI213*Valores!$C$71</f>
        <v>-44695.9983866</v>
      </c>
      <c r="AP213" s="125">
        <f>AI213*Valores!$C$72</f>
        <v>-8126.5451612</v>
      </c>
      <c r="AQ213" s="125">
        <f>AI213*-Valores!$C$73</f>
        <v>0</v>
      </c>
      <c r="AR213" s="125">
        <f>AI213*Valores!$C$74</f>
        <v>-22347.9991933</v>
      </c>
      <c r="AS213" s="125">
        <f>Valores!$C$101</f>
        <v>-1270</v>
      </c>
      <c r="AT213" s="125">
        <f>IF($F$5=0,Valores!$C$102,(Valores!$C$102+$F$5*(Valores!$C$102)))</f>
        <v>-3700</v>
      </c>
      <c r="AU213" s="125">
        <f t="shared" si="38"/>
        <v>326186.71531889995</v>
      </c>
      <c r="AV213" s="125">
        <f t="shared" si="33"/>
        <v>-44695.9983866</v>
      </c>
      <c r="AW213" s="125">
        <f t="shared" si="40"/>
        <v>-8126.5451612</v>
      </c>
      <c r="AX213" s="125">
        <f>AI213*Valores!$C$75</f>
        <v>-10970.83596762</v>
      </c>
      <c r="AY213" s="125">
        <f>AI213*Valores!$C$76</f>
        <v>-1218.98177418</v>
      </c>
      <c r="AZ213" s="125">
        <f t="shared" si="37"/>
        <v>341314.8967704</v>
      </c>
      <c r="BA213" s="125">
        <f>AI213*Valores!$C$78</f>
        <v>65012.3612896</v>
      </c>
      <c r="BB213" s="125">
        <f>AI213*Valores!$C$79</f>
        <v>28442.9080642</v>
      </c>
      <c r="BC213" s="125">
        <f>AI213*Valores!$C$80</f>
        <v>4063.2725806</v>
      </c>
      <c r="BD213" s="125">
        <f>AI213*Valores!$C$82</f>
        <v>14221.4540321</v>
      </c>
      <c r="BE213" s="125">
        <f>AI213*Valores!$C$84</f>
        <v>21941.67193524</v>
      </c>
      <c r="BF213" s="125">
        <f>AI213*Valores!$C$83</f>
        <v>2437.96354836</v>
      </c>
      <c r="BG213" s="126"/>
      <c r="BH213" s="126">
        <f t="shared" si="32"/>
        <v>23</v>
      </c>
      <c r="BI213" s="123" t="s">
        <v>8</v>
      </c>
    </row>
    <row r="214" spans="1:61" s="110" customFormat="1" ht="11.25" customHeight="1">
      <c r="A214" s="123" t="s">
        <v>469</v>
      </c>
      <c r="B214" s="123">
        <v>24</v>
      </c>
      <c r="C214" s="126">
        <v>207</v>
      </c>
      <c r="D214" s="124" t="str">
        <f t="shared" si="30"/>
        <v>Hora Cátedra Enseñanza Superior 24 hs</v>
      </c>
      <c r="E214" s="192">
        <f t="shared" si="31"/>
        <v>2376</v>
      </c>
      <c r="F214" s="125">
        <f>ROUND(E214*Valores!$C$2,2)</f>
        <v>139994.63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45083.82</v>
      </c>
      <c r="N214" s="125">
        <f t="shared" si="34"/>
        <v>0</v>
      </c>
      <c r="O214" s="125">
        <f>Valores!$C$7*B214</f>
        <v>47952.72</v>
      </c>
      <c r="P214" s="125">
        <f>ROUND(IF(B214&lt;15,(Valores!$E$5*B214),Valores!$D$5),2)</f>
        <v>30120.06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25258.800000000003</v>
      </c>
      <c r="S214" s="125">
        <f>Valores!$C$18*B214</f>
        <v>15081.84</v>
      </c>
      <c r="T214" s="125">
        <f t="shared" si="39"/>
        <v>15081.84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IF(Valores!$C$98*B214&gt;Valores!$C$97,Valores!$C$97,Valores!$C$98*B214)</f>
        <v>46041.840000000004</v>
      </c>
      <c r="AA214" s="125">
        <f>IF((Valores!$C$28)*B214&gt;Valores!$F$28,Valores!$F$28,(Valores!$C$28)*B214)</f>
        <v>1184.8799999999999</v>
      </c>
      <c r="AB214" s="214">
        <v>0</v>
      </c>
      <c r="AC214" s="125">
        <f t="shared" si="35"/>
        <v>0</v>
      </c>
      <c r="AD214" s="125">
        <f>IF(Valores!$C$29*B214&gt;Valores!$F$29,Valores!$F$29,Valores!$C$29*B214)</f>
        <v>986.64</v>
      </c>
      <c r="AE214" s="192">
        <v>0</v>
      </c>
      <c r="AF214" s="125">
        <f>ROUND(AE214*Valores!$C$2,2)</f>
        <v>0</v>
      </c>
      <c r="AG214" s="125">
        <f>SUM(F214,H214,J214,L214,M214,N214,O214,P214,Q214,R214,T214,U214,V214,X214,Y214,Z214,AA214,AC214,AD214,AF214,AH214)*Valores!$C$69</f>
        <v>48276.75360000001</v>
      </c>
      <c r="AH214" s="125">
        <f>IF($F$4="NO",IF(Valores!$D$63*'Escala Docente'!B214&gt;Valores!$F$63,Valores!$F$63,Valores!$D$63*'Escala Docente'!B214),IF(Valores!$D$63*'Escala Docente'!B214&gt;Valores!$F$63,Valores!$F$63,Valores!$D$63*'Escala Docente'!B214)/2)+0.05</f>
        <v>22533.17</v>
      </c>
      <c r="AI214" s="125">
        <f t="shared" si="29"/>
        <v>422515.1536000001</v>
      </c>
      <c r="AJ214" s="125">
        <f>IF(Valores!$C$32*B214&gt;Valores!$F$32,Valores!$F$32,Valores!$C$32*B214)</f>
        <v>0</v>
      </c>
      <c r="AK214" s="125">
        <f>IF(Valores!$C$91*B214&gt;Valores!$C$90,Valores!$C$90,Valores!$C$91*B214)</f>
        <v>0</v>
      </c>
      <c r="AL214" s="125">
        <f>IF(Valores!C$39*B214&gt;Valores!F$38,Valores!F$38,Valores!C$39*B214)</f>
        <v>0</v>
      </c>
      <c r="AM214" s="125">
        <f>IF($F$3="NO",0,IF(Valores!$C$61*B214&gt;Valores!$F$61,Valores!$F$61,Valores!$C$61*B214))</f>
        <v>0</v>
      </c>
      <c r="AN214" s="125">
        <f t="shared" si="36"/>
        <v>0</v>
      </c>
      <c r="AO214" s="125">
        <f>AI214*Valores!$C$71</f>
        <v>-46476.66689600001</v>
      </c>
      <c r="AP214" s="125">
        <f>AI214*Valores!$C$72</f>
        <v>-8450.303072000002</v>
      </c>
      <c r="AQ214" s="125">
        <f>AI214*-Valores!$C$73</f>
        <v>0</v>
      </c>
      <c r="AR214" s="125">
        <f>AI214*Valores!$C$74</f>
        <v>-23238.333448000005</v>
      </c>
      <c r="AS214" s="125">
        <f>Valores!$C$101</f>
        <v>-1270</v>
      </c>
      <c r="AT214" s="125">
        <f>IF($F$5=0,Valores!$C$102,(Valores!$C$102+$F$5*(Valores!$C$102)))</f>
        <v>-3700</v>
      </c>
      <c r="AU214" s="125">
        <f t="shared" si="38"/>
        <v>339379.8501840001</v>
      </c>
      <c r="AV214" s="125">
        <f t="shared" si="33"/>
        <v>-46476.66689600001</v>
      </c>
      <c r="AW214" s="125">
        <f t="shared" si="40"/>
        <v>-8450.303072000002</v>
      </c>
      <c r="AX214" s="125">
        <f>AI214*Valores!$C$75</f>
        <v>-11407.909147200002</v>
      </c>
      <c r="AY214" s="125">
        <f>AI214*Valores!$C$76</f>
        <v>-1267.5454608000002</v>
      </c>
      <c r="AZ214" s="125">
        <f t="shared" si="37"/>
        <v>354912.72902400006</v>
      </c>
      <c r="BA214" s="125">
        <f>AI214*Valores!$C$78</f>
        <v>67602.42457600002</v>
      </c>
      <c r="BB214" s="125">
        <f>AI214*Valores!$C$79</f>
        <v>29576.06075200001</v>
      </c>
      <c r="BC214" s="125">
        <f>AI214*Valores!$C$80</f>
        <v>4225.151536000001</v>
      </c>
      <c r="BD214" s="125">
        <f>AI214*Valores!$C$82</f>
        <v>14788.030376000004</v>
      </c>
      <c r="BE214" s="125">
        <f>AI214*Valores!$C$84</f>
        <v>22815.818294400004</v>
      </c>
      <c r="BF214" s="125">
        <f>AI214*Valores!$C$83</f>
        <v>2535.0909216000005</v>
      </c>
      <c r="BG214" s="126"/>
      <c r="BH214" s="126">
        <f t="shared" si="32"/>
        <v>24</v>
      </c>
      <c r="BI214" s="123" t="s">
        <v>8</v>
      </c>
    </row>
    <row r="215" spans="1:61" s="110" customFormat="1" ht="11.25" customHeight="1">
      <c r="A215" s="123" t="s">
        <v>469</v>
      </c>
      <c r="B215" s="123">
        <v>25</v>
      </c>
      <c r="C215" s="126">
        <v>208</v>
      </c>
      <c r="D215" s="124" t="str">
        <f t="shared" si="30"/>
        <v>Hora Cátedra Enseñanza Superior 25 hs</v>
      </c>
      <c r="E215" s="192">
        <f t="shared" si="31"/>
        <v>2475</v>
      </c>
      <c r="F215" s="125">
        <f>ROUND(E215*Valores!$C$2,2)</f>
        <v>145827.74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46962.31</v>
      </c>
      <c r="N215" s="125">
        <f t="shared" si="34"/>
        <v>0</v>
      </c>
      <c r="O215" s="125">
        <f>Valores!$C$7*B215</f>
        <v>49950.75</v>
      </c>
      <c r="P215" s="125">
        <f>ROUND(IF(B215&lt;15,(Valores!$E$5*B215),Valores!$D$5),2)</f>
        <v>30120.06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26311.25</v>
      </c>
      <c r="S215" s="125">
        <f>Valores!$C$18*B215</f>
        <v>15710.25</v>
      </c>
      <c r="T215" s="125">
        <f t="shared" si="39"/>
        <v>15710.25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IF(Valores!$C$98*B215&gt;Valores!$C$97,Valores!$C$97,Valores!$C$98*B215)</f>
        <v>47960.25</v>
      </c>
      <c r="AA215" s="125">
        <f>IF((Valores!$C$28)*B215&gt;Valores!$F$28,Valores!$F$28,(Valores!$C$28)*B215)</f>
        <v>1234.25</v>
      </c>
      <c r="AB215" s="214">
        <v>0</v>
      </c>
      <c r="AC215" s="125">
        <f t="shared" si="35"/>
        <v>0</v>
      </c>
      <c r="AD215" s="125">
        <f>IF(Valores!$C$29*B215&gt;Valores!$F$29,Valores!$F$29,Valores!$C$29*B215)</f>
        <v>1027.75</v>
      </c>
      <c r="AE215" s="192">
        <v>0</v>
      </c>
      <c r="AF215" s="125">
        <f>ROUND(AE215*Valores!$C$2,2)</f>
        <v>0</v>
      </c>
      <c r="AG215" s="125">
        <f>SUM(F215,H215,J215,L215,M215,N215,O215,P215,Q215,R215,T215,U215,V215,X215,Y215,Z215,AA215,AC215,AD215,AF215,AH215)*Valores!$C$69</f>
        <v>50126.38914</v>
      </c>
      <c r="AH215" s="125">
        <f>IF($F$4="NO",IF(Valores!$D$63*'Escala Docente'!B215&gt;Valores!$F$63,Valores!$F$63,Valores!$D$63*'Escala Docente'!B215),IF(Valores!$D$63*'Escala Docente'!B215&gt;Valores!$F$63,Valores!$F$63,Valores!$D$63*'Escala Docente'!B215)/2)+0.05</f>
        <v>23472.05</v>
      </c>
      <c r="AI215" s="125">
        <f t="shared" si="29"/>
        <v>438703.04913999996</v>
      </c>
      <c r="AJ215" s="125">
        <f>IF(Valores!$C$32*B215&gt;Valores!$F$32,Valores!$F$32,Valores!$C$32*B215)</f>
        <v>0</v>
      </c>
      <c r="AK215" s="125">
        <f>IF(Valores!$C$91*B215&gt;Valores!$C$90,Valores!$C$90,Valores!$C$91*B215)</f>
        <v>0</v>
      </c>
      <c r="AL215" s="125">
        <f>IF(Valores!C$39*B215&gt;Valores!F$38,Valores!F$38,Valores!C$39*B215)</f>
        <v>0</v>
      </c>
      <c r="AM215" s="125">
        <f>IF($F$3="NO",0,IF(Valores!$C$61*B215&gt;Valores!$F$61,Valores!$F$61,Valores!$C$61*B215))</f>
        <v>0</v>
      </c>
      <c r="AN215" s="125">
        <f t="shared" si="36"/>
        <v>0</v>
      </c>
      <c r="AO215" s="125">
        <f>AI215*Valores!$C$71</f>
        <v>-48257.335405399994</v>
      </c>
      <c r="AP215" s="125">
        <f>AI215*Valores!$C$72</f>
        <v>-8774.0609828</v>
      </c>
      <c r="AQ215" s="125">
        <f>AI215*-Valores!$C$73</f>
        <v>0</v>
      </c>
      <c r="AR215" s="125">
        <f>AI215*Valores!$C$74</f>
        <v>-24128.667702699997</v>
      </c>
      <c r="AS215" s="125">
        <f>Valores!$C$101</f>
        <v>-1270</v>
      </c>
      <c r="AT215" s="125">
        <f>IF($F$5=0,Valores!$C$102,(Valores!$C$102+$F$5*(Valores!$C$102)))</f>
        <v>-3700</v>
      </c>
      <c r="AU215" s="125">
        <f t="shared" si="38"/>
        <v>352572.98504909995</v>
      </c>
      <c r="AV215" s="125">
        <f t="shared" si="33"/>
        <v>-48257.335405399994</v>
      </c>
      <c r="AW215" s="125">
        <f t="shared" si="40"/>
        <v>-8774.0609828</v>
      </c>
      <c r="AX215" s="125">
        <f>AI215*Valores!$C$75</f>
        <v>-11844.982326779998</v>
      </c>
      <c r="AY215" s="125">
        <f>AI215*Valores!$C$76</f>
        <v>-1316.10914742</v>
      </c>
      <c r="AZ215" s="125">
        <f t="shared" si="37"/>
        <v>368510.5612776</v>
      </c>
      <c r="BA215" s="125">
        <f>AI215*Valores!$C$78</f>
        <v>70192.4878624</v>
      </c>
      <c r="BB215" s="125">
        <f>AI215*Valores!$C$79</f>
        <v>30709.2134398</v>
      </c>
      <c r="BC215" s="125">
        <f>AI215*Valores!$C$80</f>
        <v>4387.0304914</v>
      </c>
      <c r="BD215" s="125">
        <f>AI215*Valores!$C$82</f>
        <v>15354.6067199</v>
      </c>
      <c r="BE215" s="125">
        <f>AI215*Valores!$C$84</f>
        <v>23689.964653559997</v>
      </c>
      <c r="BF215" s="125">
        <f>AI215*Valores!$C$83</f>
        <v>2632.21829484</v>
      </c>
      <c r="BG215" s="126"/>
      <c r="BH215" s="126">
        <f t="shared" si="32"/>
        <v>25</v>
      </c>
      <c r="BI215" s="123" t="s">
        <v>4</v>
      </c>
    </row>
    <row r="216" spans="1:61" s="110" customFormat="1" ht="11.25" customHeight="1">
      <c r="A216" s="123" t="s">
        <v>469</v>
      </c>
      <c r="B216" s="123">
        <v>26</v>
      </c>
      <c r="C216" s="126">
        <v>209</v>
      </c>
      <c r="D216" s="124" t="str">
        <f t="shared" si="30"/>
        <v>Hora Cátedra Enseñanza Superior 26 hs</v>
      </c>
      <c r="E216" s="192">
        <f t="shared" si="31"/>
        <v>2574</v>
      </c>
      <c r="F216" s="125">
        <f>ROUND(E216*Valores!$C$2,2)</f>
        <v>151660.85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48840.8</v>
      </c>
      <c r="N216" s="125">
        <f t="shared" si="34"/>
        <v>0</v>
      </c>
      <c r="O216" s="125">
        <f>Valores!$C$7*B216</f>
        <v>51948.78</v>
      </c>
      <c r="P216" s="125">
        <f>ROUND(IF(B216&lt;15,(Valores!$E$5*B216),Valores!$D$5),2)</f>
        <v>30120.06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27363.7</v>
      </c>
      <c r="S216" s="125">
        <f>Valores!$C$18*B216</f>
        <v>16338.66</v>
      </c>
      <c r="T216" s="125">
        <f t="shared" si="39"/>
        <v>16338.66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IF(Valores!$C$98*B216&gt;Valores!$C$97,Valores!$C$97,Valores!$C$98*B216)</f>
        <v>49878.66</v>
      </c>
      <c r="AA216" s="125">
        <f>IF((Valores!$C$28)*B216&gt;Valores!$F$28,Valores!$F$28,(Valores!$C$28)*B216)</f>
        <v>1283.62</v>
      </c>
      <c r="AB216" s="214">
        <v>0</v>
      </c>
      <c r="AC216" s="125">
        <f t="shared" si="35"/>
        <v>0</v>
      </c>
      <c r="AD216" s="125">
        <f>IF(Valores!$C$29*B216&gt;Valores!$F$29,Valores!$F$29,Valores!$C$29*B216)</f>
        <v>1068.86</v>
      </c>
      <c r="AE216" s="192">
        <v>0</v>
      </c>
      <c r="AF216" s="125">
        <f>ROUND(AE216*Valores!$C$2,2)</f>
        <v>0</v>
      </c>
      <c r="AG216" s="125">
        <f>SUM(F216,H216,J216,L216,M216,N216,O216,P216,Q216,R216,T216,U216,V216,X216,Y216,Z216,AA216,AC216,AD216,AF216,AH216)*Valores!$C$69</f>
        <v>51976.02468</v>
      </c>
      <c r="AH216" s="125">
        <f>IF($F$4="NO",IF(Valores!$D$63*'Escala Docente'!B216&gt;Valores!$F$63,Valores!$F$63,Valores!$D$63*'Escala Docente'!B216),IF(Valores!$D$63*'Escala Docente'!B216&gt;Valores!$F$63,Valores!$F$63,Valores!$D$63*'Escala Docente'!B216)/2)+0.05</f>
        <v>24410.93</v>
      </c>
      <c r="AI216" s="125">
        <f t="shared" si="29"/>
        <v>454890.94468</v>
      </c>
      <c r="AJ216" s="125">
        <f>IF(Valores!$C$32*B216&gt;Valores!$F$32,Valores!$F$32,Valores!$C$32*B216)</f>
        <v>0</v>
      </c>
      <c r="AK216" s="125">
        <f>IF(Valores!$C$91*B216&gt;Valores!$C$90,Valores!$C$90,Valores!$C$91*B216)</f>
        <v>0</v>
      </c>
      <c r="AL216" s="125">
        <f>IF(Valores!C$39*B216&gt;Valores!F$38,Valores!F$38,Valores!C$39*B216)</f>
        <v>0</v>
      </c>
      <c r="AM216" s="125">
        <f>IF($F$3="NO",0,IF(Valores!$C$61*B216&gt;Valores!$F$61,Valores!$F$61,Valores!$C$61*B216))</f>
        <v>0</v>
      </c>
      <c r="AN216" s="125">
        <f t="shared" si="36"/>
        <v>0</v>
      </c>
      <c r="AO216" s="125">
        <f>AI216*Valores!$C$71</f>
        <v>-50038.0039148</v>
      </c>
      <c r="AP216" s="125">
        <f>AI216*Valores!$C$72</f>
        <v>-9097.8188936</v>
      </c>
      <c r="AQ216" s="125">
        <f>AI216*-Valores!$C$73</f>
        <v>0</v>
      </c>
      <c r="AR216" s="125">
        <f>AI216*Valores!$C$74</f>
        <v>-25019.0019574</v>
      </c>
      <c r="AS216" s="125">
        <f>Valores!$C$101</f>
        <v>-1270</v>
      </c>
      <c r="AT216" s="125">
        <f>IF($F$5=0,Valores!$C$102,(Valores!$C$102+$F$5*(Valores!$C$102)))</f>
        <v>-3700</v>
      </c>
      <c r="AU216" s="125">
        <f t="shared" si="38"/>
        <v>365766.11991420004</v>
      </c>
      <c r="AV216" s="125">
        <f t="shared" si="33"/>
        <v>-50038.0039148</v>
      </c>
      <c r="AW216" s="125">
        <f t="shared" si="40"/>
        <v>-9097.8188936</v>
      </c>
      <c r="AX216" s="125">
        <f>AI216*Valores!$C$75</f>
        <v>-12282.05550636</v>
      </c>
      <c r="AY216" s="125">
        <f>AI216*Valores!$C$76</f>
        <v>-1364.67283404</v>
      </c>
      <c r="AZ216" s="125">
        <f t="shared" si="37"/>
        <v>382108.3935312</v>
      </c>
      <c r="BA216" s="125">
        <f>AI216*Valores!$C$78</f>
        <v>72782.5511488</v>
      </c>
      <c r="BB216" s="125">
        <f>AI216*Valores!$C$79</f>
        <v>31842.366127600006</v>
      </c>
      <c r="BC216" s="125">
        <f>AI216*Valores!$C$80</f>
        <v>4548.9094468</v>
      </c>
      <c r="BD216" s="125">
        <f>AI216*Valores!$C$82</f>
        <v>15921.183063800003</v>
      </c>
      <c r="BE216" s="125">
        <f>AI216*Valores!$C$84</f>
        <v>24564.11101272</v>
      </c>
      <c r="BF216" s="125">
        <f>AI216*Valores!$C$83</f>
        <v>2729.34566808</v>
      </c>
      <c r="BG216" s="126"/>
      <c r="BH216" s="126">
        <f t="shared" si="32"/>
        <v>26</v>
      </c>
      <c r="BI216" s="123" t="s">
        <v>8</v>
      </c>
    </row>
    <row r="217" spans="1:61" s="110" customFormat="1" ht="11.25" customHeight="1">
      <c r="A217" s="123" t="s">
        <v>469</v>
      </c>
      <c r="B217" s="123">
        <v>27</v>
      </c>
      <c r="C217" s="126">
        <v>210</v>
      </c>
      <c r="D217" s="124" t="str">
        <f t="shared" si="30"/>
        <v>Hora Cátedra Enseñanza Superior 27 hs</v>
      </c>
      <c r="E217" s="192">
        <f t="shared" si="31"/>
        <v>2673</v>
      </c>
      <c r="F217" s="125">
        <f>ROUND(E217*Valores!$C$2,2)</f>
        <v>157493.96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50719.3</v>
      </c>
      <c r="N217" s="125">
        <f t="shared" si="34"/>
        <v>0</v>
      </c>
      <c r="O217" s="125">
        <f>Valores!$C$7*B217</f>
        <v>53946.81</v>
      </c>
      <c r="P217" s="125">
        <f>ROUND(IF(B217&lt;15,(Valores!$E$5*B217),Valores!$D$5),2)</f>
        <v>30120.06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28416.15</v>
      </c>
      <c r="S217" s="125">
        <f>Valores!$C$18*B217</f>
        <v>16967.07</v>
      </c>
      <c r="T217" s="125">
        <f t="shared" si="39"/>
        <v>16967.07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IF(Valores!$C$98*B217&gt;Valores!$C$97,Valores!$C$97,Valores!$C$98*B217)</f>
        <v>51797.07</v>
      </c>
      <c r="AA217" s="125">
        <f>IF((Valores!$C$28)*B217&gt;Valores!$F$28,Valores!$F$28,(Valores!$C$28)*B217)</f>
        <v>1332.99</v>
      </c>
      <c r="AB217" s="214">
        <v>0</v>
      </c>
      <c r="AC217" s="125">
        <f t="shared" si="35"/>
        <v>0</v>
      </c>
      <c r="AD217" s="125">
        <f>IF(Valores!$C$29*B217&gt;Valores!$F$29,Valores!$F$29,Valores!$C$29*B217)</f>
        <v>1109.97</v>
      </c>
      <c r="AE217" s="192">
        <v>0</v>
      </c>
      <c r="AF217" s="125">
        <f>ROUND(AE217*Valores!$C$2,2)</f>
        <v>0</v>
      </c>
      <c r="AG217" s="125">
        <f>SUM(F217,H217,J217,L217,M217,N217,O217,P217,Q217,R217,T217,U217,V217,X217,Y217,Z217,AA217,AC217,AD217,AF217,AH217)*Valores!$C$69</f>
        <v>53825.662800000006</v>
      </c>
      <c r="AH217" s="125">
        <f>IF($F$4="NO",IF(Valores!$D$63*'Escala Docente'!B217&gt;Valores!$F$63,Valores!$F$63,Valores!$D$63*'Escala Docente'!B217),IF(Valores!$D$63*'Escala Docente'!B217&gt;Valores!$F$63,Valores!$F$63,Valores!$D$63*'Escala Docente'!B217)/2)+0.06</f>
        <v>25349.82</v>
      </c>
      <c r="AI217" s="125">
        <f t="shared" si="29"/>
        <v>471078.8628</v>
      </c>
      <c r="AJ217" s="125">
        <f>IF(Valores!$C$32*B217&gt;Valores!$F$32,Valores!$F$32,Valores!$C$32*B217)</f>
        <v>0</v>
      </c>
      <c r="AK217" s="125">
        <f>IF(Valores!$C$91*B217&gt;Valores!$C$90,Valores!$C$90,Valores!$C$91*B217)</f>
        <v>0</v>
      </c>
      <c r="AL217" s="125">
        <f>IF(Valores!C$39*B217&gt;Valores!F$38,Valores!F$38,Valores!C$39*B217)</f>
        <v>0</v>
      </c>
      <c r="AM217" s="125">
        <f>IF($F$3="NO",0,IF(Valores!$C$61*B217&gt;Valores!$F$61,Valores!$F$61,Valores!$C$61*B217))</f>
        <v>0</v>
      </c>
      <c r="AN217" s="125">
        <f t="shared" si="36"/>
        <v>0</v>
      </c>
      <c r="AO217" s="125">
        <f>AI217*Valores!$C$71</f>
        <v>-51818.674908</v>
      </c>
      <c r="AP217" s="125">
        <f>AI217*Valores!$C$72</f>
        <v>-9421.577256</v>
      </c>
      <c r="AQ217" s="125">
        <f>AI217*-Valores!$C$73</f>
        <v>0</v>
      </c>
      <c r="AR217" s="125">
        <f>AI217*Valores!$C$74</f>
        <v>-25909.337454</v>
      </c>
      <c r="AS217" s="125">
        <f>Valores!$C$101</f>
        <v>-1270</v>
      </c>
      <c r="AT217" s="125">
        <f>IF($F$5=0,Valores!$C$102,(Valores!$C$102+$F$5*(Valores!$C$102)))</f>
        <v>-3700</v>
      </c>
      <c r="AU217" s="125">
        <f t="shared" si="38"/>
        <v>378959.27318200003</v>
      </c>
      <c r="AV217" s="125">
        <f t="shared" si="33"/>
        <v>-51818.674908</v>
      </c>
      <c r="AW217" s="125">
        <f t="shared" si="40"/>
        <v>-9421.577256</v>
      </c>
      <c r="AX217" s="125">
        <f>AI217*Valores!$C$75</f>
        <v>-12719.1292956</v>
      </c>
      <c r="AY217" s="125">
        <f>AI217*Valores!$C$76</f>
        <v>-1413.2365884</v>
      </c>
      <c r="AZ217" s="125">
        <f t="shared" si="37"/>
        <v>395706.24475199997</v>
      </c>
      <c r="BA217" s="125">
        <f>AI217*Valores!$C$78</f>
        <v>75372.618048</v>
      </c>
      <c r="BB217" s="125">
        <f>AI217*Valores!$C$79</f>
        <v>32975.520396</v>
      </c>
      <c r="BC217" s="125">
        <f>AI217*Valores!$C$80</f>
        <v>4710.788628</v>
      </c>
      <c r="BD217" s="125">
        <f>AI217*Valores!$C$82</f>
        <v>16487.760198</v>
      </c>
      <c r="BE217" s="125">
        <f>AI217*Valores!$C$84</f>
        <v>25438.2585912</v>
      </c>
      <c r="BF217" s="125">
        <f>AI217*Valores!$C$83</f>
        <v>2826.4731768</v>
      </c>
      <c r="BG217" s="126"/>
      <c r="BH217" s="126">
        <f t="shared" si="32"/>
        <v>27</v>
      </c>
      <c r="BI217" s="123" t="s">
        <v>8</v>
      </c>
    </row>
    <row r="218" spans="1:61" s="110" customFormat="1" ht="11.25" customHeight="1">
      <c r="A218" s="123" t="s">
        <v>469</v>
      </c>
      <c r="B218" s="123">
        <v>28</v>
      </c>
      <c r="C218" s="126">
        <v>211</v>
      </c>
      <c r="D218" s="124" t="str">
        <f t="shared" si="30"/>
        <v>Hora Cátedra Enseñanza Superior 28 hs</v>
      </c>
      <c r="E218" s="192">
        <f t="shared" si="31"/>
        <v>2772</v>
      </c>
      <c r="F218" s="125">
        <f>ROUND(E218*Valores!$C$2,2)</f>
        <v>163327.07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52597.79</v>
      </c>
      <c r="N218" s="125">
        <f t="shared" si="34"/>
        <v>0</v>
      </c>
      <c r="O218" s="125">
        <f>Valores!$C$7*B218</f>
        <v>55944.84</v>
      </c>
      <c r="P218" s="125">
        <f>ROUND(IF(B218&lt;15,(Valores!$E$5*B218),Valores!$D$5),2)</f>
        <v>30120.06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29468.600000000002</v>
      </c>
      <c r="S218" s="125">
        <f>Valores!$C$18*B218</f>
        <v>17595.48</v>
      </c>
      <c r="T218" s="125">
        <f t="shared" si="39"/>
        <v>17595.48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IF(Valores!$C$98*B218&gt;Valores!$C$97,Valores!$C$97,Valores!$C$98*B218)</f>
        <v>53715.48</v>
      </c>
      <c r="AA218" s="125">
        <f>IF((Valores!$C$28)*B218&gt;Valores!$F$28,Valores!$F$28,(Valores!$C$28)*B218)</f>
        <v>1382.36</v>
      </c>
      <c r="AB218" s="214">
        <v>0</v>
      </c>
      <c r="AC218" s="125">
        <f t="shared" si="35"/>
        <v>0</v>
      </c>
      <c r="AD218" s="125">
        <f>IF(Valores!$C$29*B218&gt;Valores!$F$29,Valores!$F$29,Valores!$C$29*B218)</f>
        <v>1151.08</v>
      </c>
      <c r="AE218" s="192">
        <v>0</v>
      </c>
      <c r="AF218" s="125">
        <f>ROUND(AE218*Valores!$C$2,2)</f>
        <v>0</v>
      </c>
      <c r="AG218" s="125">
        <f>SUM(F218,H218,J218,L218,M218,N218,O218,P218,Q218,R218,T218,U218,V218,X218,Y218,Z218,AA218,AC218,AD218,AF218,AH218)*Valores!$C$69</f>
        <v>55675.298339999994</v>
      </c>
      <c r="AH218" s="125">
        <f>IF($F$4="NO",IF(Valores!$D$63*'Escala Docente'!B218&gt;Valores!$F$63,Valores!$F$63,Valores!$D$63*'Escala Docente'!B218),IF(Valores!$D$63*'Escala Docente'!B218&gt;Valores!$F$63,Valores!$F$63,Valores!$D$63*'Escala Docente'!B218)/2)+0.06</f>
        <v>26288.7</v>
      </c>
      <c r="AI218" s="125">
        <f t="shared" si="29"/>
        <v>487266.75833999994</v>
      </c>
      <c r="AJ218" s="125">
        <f>IF(Valores!$C$32*B218&gt;Valores!$F$32,Valores!$F$32,Valores!$C$32*B218)</f>
        <v>0</v>
      </c>
      <c r="AK218" s="125">
        <f>IF(Valores!$C$91*B218&gt;Valores!$C$90,Valores!$C$90,Valores!$C$91*B218)</f>
        <v>0</v>
      </c>
      <c r="AL218" s="125">
        <f>IF(Valores!C$39*B218&gt;Valores!F$38,Valores!F$38,Valores!C$39*B218)</f>
        <v>0</v>
      </c>
      <c r="AM218" s="125">
        <f>IF($F$3="NO",0,IF(Valores!$C$61*B218&gt;Valores!$F$61,Valores!$F$61,Valores!$C$61*B218))</f>
        <v>0</v>
      </c>
      <c r="AN218" s="125">
        <f t="shared" si="36"/>
        <v>0</v>
      </c>
      <c r="AO218" s="125">
        <f>AI218*Valores!$C$71</f>
        <v>-53599.34341739999</v>
      </c>
      <c r="AP218" s="125">
        <f>AI218*Valores!$C$72</f>
        <v>-9745.3351668</v>
      </c>
      <c r="AQ218" s="125">
        <f>AI218*-Valores!$C$73</f>
        <v>0</v>
      </c>
      <c r="AR218" s="125">
        <f>AI218*Valores!$C$74</f>
        <v>-26799.671708699996</v>
      </c>
      <c r="AS218" s="125">
        <f>Valores!$C$101</f>
        <v>-1270</v>
      </c>
      <c r="AT218" s="125">
        <f>IF($F$5=0,Valores!$C$102,(Valores!$C$102+$F$5*(Valores!$C$102)))</f>
        <v>-3700</v>
      </c>
      <c r="AU218" s="125">
        <f t="shared" si="38"/>
        <v>392152.40804709995</v>
      </c>
      <c r="AV218" s="125">
        <f t="shared" si="33"/>
        <v>-53599.34341739999</v>
      </c>
      <c r="AW218" s="125">
        <f t="shared" si="40"/>
        <v>-9745.3351668</v>
      </c>
      <c r="AX218" s="125">
        <f>AI218*Valores!$C$75</f>
        <v>-13156.202475179998</v>
      </c>
      <c r="AY218" s="125">
        <f>AI218*Valores!$C$76</f>
        <v>-1461.8002750199998</v>
      </c>
      <c r="AZ218" s="125">
        <f t="shared" si="37"/>
        <v>409304.0770056</v>
      </c>
      <c r="BA218" s="125">
        <f>AI218*Valores!$C$78</f>
        <v>77962.6813344</v>
      </c>
      <c r="BB218" s="125">
        <f>AI218*Valores!$C$79</f>
        <v>34108.6730838</v>
      </c>
      <c r="BC218" s="125">
        <f>AI218*Valores!$C$80</f>
        <v>4872.6675834</v>
      </c>
      <c r="BD218" s="125">
        <f>AI218*Valores!$C$82</f>
        <v>17054.3365419</v>
      </c>
      <c r="BE218" s="125">
        <f>AI218*Valores!$C$84</f>
        <v>26312.404950359996</v>
      </c>
      <c r="BF218" s="125">
        <f>AI218*Valores!$C$83</f>
        <v>2923.6005500399997</v>
      </c>
      <c r="BG218" s="126"/>
      <c r="BH218" s="126">
        <f t="shared" si="32"/>
        <v>28</v>
      </c>
      <c r="BI218" s="123" t="s">
        <v>8</v>
      </c>
    </row>
    <row r="219" spans="1:61" s="110" customFormat="1" ht="11.25" customHeight="1">
      <c r="A219" s="123" t="s">
        <v>469</v>
      </c>
      <c r="B219" s="123">
        <v>29</v>
      </c>
      <c r="C219" s="126">
        <v>212</v>
      </c>
      <c r="D219" s="124" t="str">
        <f t="shared" si="30"/>
        <v>Hora Cátedra Enseñanza Superior 29 hs</v>
      </c>
      <c r="E219" s="192">
        <f t="shared" si="31"/>
        <v>2871</v>
      </c>
      <c r="F219" s="125">
        <f>ROUND(E219*Valores!$C$2,2)</f>
        <v>169160.18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54476.28</v>
      </c>
      <c r="N219" s="125">
        <f t="shared" si="34"/>
        <v>0</v>
      </c>
      <c r="O219" s="125">
        <f>Valores!$C$7*B219</f>
        <v>57942.87</v>
      </c>
      <c r="P219" s="125">
        <f>ROUND(IF(B219&lt;15,(Valores!$E$5*B219),Valores!$D$5),2)</f>
        <v>30120.06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30521.050000000003</v>
      </c>
      <c r="S219" s="125">
        <f>Valores!$C$18*B219</f>
        <v>18223.89</v>
      </c>
      <c r="T219" s="125">
        <f t="shared" si="39"/>
        <v>18223.89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IF(Valores!$C$98*B219&gt;Valores!$C$97,Valores!$C$97,Valores!$C$98*B219)</f>
        <v>55633.89</v>
      </c>
      <c r="AA219" s="125">
        <f>IF((Valores!$C$28)*B219&gt;Valores!$F$28,Valores!$F$28,(Valores!$C$28)*B219)</f>
        <v>1431.73</v>
      </c>
      <c r="AB219" s="214">
        <v>0</v>
      </c>
      <c r="AC219" s="125">
        <f t="shared" si="35"/>
        <v>0</v>
      </c>
      <c r="AD219" s="125">
        <f>IF(Valores!$C$29*B219&gt;Valores!$F$29,Valores!$F$29,Valores!$C$29*B219)</f>
        <v>1192.19</v>
      </c>
      <c r="AE219" s="192">
        <v>0</v>
      </c>
      <c r="AF219" s="125">
        <f>ROUND(AE219*Valores!$C$2,2)</f>
        <v>0</v>
      </c>
      <c r="AG219" s="125">
        <f>SUM(F219,H219,J219,L219,M219,N219,O219,P219,Q219,R219,T219,U219,V219,X219,Y219,Z219,AA219,AC219,AD219,AF219,AH219)*Valores!$C$69</f>
        <v>57524.933880000004</v>
      </c>
      <c r="AH219" s="125">
        <f>IF($F$4="NO",IF(Valores!$D$63*'Escala Docente'!B219&gt;Valores!$F$63,Valores!$F$63,Valores!$D$63*'Escala Docente'!B219),IF(Valores!$D$63*'Escala Docente'!B219&gt;Valores!$F$63,Valores!$F$63,Valores!$D$63*'Escala Docente'!B219)/2)+0.06</f>
        <v>27227.58</v>
      </c>
      <c r="AI219" s="125">
        <f t="shared" si="29"/>
        <v>503454.65388000006</v>
      </c>
      <c r="AJ219" s="125">
        <f>IF(Valores!$C$32*B219&gt;Valores!$F$32,Valores!$F$32,Valores!$C$32*B219)</f>
        <v>0</v>
      </c>
      <c r="AK219" s="125">
        <f>IF(Valores!$C$91*B219&gt;Valores!$C$90,Valores!$C$90,Valores!$C$91*B219)</f>
        <v>0</v>
      </c>
      <c r="AL219" s="125">
        <f>IF(Valores!C$39*B219&gt;Valores!F$38,Valores!F$38,Valores!C$39*B219)</f>
        <v>0</v>
      </c>
      <c r="AM219" s="125">
        <f>IF($F$3="NO",0,IF(Valores!$C$61*B219&gt;Valores!$F$61,Valores!$F$61,Valores!$C$61*B219))</f>
        <v>0</v>
      </c>
      <c r="AN219" s="125">
        <f t="shared" si="36"/>
        <v>0</v>
      </c>
      <c r="AO219" s="125">
        <f>AI219*Valores!$C$71</f>
        <v>-55380.011926800005</v>
      </c>
      <c r="AP219" s="125">
        <f>AI219*Valores!$C$72</f>
        <v>-10069.0930776</v>
      </c>
      <c r="AQ219" s="125">
        <f>AI219*-Valores!$C$73</f>
        <v>0</v>
      </c>
      <c r="AR219" s="125">
        <f>AI219*Valores!$C$74</f>
        <v>-27690.005963400003</v>
      </c>
      <c r="AS219" s="125">
        <f>Valores!$C$101</f>
        <v>-1270</v>
      </c>
      <c r="AT219" s="125">
        <f>IF($F$5=0,Valores!$C$102,(Valores!$C$102+$F$5*(Valores!$C$102)))</f>
        <v>-3700</v>
      </c>
      <c r="AU219" s="125">
        <f t="shared" si="38"/>
        <v>405345.54291220004</v>
      </c>
      <c r="AV219" s="125">
        <f t="shared" si="33"/>
        <v>-55380.011926800005</v>
      </c>
      <c r="AW219" s="125">
        <f t="shared" si="40"/>
        <v>-10069.0930776</v>
      </c>
      <c r="AX219" s="125">
        <f>AI219*Valores!$C$75</f>
        <v>-13593.275654760002</v>
      </c>
      <c r="AY219" s="125">
        <f>AI219*Valores!$C$76</f>
        <v>-1510.3639616400003</v>
      </c>
      <c r="AZ219" s="125">
        <f t="shared" si="37"/>
        <v>422901.90925920004</v>
      </c>
      <c r="BA219" s="125">
        <f>AI219*Valores!$C$78</f>
        <v>80552.7446208</v>
      </c>
      <c r="BB219" s="125">
        <f>AI219*Valores!$C$79</f>
        <v>35241.82577160001</v>
      </c>
      <c r="BC219" s="125">
        <f>AI219*Valores!$C$80</f>
        <v>5034.5465388</v>
      </c>
      <c r="BD219" s="125">
        <f>AI219*Valores!$C$82</f>
        <v>17620.912885800004</v>
      </c>
      <c r="BE219" s="125">
        <f>AI219*Valores!$C$84</f>
        <v>27186.551309520004</v>
      </c>
      <c r="BF219" s="125">
        <f>AI219*Valores!$C$83</f>
        <v>3020.7279232800006</v>
      </c>
      <c r="BG219" s="126"/>
      <c r="BH219" s="126">
        <f t="shared" si="32"/>
        <v>29</v>
      </c>
      <c r="BI219" s="123" t="s">
        <v>8</v>
      </c>
    </row>
    <row r="220" spans="1:61" s="110" customFormat="1" ht="11.25" customHeight="1">
      <c r="A220" s="123" t="s">
        <v>469</v>
      </c>
      <c r="B220" s="123">
        <v>30</v>
      </c>
      <c r="C220" s="126">
        <v>213</v>
      </c>
      <c r="D220" s="124" t="str">
        <f t="shared" si="30"/>
        <v>Hora Cátedra Enseñanza Superior 30 hs</v>
      </c>
      <c r="E220" s="192">
        <f t="shared" si="31"/>
        <v>2970</v>
      </c>
      <c r="F220" s="125">
        <f>ROUND(E220*Valores!$C$2,2)</f>
        <v>174993.29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56354.77</v>
      </c>
      <c r="N220" s="125">
        <f t="shared" si="34"/>
        <v>0</v>
      </c>
      <c r="O220" s="125">
        <f>Valores!$C$7*B220</f>
        <v>59940.9</v>
      </c>
      <c r="P220" s="125">
        <f>ROUND(IF(B220&lt;15,(Valores!$E$5*B220),Valores!$D$5),2)</f>
        <v>30120.06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31573.5</v>
      </c>
      <c r="S220" s="125">
        <f>Valores!$C$18*B220</f>
        <v>18852.3</v>
      </c>
      <c r="T220" s="125">
        <f t="shared" si="39"/>
        <v>18852.3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IF(Valores!$C$98*B220&gt;Valores!$C$97,Valores!$C$97,Valores!$C$98*B220)</f>
        <v>57552.3</v>
      </c>
      <c r="AA220" s="125">
        <f>IF((Valores!$C$28)*B220&gt;Valores!$F$28,Valores!$F$28,(Valores!$C$28)*B220)</f>
        <v>1481.1</v>
      </c>
      <c r="AB220" s="214">
        <v>0</v>
      </c>
      <c r="AC220" s="125">
        <f t="shared" si="35"/>
        <v>0</v>
      </c>
      <c r="AD220" s="125">
        <f>IF(Valores!$C$29*B220&gt;Valores!$F$29,Valores!$F$29,Valores!$C$29*B220)</f>
        <v>1231.85</v>
      </c>
      <c r="AE220" s="192">
        <v>0</v>
      </c>
      <c r="AF220" s="125">
        <f>ROUND(AE220*Valores!$C$2,2)</f>
        <v>0</v>
      </c>
      <c r="AG220" s="125">
        <f>SUM(F220,H220,J220,L220,M220,N220,O220,P220,Q220,R220,T220,U220,V220,X220,Y220,Z220,AA220,AC220,AD220,AF220,AH220)*Valores!$C$69</f>
        <v>59374.38237</v>
      </c>
      <c r="AH220" s="125">
        <f>IF($F$4="NO",IF(Valores!$D$63*'Escala Docente'!B220&gt;Valores!$F$63,Valores!$F$63,Valores!$D$63*'Escala Docente'!B220),IF(Valores!$D$63*'Escala Docente'!B220&gt;Valores!$F$63,Valores!$F$63,Valores!$D$63*'Escala Docente'!B220)/2)+0.06</f>
        <v>28166.460000000003</v>
      </c>
      <c r="AI220" s="125">
        <f t="shared" si="29"/>
        <v>519640.91237</v>
      </c>
      <c r="AJ220" s="125">
        <f>IF(Valores!$C$32*B220&gt;Valores!$F$32,Valores!$F$32,Valores!$C$32*B220)</f>
        <v>0</v>
      </c>
      <c r="AK220" s="125">
        <f>IF(Valores!$C$91*B220&gt;Valores!$C$90,Valores!$C$90,Valores!$C$91*B220)</f>
        <v>0</v>
      </c>
      <c r="AL220" s="125">
        <f>IF(Valores!C$39*B220&gt;Valores!F$38,Valores!F$38,Valores!C$39*B220)</f>
        <v>0</v>
      </c>
      <c r="AM220" s="125">
        <f>IF($F$3="NO",0,IF(Valores!$C$61*B220&gt;Valores!$F$61,Valores!$F$61,Valores!$C$61*B220))</f>
        <v>0</v>
      </c>
      <c r="AN220" s="125">
        <f t="shared" si="36"/>
        <v>0</v>
      </c>
      <c r="AO220" s="125">
        <f>AI220*Valores!$C$71</f>
        <v>-57160.500360699996</v>
      </c>
      <c r="AP220" s="125">
        <f>AI220*Valores!$C$72</f>
        <v>-10392.8182474</v>
      </c>
      <c r="AQ220" s="125">
        <f>AI220*-Valores!$C$73</f>
        <v>0</v>
      </c>
      <c r="AR220" s="125">
        <f>AI220*Valores!$C$74</f>
        <v>-28580.250180349998</v>
      </c>
      <c r="AS220" s="125">
        <f>Valores!$C$101</f>
        <v>-1270</v>
      </c>
      <c r="AT220" s="125">
        <f>IF($F$5=0,Valores!$C$102,(Valores!$C$102+$F$5*(Valores!$C$102)))</f>
        <v>-3700</v>
      </c>
      <c r="AU220" s="125">
        <f t="shared" si="38"/>
        <v>418537.34358154994</v>
      </c>
      <c r="AV220" s="125">
        <f t="shared" si="33"/>
        <v>-57160.500360699996</v>
      </c>
      <c r="AW220" s="125">
        <f t="shared" si="40"/>
        <v>-10392.8182474</v>
      </c>
      <c r="AX220" s="125">
        <f>AI220*Valores!$C$75</f>
        <v>-14030.30463399</v>
      </c>
      <c r="AY220" s="125">
        <f>AI220*Valores!$C$76</f>
        <v>-1558.92273711</v>
      </c>
      <c r="AZ220" s="125">
        <f t="shared" si="37"/>
        <v>436498.3663908</v>
      </c>
      <c r="BA220" s="125">
        <f>AI220*Valores!$C$78</f>
        <v>83142.5459792</v>
      </c>
      <c r="BB220" s="125">
        <f>AI220*Valores!$C$79</f>
        <v>36374.8638659</v>
      </c>
      <c r="BC220" s="125">
        <f>AI220*Valores!$C$80</f>
        <v>5196.4091237</v>
      </c>
      <c r="BD220" s="125">
        <f>AI220*Valores!$C$82</f>
        <v>18187.43193295</v>
      </c>
      <c r="BE220" s="125">
        <f>AI220*Valores!$C$84</f>
        <v>28060.60926798</v>
      </c>
      <c r="BF220" s="125">
        <f>AI220*Valores!$C$83</f>
        <v>3117.84547422</v>
      </c>
      <c r="BG220" s="126"/>
      <c r="BH220" s="126">
        <f t="shared" si="32"/>
        <v>30</v>
      </c>
      <c r="BI220" s="123" t="s">
        <v>4</v>
      </c>
    </row>
    <row r="221" spans="1:61" s="110" customFormat="1" ht="11.25" customHeight="1">
      <c r="A221" s="123" t="s">
        <v>469</v>
      </c>
      <c r="B221" s="123">
        <v>31</v>
      </c>
      <c r="C221" s="126">
        <v>214</v>
      </c>
      <c r="D221" s="124" t="str">
        <f t="shared" si="30"/>
        <v>Hora Cátedra Enseñanza Superior 31 hs</v>
      </c>
      <c r="E221" s="192">
        <f t="shared" si="31"/>
        <v>3069</v>
      </c>
      <c r="F221" s="125">
        <f>ROUND(E221*Valores!$C$2,2)</f>
        <v>180826.4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58233.27</v>
      </c>
      <c r="N221" s="125">
        <f t="shared" si="34"/>
        <v>0</v>
      </c>
      <c r="O221" s="125">
        <f>Valores!$C$7*B221</f>
        <v>61938.93</v>
      </c>
      <c r="P221" s="125">
        <f>ROUND(IF(B221&lt;15,(Valores!$E$5*B221),Valores!$D$5),2)</f>
        <v>30120.06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32625.95</v>
      </c>
      <c r="S221" s="125">
        <f>Valores!$C$18*B221</f>
        <v>19480.71</v>
      </c>
      <c r="T221" s="125">
        <f t="shared" si="39"/>
        <v>19480.71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IF(Valores!$C$98*B221&gt;Valores!$C$97,Valores!$C$97,Valores!$C$98*B221)</f>
        <v>59470.71</v>
      </c>
      <c r="AA221" s="125">
        <f>IF((Valores!$C$28)*B221&gt;Valores!$F$28,Valores!$F$28,(Valores!$C$28)*B221)</f>
        <v>1530.47</v>
      </c>
      <c r="AB221" s="214">
        <v>0</v>
      </c>
      <c r="AC221" s="125">
        <f t="shared" si="35"/>
        <v>0</v>
      </c>
      <c r="AD221" s="125">
        <f>IF(Valores!$C$29*B221&gt;Valores!$F$29,Valores!$F$29,Valores!$C$29*B221)</f>
        <v>1231.85</v>
      </c>
      <c r="AE221" s="192">
        <v>0</v>
      </c>
      <c r="AF221" s="125">
        <f>ROUND(AE221*Valores!$C$2,2)</f>
        <v>0</v>
      </c>
      <c r="AG221" s="125">
        <f>SUM(F221,H221,J221,L221,M221,N221,O221,P221,Q221,R221,T221,U221,V221,X221,Y221,Z221,AA221,AC221,AD221,AF221,AH221)*Valores!$C$69</f>
        <v>61097.600490000004</v>
      </c>
      <c r="AH221" s="125">
        <f>IF($F$4="NO",IF(Valores!$D$63*'Escala Docente'!B221&gt;Valores!$F$63,Valores!$F$63,Valores!$D$63*'Escala Docente'!B221),IF(Valores!$D$63*'Escala Docente'!B221&gt;Valores!$F$63,Valores!$F$63,Valores!$D$63*'Escala Docente'!B221)/2)</f>
        <v>28166.46</v>
      </c>
      <c r="AI221" s="125">
        <f aca="true" t="shared" si="41" ref="AI221:AI284">SUM(F221,H221,J221,L221,M221,N221,O221,P221,Q221,R221,T221,U221,V221,X221,Y221,Z221,AA221,AC221,AD221,AF221,AG221,AH221)</f>
        <v>534722.4104899999</v>
      </c>
      <c r="AJ221" s="125">
        <f>IF(Valores!$C$32*B221&gt;Valores!$F$32,Valores!$F$32,Valores!$C$32*B221)</f>
        <v>0</v>
      </c>
      <c r="AK221" s="125">
        <f>IF(Valores!$C$91*B221&gt;Valores!$C$90,Valores!$C$90,Valores!$C$91*B221)</f>
        <v>0</v>
      </c>
      <c r="AL221" s="125">
        <f>IF(Valores!C$39*B221&gt;Valores!F$38,Valores!F$38,Valores!C$39*B221)</f>
        <v>0</v>
      </c>
      <c r="AM221" s="125">
        <f>IF($F$3="NO",0,IF(Valores!$C$61*B221&gt;Valores!$F$61,Valores!$F$61,Valores!$C$61*B221))</f>
        <v>0</v>
      </c>
      <c r="AN221" s="125">
        <f t="shared" si="36"/>
        <v>0</v>
      </c>
      <c r="AO221" s="125">
        <f>AI221*Valores!$C$71</f>
        <v>-58819.46515389999</v>
      </c>
      <c r="AP221" s="125">
        <f>AI221*Valores!$C$72</f>
        <v>-10694.448209799999</v>
      </c>
      <c r="AQ221" s="125">
        <f>AI221*-Valores!$C$73</f>
        <v>0</v>
      </c>
      <c r="AR221" s="125">
        <f>AI221*Valores!$C$74</f>
        <v>-29409.732576949995</v>
      </c>
      <c r="AS221" s="125">
        <f>Valores!$C$101</f>
        <v>-1270</v>
      </c>
      <c r="AT221" s="125">
        <f>IF($F$5=0,Valores!$C$102,(Valores!$C$102+$F$5*(Valores!$C$102)))</f>
        <v>-3700</v>
      </c>
      <c r="AU221" s="125">
        <f t="shared" si="38"/>
        <v>430828.7645493499</v>
      </c>
      <c r="AV221" s="125">
        <f t="shared" si="33"/>
        <v>-58819.46515389999</v>
      </c>
      <c r="AW221" s="125">
        <f t="shared" si="40"/>
        <v>-10694.448209799999</v>
      </c>
      <c r="AX221" s="125">
        <f>AI221*Valores!$C$75</f>
        <v>-14437.505083229998</v>
      </c>
      <c r="AY221" s="125">
        <f>AI221*Valores!$C$76</f>
        <v>-1604.1672314699997</v>
      </c>
      <c r="AZ221" s="125">
        <f t="shared" si="37"/>
        <v>449166.8248115999</v>
      </c>
      <c r="BA221" s="125">
        <f>AI221*Valores!$C$78</f>
        <v>85555.58567839999</v>
      </c>
      <c r="BB221" s="125">
        <f>AI221*Valores!$C$79</f>
        <v>37430.568734299995</v>
      </c>
      <c r="BC221" s="125">
        <f>AI221*Valores!$C$80</f>
        <v>5347.2241048999995</v>
      </c>
      <c r="BD221" s="125">
        <f>AI221*Valores!$C$82</f>
        <v>18715.284367149998</v>
      </c>
      <c r="BE221" s="125">
        <f>AI221*Valores!$C$84</f>
        <v>28875.010166459997</v>
      </c>
      <c r="BF221" s="125">
        <f>AI221*Valores!$C$83</f>
        <v>3208.3344629399994</v>
      </c>
      <c r="BG221" s="126"/>
      <c r="BH221" s="126">
        <f t="shared" si="32"/>
        <v>31</v>
      </c>
      <c r="BI221" s="123" t="s">
        <v>8</v>
      </c>
    </row>
    <row r="222" spans="1:61" s="110" customFormat="1" ht="11.25" customHeight="1">
      <c r="A222" s="123" t="s">
        <v>469</v>
      </c>
      <c r="B222" s="123">
        <v>32</v>
      </c>
      <c r="C222" s="126">
        <v>215</v>
      </c>
      <c r="D222" s="124" t="str">
        <f t="shared" si="30"/>
        <v>Hora Cátedra Enseñanza Superior 32 hs</v>
      </c>
      <c r="E222" s="192">
        <f t="shared" si="31"/>
        <v>3168</v>
      </c>
      <c r="F222" s="125">
        <f>ROUND(E222*Valores!$C$2,2)</f>
        <v>186659.51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60111.76</v>
      </c>
      <c r="N222" s="125">
        <f t="shared" si="34"/>
        <v>0</v>
      </c>
      <c r="O222" s="125">
        <f>Valores!$C$7*B222</f>
        <v>63936.96</v>
      </c>
      <c r="P222" s="125">
        <f>ROUND(IF(B222&lt;15,(Valores!$E$5*B222),Valores!$D$5),2)</f>
        <v>30120.06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33678.4</v>
      </c>
      <c r="S222" s="125">
        <f>Valores!$C$18*B222</f>
        <v>20109.12</v>
      </c>
      <c r="T222" s="125">
        <f t="shared" si="39"/>
        <v>20109.12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IF(Valores!$C$98*B222&gt;Valores!$C$97,Valores!$C$97,Valores!$C$98*B222)</f>
        <v>61389.12</v>
      </c>
      <c r="AA222" s="125">
        <f>IF((Valores!$C$28)*B222&gt;Valores!$F$28,Valores!$F$28,(Valores!$C$28)*B222)</f>
        <v>1579.84</v>
      </c>
      <c r="AB222" s="214">
        <v>0</v>
      </c>
      <c r="AC222" s="125">
        <f t="shared" si="35"/>
        <v>0</v>
      </c>
      <c r="AD222" s="125">
        <f>IF(Valores!$C$29*B222&gt;Valores!$F$29,Valores!$F$29,Valores!$C$29*B222)</f>
        <v>1231.85</v>
      </c>
      <c r="AE222" s="192">
        <v>0</v>
      </c>
      <c r="AF222" s="125">
        <f>ROUND(AE222*Valores!$C$2,2)</f>
        <v>0</v>
      </c>
      <c r="AG222" s="125">
        <f>SUM(F222,H222,J222,L222,M222,N222,O222,P222,Q222,R222,T222,U222,V222,X222,Y222,Z222,AA222,AC222,AD222,AF222,AH222)*Valores!$C$69</f>
        <v>62820.81732000001</v>
      </c>
      <c r="AH222" s="125">
        <f>IF($F$4="NO",IF(Valores!$D$63*'Escala Docente'!B222&gt;Valores!$F$63,Valores!$F$63,Valores!$D$63*'Escala Docente'!B222),IF(Valores!$D$63*'Escala Docente'!B222&gt;Valores!$F$63,Valores!$F$63,Valores!$D$63*'Escala Docente'!B222)/2)</f>
        <v>28166.46</v>
      </c>
      <c r="AI222" s="125">
        <f t="shared" si="41"/>
        <v>549803.8973200001</v>
      </c>
      <c r="AJ222" s="125">
        <f>IF(Valores!$C$32*B222&gt;Valores!$F$32,Valores!$F$32,Valores!$C$32*B222)</f>
        <v>0</v>
      </c>
      <c r="AK222" s="125">
        <f>IF(Valores!$C$91*B222&gt;Valores!$C$90,Valores!$C$90,Valores!$C$91*B222)</f>
        <v>0</v>
      </c>
      <c r="AL222" s="125">
        <f>IF(Valores!C$39*B222&gt;Valores!F$38,Valores!F$38,Valores!C$39*B222)</f>
        <v>0</v>
      </c>
      <c r="AM222" s="125">
        <f>IF($F$3="NO",0,IF(Valores!$C$61*B222&gt;Valores!$F$61,Valores!$F$61,Valores!$C$61*B222))</f>
        <v>0</v>
      </c>
      <c r="AN222" s="125">
        <f t="shared" si="36"/>
        <v>0</v>
      </c>
      <c r="AO222" s="125">
        <f>AI222*Valores!$C$71</f>
        <v>-60478.428705200015</v>
      </c>
      <c r="AP222" s="125">
        <f>AI222*Valores!$C$72</f>
        <v>-10996.077946400002</v>
      </c>
      <c r="AQ222" s="125">
        <f>AI222*-Valores!$C$73</f>
        <v>0</v>
      </c>
      <c r="AR222" s="125">
        <f>AI222*Valores!$C$74</f>
        <v>-30239.214352600007</v>
      </c>
      <c r="AS222" s="125">
        <f>Valores!$C$101</f>
        <v>-1270</v>
      </c>
      <c r="AT222" s="125">
        <f>IF($F$5=0,Valores!$C$102,(Valores!$C$102+$F$5*(Valores!$C$102)))</f>
        <v>-3700</v>
      </c>
      <c r="AU222" s="125">
        <f t="shared" si="38"/>
        <v>443120.17631580005</v>
      </c>
      <c r="AV222" s="125">
        <f t="shared" si="33"/>
        <v>-60478.428705200015</v>
      </c>
      <c r="AW222" s="125">
        <f t="shared" si="40"/>
        <v>-10996.077946400002</v>
      </c>
      <c r="AX222" s="125">
        <f>AI222*Valores!$C$75</f>
        <v>-14844.705227640003</v>
      </c>
      <c r="AY222" s="125">
        <f>AI222*Valores!$C$76</f>
        <v>-1649.4116919600003</v>
      </c>
      <c r="AZ222" s="125">
        <f t="shared" si="37"/>
        <v>461835.27374880004</v>
      </c>
      <c r="BA222" s="125">
        <f>AI222*Valores!$C$78</f>
        <v>87968.62357120002</v>
      </c>
      <c r="BB222" s="125">
        <f>AI222*Valores!$C$79</f>
        <v>38486.27281240001</v>
      </c>
      <c r="BC222" s="125">
        <f>AI222*Valores!$C$80</f>
        <v>5498.038973200001</v>
      </c>
      <c r="BD222" s="125">
        <f>AI222*Valores!$C$82</f>
        <v>19243.136406200007</v>
      </c>
      <c r="BE222" s="125">
        <f>AI222*Valores!$C$84</f>
        <v>29689.410455280005</v>
      </c>
      <c r="BF222" s="125">
        <f>AI222*Valores!$C$83</f>
        <v>3298.8233839200007</v>
      </c>
      <c r="BG222" s="126"/>
      <c r="BH222" s="126">
        <f t="shared" si="32"/>
        <v>32</v>
      </c>
      <c r="BI222" s="123" t="s">
        <v>8</v>
      </c>
    </row>
    <row r="223" spans="1:61" s="110" customFormat="1" ht="11.25" customHeight="1">
      <c r="A223" s="123" t="s">
        <v>469</v>
      </c>
      <c r="B223" s="123">
        <v>33</v>
      </c>
      <c r="C223" s="126">
        <v>216</v>
      </c>
      <c r="D223" s="124" t="str">
        <f t="shared" si="30"/>
        <v>Hora Cátedra Enseñanza Superior 33 hs</v>
      </c>
      <c r="E223" s="192">
        <f t="shared" si="31"/>
        <v>3267</v>
      </c>
      <c r="F223" s="125">
        <f>ROUND(E223*Valores!$C$2,2)</f>
        <v>192492.62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61990.25</v>
      </c>
      <c r="N223" s="125">
        <f t="shared" si="34"/>
        <v>0</v>
      </c>
      <c r="O223" s="125">
        <f>Valores!$C$7*B223</f>
        <v>65934.99</v>
      </c>
      <c r="P223" s="125">
        <f>ROUND(IF(B223&lt;15,(Valores!$E$5*B223),Valores!$D$5),2)</f>
        <v>30120.06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34730.85</v>
      </c>
      <c r="S223" s="125">
        <f>Valores!$C$18*B223</f>
        <v>20737.53</v>
      </c>
      <c r="T223" s="125">
        <f t="shared" si="39"/>
        <v>20737.53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IF(Valores!$C$98*B223&gt;Valores!$C$97,Valores!$C$97,Valores!$C$98*B223)</f>
        <v>63307.530000000006</v>
      </c>
      <c r="AA223" s="125">
        <f>IF((Valores!$C$28)*B223&gt;Valores!$F$28,Valores!$F$28,(Valores!$C$28)*B223)</f>
        <v>1629.2099999999998</v>
      </c>
      <c r="AB223" s="214">
        <v>0</v>
      </c>
      <c r="AC223" s="125">
        <f t="shared" si="35"/>
        <v>0</v>
      </c>
      <c r="AD223" s="125">
        <f>IF(Valores!$C$29*B223&gt;Valores!$F$29,Valores!$F$29,Valores!$C$29*B223)</f>
        <v>1231.85</v>
      </c>
      <c r="AE223" s="192">
        <v>0</v>
      </c>
      <c r="AF223" s="125">
        <f>ROUND(AE223*Valores!$C$2,2)</f>
        <v>0</v>
      </c>
      <c r="AG223" s="125">
        <f>SUM(F223,H223,J223,L223,M223,N223,O223,P223,Q223,R223,T223,U223,V223,X223,Y223,Z223,AA223,AC223,AD223,AF223,AH223)*Valores!$C$69</f>
        <v>64544.03415</v>
      </c>
      <c r="AH223" s="125">
        <f>IF($F$4="NO",IF(Valores!$D$63*'Escala Docente'!B223&gt;Valores!$F$63,Valores!$F$63,Valores!$D$63*'Escala Docente'!B223),IF(Valores!$D$63*'Escala Docente'!B223&gt;Valores!$F$63,Valores!$F$63,Valores!$D$63*'Escala Docente'!B223)/2)</f>
        <v>28166.46</v>
      </c>
      <c r="AI223" s="125">
        <f t="shared" si="41"/>
        <v>564885.3841499999</v>
      </c>
      <c r="AJ223" s="125">
        <f>IF(Valores!$C$32*B223&gt;Valores!$F$32,Valores!$F$32,Valores!$C$32*B223)</f>
        <v>0</v>
      </c>
      <c r="AK223" s="125">
        <f>IF(Valores!$C$91*B223&gt;Valores!$C$90,Valores!$C$90,Valores!$C$91*B223)</f>
        <v>0</v>
      </c>
      <c r="AL223" s="125">
        <f>IF(Valores!C$39*B223&gt;Valores!F$38,Valores!F$38,Valores!C$39*B223)</f>
        <v>0</v>
      </c>
      <c r="AM223" s="125">
        <f>IF($F$3="NO",0,IF(Valores!$C$61*B223&gt;Valores!$F$61,Valores!$F$61,Valores!$C$61*B223))</f>
        <v>0</v>
      </c>
      <c r="AN223" s="125">
        <f t="shared" si="36"/>
        <v>0</v>
      </c>
      <c r="AO223" s="125">
        <f>AI223*Valores!$C$71</f>
        <v>-62137.392256499996</v>
      </c>
      <c r="AP223" s="125">
        <f>AI223*Valores!$C$72</f>
        <v>-11297.707682999999</v>
      </c>
      <c r="AQ223" s="125">
        <f>AI223*-Valores!$C$73</f>
        <v>0</v>
      </c>
      <c r="AR223" s="125">
        <f>AI223*Valores!$C$74</f>
        <v>-31068.696128249998</v>
      </c>
      <c r="AS223" s="125">
        <f>Valores!$C$101</f>
        <v>-1270</v>
      </c>
      <c r="AT223" s="125">
        <f>IF($F$5=0,Valores!$C$102,(Valores!$C$102+$F$5*(Valores!$C$102)))</f>
        <v>-3700</v>
      </c>
      <c r="AU223" s="125">
        <f t="shared" si="38"/>
        <v>455411.58808225</v>
      </c>
      <c r="AV223" s="125">
        <f t="shared" si="33"/>
        <v>-62137.392256499996</v>
      </c>
      <c r="AW223" s="125">
        <f t="shared" si="40"/>
        <v>-11297.707682999999</v>
      </c>
      <c r="AX223" s="125">
        <f>AI223*Valores!$C$75</f>
        <v>-15251.905372049998</v>
      </c>
      <c r="AY223" s="125">
        <f>AI223*Valores!$C$76</f>
        <v>-1694.6561524499998</v>
      </c>
      <c r="AZ223" s="125">
        <f t="shared" si="37"/>
        <v>474503.72268599994</v>
      </c>
      <c r="BA223" s="125">
        <f>AI223*Valores!$C$78</f>
        <v>90381.66146399999</v>
      </c>
      <c r="BB223" s="125">
        <f>AI223*Valores!$C$79</f>
        <v>39541.9768905</v>
      </c>
      <c r="BC223" s="125">
        <f>AI223*Valores!$C$80</f>
        <v>5648.853841499999</v>
      </c>
      <c r="BD223" s="125">
        <f>AI223*Valores!$C$82</f>
        <v>19770.98844525</v>
      </c>
      <c r="BE223" s="125">
        <f>AI223*Valores!$C$84</f>
        <v>30503.810744099996</v>
      </c>
      <c r="BF223" s="125">
        <f>AI223*Valores!$C$83</f>
        <v>3389.3123048999996</v>
      </c>
      <c r="BG223" s="126"/>
      <c r="BH223" s="126">
        <f aca="true" t="shared" si="42" ref="BH223:BH254">1*B223</f>
        <v>33</v>
      </c>
      <c r="BI223" s="123" t="s">
        <v>8</v>
      </c>
    </row>
    <row r="224" spans="1:61" s="110" customFormat="1" ht="11.25" customHeight="1">
      <c r="A224" s="123" t="s">
        <v>469</v>
      </c>
      <c r="B224" s="123">
        <v>34</v>
      </c>
      <c r="C224" s="126">
        <v>217</v>
      </c>
      <c r="D224" s="124" t="str">
        <f t="shared" si="30"/>
        <v>Hora Cátedra Enseñanza Superior 34 hs</v>
      </c>
      <c r="E224" s="192">
        <f t="shared" si="31"/>
        <v>3366</v>
      </c>
      <c r="F224" s="125">
        <f>ROUND(E224*Valores!$C$2,2)</f>
        <v>198325.73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63868.74</v>
      </c>
      <c r="N224" s="125">
        <f t="shared" si="34"/>
        <v>0</v>
      </c>
      <c r="O224" s="125">
        <f>Valores!$C$7*B224</f>
        <v>67933.02</v>
      </c>
      <c r="P224" s="125">
        <f>ROUND(IF(B224&lt;15,(Valores!$E$5*B224),Valores!$D$5),2)</f>
        <v>30120.06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35783.3</v>
      </c>
      <c r="S224" s="125">
        <f>Valores!$C$18*B224</f>
        <v>21365.94</v>
      </c>
      <c r="T224" s="125">
        <f t="shared" si="39"/>
        <v>21365.94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IF(Valores!$C$98*B224&gt;Valores!$C$97,Valores!$C$97,Valores!$C$98*B224)</f>
        <v>65225.94</v>
      </c>
      <c r="AA224" s="125">
        <f>IF((Valores!$C$28)*B224&gt;Valores!$F$28,Valores!$F$28,(Valores!$C$28)*B224)</f>
        <v>1678.58</v>
      </c>
      <c r="AB224" s="214">
        <v>0</v>
      </c>
      <c r="AC224" s="125">
        <f t="shared" si="35"/>
        <v>0</v>
      </c>
      <c r="AD224" s="125">
        <f>IF(Valores!$C$29*B224&gt;Valores!$F$29,Valores!$F$29,Valores!$C$29*B224)</f>
        <v>1231.85</v>
      </c>
      <c r="AE224" s="192">
        <v>0</v>
      </c>
      <c r="AF224" s="125">
        <f>ROUND(AE224*Valores!$C$2,2)</f>
        <v>0</v>
      </c>
      <c r="AG224" s="125">
        <f>SUM(F224,H224,J224,L224,M224,N224,O224,P224,Q224,R224,T224,U224,V224,X224,Y224,Z224,AA224,AC224,AD224,AF224,AH224)*Valores!$C$69</f>
        <v>66267.25098000001</v>
      </c>
      <c r="AH224" s="125">
        <f>IF($F$4="NO",IF(Valores!$D$63*'Escala Docente'!B224&gt;Valores!$F$63,Valores!$F$63,Valores!$D$63*'Escala Docente'!B224),IF(Valores!$D$63*'Escala Docente'!B224&gt;Valores!$F$63,Valores!$F$63,Valores!$D$63*'Escala Docente'!B224)/2)</f>
        <v>28166.46</v>
      </c>
      <c r="AI224" s="125">
        <f t="shared" si="41"/>
        <v>579966.87098</v>
      </c>
      <c r="AJ224" s="125">
        <f>IF(Valores!$C$32*B224&gt;Valores!$F$32,Valores!$F$32,Valores!$C$32*B224)</f>
        <v>0</v>
      </c>
      <c r="AK224" s="125">
        <f>IF(Valores!$C$91*B224&gt;Valores!$C$90,Valores!$C$90,Valores!$C$91*B224)</f>
        <v>0</v>
      </c>
      <c r="AL224" s="125">
        <f>IF(Valores!C$39*B224&gt;Valores!F$38,Valores!F$38,Valores!C$39*B224)</f>
        <v>0</v>
      </c>
      <c r="AM224" s="125">
        <f>IF($F$3="NO",0,IF(Valores!$C$61*B224&gt;Valores!$F$61,Valores!$F$61,Valores!$C$61*B224))</f>
        <v>0</v>
      </c>
      <c r="AN224" s="125">
        <f t="shared" si="36"/>
        <v>0</v>
      </c>
      <c r="AO224" s="125">
        <f>AI224*Valores!$C$71</f>
        <v>-63796.3558078</v>
      </c>
      <c r="AP224" s="125">
        <f>AI224*Valores!$C$72</f>
        <v>-11599.3374196</v>
      </c>
      <c r="AQ224" s="125">
        <f>AI224*-Valores!$C$73</f>
        <v>0</v>
      </c>
      <c r="AR224" s="125">
        <f>AI224*Valores!$C$74</f>
        <v>-31898.1779039</v>
      </c>
      <c r="AS224" s="125">
        <f>Valores!$C$101</f>
        <v>-1270</v>
      </c>
      <c r="AT224" s="125">
        <f>IF($F$5=0,Valores!$C$102,(Valores!$C$102+$F$5*(Valores!$C$102)))</f>
        <v>-3700</v>
      </c>
      <c r="AU224" s="125">
        <f t="shared" si="38"/>
        <v>467702.9998487</v>
      </c>
      <c r="AV224" s="125">
        <f t="shared" si="33"/>
        <v>-63796.3558078</v>
      </c>
      <c r="AW224" s="125">
        <f t="shared" si="40"/>
        <v>-11599.3374196</v>
      </c>
      <c r="AX224" s="125">
        <f>AI224*Valores!$C$75</f>
        <v>-15659.10551646</v>
      </c>
      <c r="AY224" s="125">
        <f>AI224*Valores!$C$76</f>
        <v>-1739.90061294</v>
      </c>
      <c r="AZ224" s="125">
        <f t="shared" si="37"/>
        <v>487172.1716232</v>
      </c>
      <c r="BA224" s="125">
        <f>AI224*Valores!$C$78</f>
        <v>92794.6993568</v>
      </c>
      <c r="BB224" s="125">
        <f>AI224*Valores!$C$79</f>
        <v>40597.680968600005</v>
      </c>
      <c r="BC224" s="125">
        <f>AI224*Valores!$C$80</f>
        <v>5799.6687098</v>
      </c>
      <c r="BD224" s="125">
        <f>AI224*Valores!$C$82</f>
        <v>20298.840484300003</v>
      </c>
      <c r="BE224" s="125">
        <f>AI224*Valores!$C$84</f>
        <v>31318.21103292</v>
      </c>
      <c r="BF224" s="125">
        <f>AI224*Valores!$C$83</f>
        <v>3479.80122588</v>
      </c>
      <c r="BG224" s="126"/>
      <c r="BH224" s="126">
        <f t="shared" si="42"/>
        <v>34</v>
      </c>
      <c r="BI224" s="123" t="s">
        <v>8</v>
      </c>
    </row>
    <row r="225" spans="1:61" s="110" customFormat="1" ht="11.25" customHeight="1">
      <c r="A225" s="123" t="s">
        <v>469</v>
      </c>
      <c r="B225" s="123">
        <v>35</v>
      </c>
      <c r="C225" s="126">
        <v>218</v>
      </c>
      <c r="D225" s="124" t="str">
        <f t="shared" si="30"/>
        <v>Hora Cátedra Enseñanza Superior 35 hs</v>
      </c>
      <c r="E225" s="192">
        <f t="shared" si="31"/>
        <v>3465</v>
      </c>
      <c r="F225" s="125">
        <f>ROUND(E225*Valores!$C$2,2)</f>
        <v>204158.84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65682.3</v>
      </c>
      <c r="N225" s="125">
        <f t="shared" si="34"/>
        <v>0</v>
      </c>
      <c r="O225" s="125">
        <f>Valores!$C$7*B225</f>
        <v>69931.05</v>
      </c>
      <c r="P225" s="125">
        <f>ROUND(IF(B225&lt;15,(Valores!$E$5*B225),Valores!$D$5),2)</f>
        <v>30120.06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36576.018816</v>
      </c>
      <c r="S225" s="125">
        <f>Valores!$C$18*B225</f>
        <v>21994.35</v>
      </c>
      <c r="T225" s="125">
        <f t="shared" si="39"/>
        <v>21994.35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IF(Valores!$C$98*B225&gt;Valores!$C$97,Valores!$C$97,Valores!$C$98*B225)</f>
        <v>67144.35</v>
      </c>
      <c r="AA225" s="125">
        <f>IF((Valores!$C$28)*B225&gt;Valores!$F$28,Valores!$F$28,(Valores!$C$28)*B225)</f>
        <v>1727.9499999999998</v>
      </c>
      <c r="AB225" s="214">
        <v>0</v>
      </c>
      <c r="AC225" s="125">
        <f t="shared" si="35"/>
        <v>0</v>
      </c>
      <c r="AD225" s="125">
        <f>IF(Valores!$C$29*B225&gt;Valores!$F$29,Valores!$F$29,Valores!$C$29*B225)</f>
        <v>1231.85</v>
      </c>
      <c r="AE225" s="192">
        <v>0</v>
      </c>
      <c r="AF225" s="125">
        <f>ROUND(AE225*Valores!$C$2,2)</f>
        <v>0</v>
      </c>
      <c r="AG225" s="125">
        <f>SUM(F225,H225,J225,L225,M225,N225,O225,P225,Q225,R225,T225,U225,V225,X225,Y225,Z225,AA225,AC225,AD225,AF225,AH225)*Valores!$C$69</f>
        <v>67948.586517264</v>
      </c>
      <c r="AH225" s="125">
        <f>IF($F$4="NO",IF(Valores!$D$63*'Escala Docente'!B225&gt;Valores!$F$63,Valores!$F$63,Valores!$D$63*'Escala Docente'!B225),IF(Valores!$D$63*'Escala Docente'!B225&gt;Valores!$F$63,Valores!$F$63,Valores!$D$63*'Escala Docente'!B225)/2)</f>
        <v>28166.46</v>
      </c>
      <c r="AI225" s="125">
        <f t="shared" si="41"/>
        <v>594681.815333264</v>
      </c>
      <c r="AJ225" s="125">
        <f>IF(Valores!$C$32*B225&gt;Valores!$F$32,Valores!$F$32,Valores!$C$32*B225)</f>
        <v>0</v>
      </c>
      <c r="AK225" s="125">
        <f>IF(Valores!$C$91*B225&gt;Valores!$C$90,Valores!$C$90,Valores!$C$91*B225)</f>
        <v>0</v>
      </c>
      <c r="AL225" s="125">
        <f>IF(Valores!C$39*B225&gt;Valores!F$38,Valores!F$38,Valores!C$39*B225)</f>
        <v>0</v>
      </c>
      <c r="AM225" s="125">
        <f>IF($F$3="NO",0,IF(Valores!$C$61*B225&gt;Valores!$F$61,Valores!$F$61,Valores!$C$61*B225))</f>
        <v>0</v>
      </c>
      <c r="AN225" s="125">
        <f t="shared" si="36"/>
        <v>0</v>
      </c>
      <c r="AO225" s="125">
        <f>AI225*Valores!$C$71</f>
        <v>-65414.99968665904</v>
      </c>
      <c r="AP225" s="125">
        <f>AI225*Valores!$C$72</f>
        <v>-11893.63630666528</v>
      </c>
      <c r="AQ225" s="125">
        <f>AI225*-Valores!$C$73</f>
        <v>0</v>
      </c>
      <c r="AR225" s="125">
        <f>AI225*Valores!$C$74</f>
        <v>-32707.49984332952</v>
      </c>
      <c r="AS225" s="125">
        <f>Valores!$C$101</f>
        <v>-1270</v>
      </c>
      <c r="AT225" s="125">
        <f>IF($F$5=0,Valores!$C$102,(Valores!$C$102+$F$5*(Valores!$C$102)))</f>
        <v>-3700</v>
      </c>
      <c r="AU225" s="125">
        <f t="shared" si="38"/>
        <v>479695.6794966101</v>
      </c>
      <c r="AV225" s="125">
        <f t="shared" si="33"/>
        <v>-65414.99968665904</v>
      </c>
      <c r="AW225" s="125">
        <f t="shared" si="40"/>
        <v>-11893.63630666528</v>
      </c>
      <c r="AX225" s="125">
        <f>AI225*Valores!$C$75</f>
        <v>-16056.409013998127</v>
      </c>
      <c r="AY225" s="125">
        <f>AI225*Valores!$C$76</f>
        <v>-1784.0454459997918</v>
      </c>
      <c r="AZ225" s="125">
        <f t="shared" si="37"/>
        <v>499532.7248799417</v>
      </c>
      <c r="BA225" s="125">
        <f>AI225*Valores!$C$78</f>
        <v>95149.09045332223</v>
      </c>
      <c r="BB225" s="125">
        <f>AI225*Valores!$C$79</f>
        <v>41627.72707332848</v>
      </c>
      <c r="BC225" s="125">
        <f>AI225*Valores!$C$80</f>
        <v>5946.81815333264</v>
      </c>
      <c r="BD225" s="125">
        <f>AI225*Valores!$C$82</f>
        <v>20813.86353666424</v>
      </c>
      <c r="BE225" s="125">
        <f>AI225*Valores!$C$84</f>
        <v>32112.818027996254</v>
      </c>
      <c r="BF225" s="125">
        <f>AI225*Valores!$C$83</f>
        <v>3568.0908919995836</v>
      </c>
      <c r="BG225" s="126"/>
      <c r="BH225" s="126">
        <f t="shared" si="42"/>
        <v>35</v>
      </c>
      <c r="BI225" s="123" t="s">
        <v>8</v>
      </c>
    </row>
    <row r="226" spans="1:61" s="110" customFormat="1" ht="11.25" customHeight="1">
      <c r="A226" s="123" t="s">
        <v>469</v>
      </c>
      <c r="B226" s="123">
        <v>36</v>
      </c>
      <c r="C226" s="126">
        <v>219</v>
      </c>
      <c r="D226" s="124" t="str">
        <f t="shared" si="30"/>
        <v>Hora Cátedra Enseñanza Superior 36 hs</v>
      </c>
      <c r="E226" s="192">
        <f t="shared" si="31"/>
        <v>3564</v>
      </c>
      <c r="F226" s="125">
        <f>ROUND(E226*Valores!$C$2,2)</f>
        <v>209991.95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67297.68</v>
      </c>
      <c r="N226" s="125">
        <f t="shared" si="34"/>
        <v>0</v>
      </c>
      <c r="O226" s="125">
        <f>Valores!$C$7*B226</f>
        <v>71929.08</v>
      </c>
      <c r="P226" s="125">
        <f>ROUND(IF(B226&lt;15,(Valores!$E$5*B226),Valores!$D$5),2)</f>
        <v>30120.06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36576.018816</v>
      </c>
      <c r="S226" s="125">
        <f>Valores!$C$18*B226</f>
        <v>22622.76</v>
      </c>
      <c r="T226" s="125">
        <f t="shared" si="39"/>
        <v>22622.76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IF(Valores!$C$98*B226&gt;Valores!$C$97,Valores!$C$97,Valores!$C$98*B226)</f>
        <v>69062.76000000001</v>
      </c>
      <c r="AA226" s="125">
        <f>IF((Valores!$C$28)*B226&gt;Valores!$F$28,Valores!$F$28,(Valores!$C$28)*B226)</f>
        <v>1777.32</v>
      </c>
      <c r="AB226" s="214">
        <v>0</v>
      </c>
      <c r="AC226" s="125">
        <f t="shared" si="35"/>
        <v>0</v>
      </c>
      <c r="AD226" s="125">
        <f>IF(Valores!$C$29*B226&gt;Valores!$F$29,Valores!$F$29,Valores!$C$29*B226)</f>
        <v>1231.85</v>
      </c>
      <c r="AE226" s="192">
        <v>0</v>
      </c>
      <c r="AF226" s="125">
        <f>ROUND(AE226*Valores!$C$2,2)</f>
        <v>0</v>
      </c>
      <c r="AG226" s="125">
        <f>SUM(F226,H226,J226,L226,M226,N226,O226,P226,Q226,R226,T226,U226,V226,X226,Y226,Z226,AA226,AC226,AD226,AF226,AH226)*Valores!$C$69</f>
        <v>69502.096107264</v>
      </c>
      <c r="AH226" s="125">
        <f>IF($F$4="NO",IF(Valores!$D$63*'Escala Docente'!B226&gt;Valores!$F$63,Valores!$F$63,Valores!$D$63*'Escala Docente'!B226),IF(Valores!$D$63*'Escala Docente'!B226&gt;Valores!$F$63,Valores!$F$63,Valores!$D$63*'Escala Docente'!B226)/2)</f>
        <v>28166.46</v>
      </c>
      <c r="AI226" s="125">
        <f t="shared" si="41"/>
        <v>608278.0349232641</v>
      </c>
      <c r="AJ226" s="125">
        <f>IF(Valores!$C$32*B226&gt;Valores!$F$32,Valores!$F$32,Valores!$C$32*B226)</f>
        <v>0</v>
      </c>
      <c r="AK226" s="125">
        <f>IF(Valores!$C$91*B226&gt;Valores!$C$90,Valores!$C$90,Valores!$C$91*B226)</f>
        <v>0</v>
      </c>
      <c r="AL226" s="125">
        <f>IF(Valores!C$39*B226&gt;Valores!F$38,Valores!F$38,Valores!C$39*B226)</f>
        <v>0</v>
      </c>
      <c r="AM226" s="125">
        <f>IF($F$3="NO",0,IF(Valores!$C$61*B226&gt;Valores!$F$61,Valores!$F$61,Valores!$C$61*B226))</f>
        <v>0</v>
      </c>
      <c r="AN226" s="125">
        <f t="shared" si="36"/>
        <v>0</v>
      </c>
      <c r="AO226" s="125">
        <f>AI226*Valores!$C$71</f>
        <v>-66910.58384155904</v>
      </c>
      <c r="AP226" s="125">
        <f>AI226*Valores!$C$72</f>
        <v>-12165.560698465282</v>
      </c>
      <c r="AQ226" s="125">
        <f>AI226*-Valores!$C$73</f>
        <v>0</v>
      </c>
      <c r="AR226" s="125">
        <f>AI226*Valores!$C$74</f>
        <v>-33455.29192077952</v>
      </c>
      <c r="AS226" s="125">
        <f>Valores!$C$101</f>
        <v>-1270</v>
      </c>
      <c r="AT226" s="125">
        <f>IF($F$5=0,Valores!$C$102,(Valores!$C$102+$F$5*(Valores!$C$102)))</f>
        <v>-3700</v>
      </c>
      <c r="AU226" s="125">
        <f t="shared" si="38"/>
        <v>490776.5984624602</v>
      </c>
      <c r="AV226" s="125">
        <f t="shared" si="33"/>
        <v>-66910.58384155904</v>
      </c>
      <c r="AW226" s="125">
        <f t="shared" si="40"/>
        <v>-12165.560698465282</v>
      </c>
      <c r="AX226" s="125">
        <f>AI226*Valores!$C$75</f>
        <v>-16423.50694292813</v>
      </c>
      <c r="AY226" s="125">
        <f>AI226*Valores!$C$76</f>
        <v>-1824.8341047697922</v>
      </c>
      <c r="AZ226" s="125">
        <f t="shared" si="37"/>
        <v>510953.5493355418</v>
      </c>
      <c r="BA226" s="125">
        <f>AI226*Valores!$C$78</f>
        <v>97324.48558772226</v>
      </c>
      <c r="BB226" s="125">
        <f>AI226*Valores!$C$79</f>
        <v>42579.46244462849</v>
      </c>
      <c r="BC226" s="125">
        <f>AI226*Valores!$C$80</f>
        <v>6082.780349232641</v>
      </c>
      <c r="BD226" s="125">
        <f>AI226*Valores!$C$82</f>
        <v>21289.731222314243</v>
      </c>
      <c r="BE226" s="125">
        <f>AI226*Valores!$C$84</f>
        <v>32847.01388585626</v>
      </c>
      <c r="BF226" s="125">
        <f>AI226*Valores!$C$83</f>
        <v>3649.6682095395845</v>
      </c>
      <c r="BG226" s="126"/>
      <c r="BH226" s="126">
        <f t="shared" si="42"/>
        <v>36</v>
      </c>
      <c r="BI226" s="123" t="s">
        <v>8</v>
      </c>
    </row>
    <row r="227" spans="1:61" s="110" customFormat="1" ht="11.25" customHeight="1">
      <c r="A227" s="123" t="s">
        <v>470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43" ref="E227:E258">79*B227</f>
        <v>79</v>
      </c>
      <c r="F227" s="125">
        <f>ROUND(E227*Valores!$C$2,2)</f>
        <v>4654.7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1583.89</v>
      </c>
      <c r="N227" s="125">
        <f t="shared" si="34"/>
        <v>0</v>
      </c>
      <c r="O227" s="125">
        <f>Valores!$C$7*B227</f>
        <v>1998.03</v>
      </c>
      <c r="P227" s="125">
        <f>ROUND(IF(B227&lt;15,(Valores!$E$5*B227),Valores!$D$5),2)</f>
        <v>2008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1052.45</v>
      </c>
      <c r="S227" s="125">
        <f>Valores!$C$18*B227</f>
        <v>628.41</v>
      </c>
      <c r="T227" s="125">
        <f t="shared" si="39"/>
        <v>628.41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IF(Valores!$C$98*B227&gt;Valores!$C$97,Valores!$C$97,Valores!$C$98*B227)</f>
        <v>1918.41</v>
      </c>
      <c r="AA227" s="125">
        <f>IF((Valores!$C$28)*B227&gt;Valores!$F$28,Valores!$F$28,(Valores!$C$28)*B227)</f>
        <v>49.37</v>
      </c>
      <c r="AB227" s="214">
        <v>0</v>
      </c>
      <c r="AC227" s="125">
        <f t="shared" si="35"/>
        <v>0</v>
      </c>
      <c r="AD227" s="125">
        <f>IF(Valores!$C$29*B227&gt;Valores!$F$29,Valores!$F$29,Valores!$C$29*B227)</f>
        <v>41.11</v>
      </c>
      <c r="AE227" s="192">
        <v>0</v>
      </c>
      <c r="AF227" s="125">
        <f>ROUND(AE227*Valores!$C$2,2)</f>
        <v>0</v>
      </c>
      <c r="AG227" s="125">
        <f>SUM(F227,H227,J227,L227,M227,N227,O227,P227,Q227,R227,T227,U227,V227,X227,Y227,Z227,AA227,AC227,AD227,AF227,AH227)*Valores!$C$69</f>
        <v>1918.6492500000004</v>
      </c>
      <c r="AH227" s="125">
        <f>IF($F$4="NO",IF(Valores!$D$63*'Escala Docente'!B227&gt;Valores!$F$63,Valores!$F$63,Valores!$D$63*'Escala Docente'!B227),IF(Valores!$D$63*'Escala Docente'!B227&gt;Valores!$F$63,Valores!$F$63,Valores!$D$63*'Escala Docente'!B227)/2)</f>
        <v>938.88</v>
      </c>
      <c r="AI227" s="125">
        <f t="shared" si="41"/>
        <v>16791.899250000002</v>
      </c>
      <c r="AJ227" s="125">
        <f>IF(Valores!$C$32*B227&gt;Valores!$F$32,Valores!$F$32,Valores!$C$32*B227)</f>
        <v>0</v>
      </c>
      <c r="AK227" s="125">
        <f>IF(Valores!$C$91*B227&gt;Valores!$C$90,Valores!$C$90,Valores!$C$91*B227)</f>
        <v>0</v>
      </c>
      <c r="AL227" s="125">
        <f>IF(Valores!C$39*B227&gt;Valores!F$38,Valores!F$38,Valores!C$39*B227)</f>
        <v>0</v>
      </c>
      <c r="AM227" s="125">
        <f>IF($F$3="NO",0,IF(Valores!$C$62*B227&gt;Valores!$F$62,Valores!$F$62,Valores!$C$62*B227))</f>
        <v>0</v>
      </c>
      <c r="AN227" s="125">
        <f t="shared" si="36"/>
        <v>0</v>
      </c>
      <c r="AO227" s="125">
        <f>AI227*Valores!$C$71</f>
        <v>-1847.1089175000002</v>
      </c>
      <c r="AP227" s="125">
        <f>AI227*Valores!$C$72</f>
        <v>-335.83798500000006</v>
      </c>
      <c r="AQ227" s="125">
        <f>AI227*-Valores!$C$73</f>
        <v>0</v>
      </c>
      <c r="AR227" s="125">
        <f>AI227*Valores!$C$74</f>
        <v>-923.5544587500001</v>
      </c>
      <c r="AS227" s="125">
        <f>Valores!$C$101</f>
        <v>-1270</v>
      </c>
      <c r="AT227" s="125">
        <f>IF($F$5=0,Valores!$C$102,(Valores!$C$102+$F$5*(Valores!$C$102)))</f>
        <v>-3700</v>
      </c>
      <c r="AU227" s="125">
        <f t="shared" si="38"/>
        <v>8715.397888750002</v>
      </c>
      <c r="AV227" s="125">
        <f t="shared" si="33"/>
        <v>-1847.1089175000002</v>
      </c>
      <c r="AW227" s="125">
        <f t="shared" si="40"/>
        <v>-335.83798500000006</v>
      </c>
      <c r="AX227" s="125">
        <f>AI227*Valores!$C$75</f>
        <v>-453.38127975000003</v>
      </c>
      <c r="AY227" s="125">
        <f>AI227*Valores!$C$76</f>
        <v>-50.37569775000001</v>
      </c>
      <c r="AZ227" s="125">
        <f t="shared" si="37"/>
        <v>14105.195370000001</v>
      </c>
      <c r="BA227" s="125">
        <f>AI227*Valores!$C$78</f>
        <v>2686.7038800000005</v>
      </c>
      <c r="BB227" s="125">
        <f>AI227*Valores!$C$79</f>
        <v>1175.4329475000002</v>
      </c>
      <c r="BC227" s="125">
        <f>AI227*Valores!$C$80</f>
        <v>167.91899250000003</v>
      </c>
      <c r="BD227" s="125">
        <f>AI227*Valores!$C$82</f>
        <v>587.7164737500001</v>
      </c>
      <c r="BE227" s="125">
        <f>AI227*Valores!$C$84</f>
        <v>906.7625595000001</v>
      </c>
      <c r="BF227" s="125">
        <f>AI227*Valores!$C$83</f>
        <v>100.75139550000002</v>
      </c>
      <c r="BG227" s="126"/>
      <c r="BH227" s="126">
        <f t="shared" si="42"/>
        <v>1</v>
      </c>
      <c r="BI227" s="123" t="s">
        <v>4</v>
      </c>
    </row>
    <row r="228" spans="1:61" s="110" customFormat="1" ht="11.25" customHeight="1">
      <c r="A228" s="123" t="s">
        <v>470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43"/>
        <v>79</v>
      </c>
      <c r="F228" s="125">
        <f>ROUND(E228*Valores!$C$2,2)</f>
        <v>4654.7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1583.89</v>
      </c>
      <c r="N228" s="125">
        <f t="shared" si="34"/>
        <v>0</v>
      </c>
      <c r="O228" s="125">
        <f>Valores!$C$7*B228</f>
        <v>1998.03</v>
      </c>
      <c r="P228" s="125">
        <f>ROUND(IF(B228&lt;15,(Valores!$E$5*B228),Valores!$D$5),2)</f>
        <v>2008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1052.45</v>
      </c>
      <c r="S228" s="125">
        <f>Valores!$C$18*B228</f>
        <v>628.41</v>
      </c>
      <c r="T228" s="125">
        <f t="shared" si="39"/>
        <v>628.41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IF(Valores!$C$98*B228&gt;Valores!$C$97,Valores!$C$97,Valores!$C$98*B228)</f>
        <v>1918.41</v>
      </c>
      <c r="AA228" s="125">
        <f>IF((Valores!$C$28)*B228&gt;Valores!$F$28,Valores!$F$28,(Valores!$C$28)*B228)</f>
        <v>49.37</v>
      </c>
      <c r="AB228" s="214">
        <v>0</v>
      </c>
      <c r="AC228" s="125">
        <f t="shared" si="35"/>
        <v>0</v>
      </c>
      <c r="AD228" s="125">
        <f>IF(Valores!$C$29*B228&gt;Valores!$F$29,Valores!$F$29,Valores!$C$29*B228)</f>
        <v>41.11</v>
      </c>
      <c r="AE228" s="192">
        <v>94</v>
      </c>
      <c r="AF228" s="125">
        <f>ROUND(AE228*Valores!$C$2,2)</f>
        <v>5538.51</v>
      </c>
      <c r="AG228" s="125">
        <f>SUM(F228,H228,J228,L228,M228,N228,O228,P228,Q228,R228,T228,U228,V228,X228,Y228,Z228,AA228,AC228,AD228,AF228,AH228)*Valores!$C$69</f>
        <v>2633.117040000001</v>
      </c>
      <c r="AH228" s="125">
        <f>IF($F$4="NO",IF(Valores!$D$63*'Escala Docente'!B228&gt;Valores!$F$63,Valores!$F$63,Valores!$D$63*'Escala Docente'!B228),IF(Valores!$D$63*'Escala Docente'!B228&gt;Valores!$F$63,Valores!$F$63,Valores!$D$63*'Escala Docente'!B228)/2)</f>
        <v>938.88</v>
      </c>
      <c r="AI228" s="125">
        <f t="shared" si="41"/>
        <v>23044.877040000007</v>
      </c>
      <c r="AJ228" s="125">
        <f>IF(Valores!$C$32*B228&gt;Valores!$F$32,Valores!$F$32,Valores!$C$32*B228)</f>
        <v>0</v>
      </c>
      <c r="AK228" s="125">
        <f>IF(Valores!$C$91*B228&gt;Valores!$C$90,Valores!$C$90,Valores!$C$91*B228)</f>
        <v>0</v>
      </c>
      <c r="AL228" s="125">
        <f>IF(Valores!C$39*B228&gt;Valores!F$38,Valores!F$38,Valores!C$39*B228)</f>
        <v>0</v>
      </c>
      <c r="AM228" s="125">
        <f>IF($F$3="NO",0,IF(Valores!$C$62*B228&gt;Valores!$F$62,Valores!$F$62,Valores!$C$62*B228))</f>
        <v>0</v>
      </c>
      <c r="AN228" s="125">
        <f t="shared" si="36"/>
        <v>0</v>
      </c>
      <c r="AO228" s="125">
        <f>AI228*Valores!$C$71</f>
        <v>-2534.936474400001</v>
      </c>
      <c r="AP228" s="125">
        <f>AI228*Valores!$C$72</f>
        <v>-460.8975408000001</v>
      </c>
      <c r="AQ228" s="125">
        <f>AI228*-Valores!$C$73</f>
        <v>0</v>
      </c>
      <c r="AR228" s="125">
        <f>AI228*Valores!$C$74</f>
        <v>-1267.4682372000004</v>
      </c>
      <c r="AS228" s="125">
        <f>Valores!$C$101</f>
        <v>-1270</v>
      </c>
      <c r="AT228" s="125">
        <f>IF($F$5=0,Valores!$C$102,(Valores!$C$102+$F$5*(Valores!$C$102)))</f>
        <v>-3700</v>
      </c>
      <c r="AU228" s="125">
        <f t="shared" si="38"/>
        <v>13811.574787600006</v>
      </c>
      <c r="AV228" s="125">
        <f t="shared" si="33"/>
        <v>-2534.936474400001</v>
      </c>
      <c r="AW228" s="125">
        <f t="shared" si="40"/>
        <v>-460.8975408000001</v>
      </c>
      <c r="AX228" s="125">
        <f>AI228*Valores!$C$75</f>
        <v>-622.2116800800002</v>
      </c>
      <c r="AY228" s="125">
        <f>AI228*Valores!$C$76</f>
        <v>-69.13463112000002</v>
      </c>
      <c r="AZ228" s="125">
        <f t="shared" si="37"/>
        <v>19357.696713600006</v>
      </c>
      <c r="BA228" s="125">
        <f>AI228*Valores!$C$78</f>
        <v>3687.180326400001</v>
      </c>
      <c r="BB228" s="125">
        <f>AI228*Valores!$C$79</f>
        <v>1613.1413928000006</v>
      </c>
      <c r="BC228" s="125">
        <f>AI228*Valores!$C$80</f>
        <v>230.44877040000006</v>
      </c>
      <c r="BD228" s="125">
        <f>AI228*Valores!$C$82</f>
        <v>806.5706964000003</v>
      </c>
      <c r="BE228" s="125">
        <f>AI228*Valores!$C$84</f>
        <v>1244.4233601600004</v>
      </c>
      <c r="BF228" s="125">
        <f>AI228*Valores!$C$83</f>
        <v>138.26926224000005</v>
      </c>
      <c r="BG228" s="126"/>
      <c r="BH228" s="126">
        <f t="shared" si="42"/>
        <v>1</v>
      </c>
      <c r="BI228" s="123" t="s">
        <v>4</v>
      </c>
    </row>
    <row r="229" spans="1:61" s="110" customFormat="1" ht="11.25" customHeight="1">
      <c r="A229" s="123" t="s">
        <v>470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43"/>
        <v>158</v>
      </c>
      <c r="F229" s="125">
        <f>ROUND(E229*Valores!$C$2,2)</f>
        <v>9309.41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3167.78</v>
      </c>
      <c r="N229" s="125">
        <f t="shared" si="34"/>
        <v>0</v>
      </c>
      <c r="O229" s="125">
        <f>Valores!$C$7*B229</f>
        <v>3996.06</v>
      </c>
      <c r="P229" s="125">
        <f>ROUND(IF(B229&lt;15,(Valores!$E$5*B229),Valores!$D$5),2)</f>
        <v>4016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2104.9</v>
      </c>
      <c r="S229" s="125">
        <f>Valores!$C$18*B229</f>
        <v>1256.82</v>
      </c>
      <c r="T229" s="125">
        <f t="shared" si="39"/>
        <v>1256.82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IF(Valores!$C$98*B229&gt;Valores!$C$97,Valores!$C$97,Valores!$C$98*B229)</f>
        <v>3836.82</v>
      </c>
      <c r="AA229" s="125">
        <f>IF((Valores!$C$28)*B229&gt;Valores!$F$28,Valores!$F$28,(Valores!$C$28)*B229)</f>
        <v>98.74</v>
      </c>
      <c r="AB229" s="214">
        <v>0</v>
      </c>
      <c r="AC229" s="125">
        <f t="shared" si="35"/>
        <v>0</v>
      </c>
      <c r="AD229" s="125">
        <f>IF(Valores!$C$29*B229&gt;Valores!$F$29,Valores!$F$29,Valores!$C$29*B229)</f>
        <v>82.22</v>
      </c>
      <c r="AE229" s="192">
        <v>0</v>
      </c>
      <c r="AF229" s="125">
        <f>ROUND(AE229*Valores!$C$2,2)</f>
        <v>0</v>
      </c>
      <c r="AG229" s="125">
        <f>SUM(F229,H229,J229,L229,M229,N229,O229,P229,Q229,R229,T229,U229,V229,X229,Y229,Z229,AA229,AC229,AD229,AF229,AH229)*Valores!$C$69</f>
        <v>3837.2997900000005</v>
      </c>
      <c r="AH229" s="125">
        <f>IF($F$4="NO",IF(Valores!$D$63*'Escala Docente'!B229&gt;Valores!$F$63,Valores!$F$63,Valores!$D$63*'Escala Docente'!B229),IF(Valores!$D$63*'Escala Docente'!B229&gt;Valores!$F$63,Valores!$F$63,Valores!$D$63*'Escala Docente'!B229)/2)</f>
        <v>1877.76</v>
      </c>
      <c r="AI229" s="125">
        <f t="shared" si="41"/>
        <v>33583.80979000001</v>
      </c>
      <c r="AJ229" s="125">
        <f>IF(Valores!$C$32*B229&gt;Valores!$F$32,Valores!$F$32,Valores!$C$32*B229)</f>
        <v>0</v>
      </c>
      <c r="AK229" s="125">
        <f>IF(Valores!$C$91*B229&gt;Valores!$C$90,Valores!$C$90,Valores!$C$91*B229)</f>
        <v>0</v>
      </c>
      <c r="AL229" s="125">
        <f>IF(Valores!C$39*B229&gt;Valores!F$38,Valores!F$38,Valores!C$39*B229)</f>
        <v>0</v>
      </c>
      <c r="AM229" s="125">
        <f>IF($F$3="NO",0,IF(Valores!$C$62*B229&gt;Valores!$F$62,Valores!$F$62,Valores!$C$62*B229))</f>
        <v>0</v>
      </c>
      <c r="AN229" s="125">
        <f t="shared" si="36"/>
        <v>0</v>
      </c>
      <c r="AO229" s="125">
        <f>AI229*Valores!$C$71</f>
        <v>-3694.219076900001</v>
      </c>
      <c r="AP229" s="125">
        <f>AI229*Valores!$C$72</f>
        <v>-671.6761958000002</v>
      </c>
      <c r="AQ229" s="125">
        <f>AI229*-Valores!$C$73</f>
        <v>0</v>
      </c>
      <c r="AR229" s="125">
        <f>AI229*Valores!$C$74</f>
        <v>-1847.1095384500004</v>
      </c>
      <c r="AS229" s="125">
        <f>Valores!$C$101</f>
        <v>-1270</v>
      </c>
      <c r="AT229" s="125">
        <f>IF($F$5=0,Valores!$C$102,(Valores!$C$102+$F$5*(Valores!$C$102)))</f>
        <v>-3700</v>
      </c>
      <c r="AU229" s="125">
        <f t="shared" si="38"/>
        <v>22400.804978850007</v>
      </c>
      <c r="AV229" s="125">
        <f t="shared" si="33"/>
        <v>-3694.219076900001</v>
      </c>
      <c r="AW229" s="125">
        <f t="shared" si="40"/>
        <v>-671.6761958000002</v>
      </c>
      <c r="AX229" s="125">
        <f>AI229*Valores!$C$75</f>
        <v>-906.7628643300002</v>
      </c>
      <c r="AY229" s="125">
        <f>AI229*Valores!$C$76</f>
        <v>-100.75142937000003</v>
      </c>
      <c r="AZ229" s="125">
        <f t="shared" si="37"/>
        <v>28210.400223600005</v>
      </c>
      <c r="BA229" s="125">
        <f>AI229*Valores!$C$78</f>
        <v>5373.4095664000015</v>
      </c>
      <c r="BB229" s="125">
        <f>AI229*Valores!$C$79</f>
        <v>2350.866685300001</v>
      </c>
      <c r="BC229" s="125">
        <f>AI229*Valores!$C$80</f>
        <v>335.8380979000001</v>
      </c>
      <c r="BD229" s="125">
        <f>AI229*Valores!$C$82</f>
        <v>1175.4333426500004</v>
      </c>
      <c r="BE229" s="125">
        <f>AI229*Valores!$C$84</f>
        <v>1813.5257286600004</v>
      </c>
      <c r="BF229" s="125">
        <f>AI229*Valores!$C$83</f>
        <v>201.50285874000005</v>
      </c>
      <c r="BG229" s="126"/>
      <c r="BH229" s="126">
        <f t="shared" si="42"/>
        <v>2</v>
      </c>
      <c r="BI229" s="123" t="s">
        <v>4</v>
      </c>
    </row>
    <row r="230" spans="1:61" s="110" customFormat="1" ht="11.25" customHeight="1">
      <c r="A230" s="123" t="s">
        <v>470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43"/>
        <v>158</v>
      </c>
      <c r="F230" s="125">
        <f>ROUND(E230*Valores!$C$2,2)</f>
        <v>9309.41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3167.78</v>
      </c>
      <c r="N230" s="125">
        <f t="shared" si="34"/>
        <v>0</v>
      </c>
      <c r="O230" s="125">
        <f>Valores!$C$7*B230</f>
        <v>3996.06</v>
      </c>
      <c r="P230" s="125">
        <f>ROUND(IF(B230&lt;15,(Valores!$E$5*B230),Valores!$D$5),2)</f>
        <v>4016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2104.9</v>
      </c>
      <c r="S230" s="125">
        <f>Valores!$C$18*B230</f>
        <v>1256.82</v>
      </c>
      <c r="T230" s="125">
        <f t="shared" si="39"/>
        <v>1256.82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IF(Valores!$C$98*B230&gt;Valores!$C$97,Valores!$C$97,Valores!$C$98*B230)</f>
        <v>3836.82</v>
      </c>
      <c r="AA230" s="125">
        <f>IF((Valores!$C$28)*B230&gt;Valores!$F$28,Valores!$F$28,(Valores!$C$28)*B230)</f>
        <v>98.74</v>
      </c>
      <c r="AB230" s="214">
        <v>0</v>
      </c>
      <c r="AC230" s="125">
        <f t="shared" si="35"/>
        <v>0</v>
      </c>
      <c r="AD230" s="125">
        <f>IF(Valores!$C$29*B230&gt;Valores!$F$29,Valores!$F$29,Valores!$C$29*B230)</f>
        <v>82.22</v>
      </c>
      <c r="AE230" s="192">
        <v>94</v>
      </c>
      <c r="AF230" s="125">
        <f>ROUND(AE230*Valores!$C$2,2)</f>
        <v>5538.51</v>
      </c>
      <c r="AG230" s="125">
        <f>SUM(F230,H230,J230,L230,M230,N230,O230,P230,Q230,R230,T230,U230,V230,X230,Y230,Z230,AA230,AC230,AD230,AF230,AH230)*Valores!$C$69</f>
        <v>4551.767580000001</v>
      </c>
      <c r="AH230" s="125">
        <f>IF($F$4="NO",IF(Valores!$D$63*'Escala Docente'!B230&gt;Valores!$F$63,Valores!$F$63,Valores!$D$63*'Escala Docente'!B230),IF(Valores!$D$63*'Escala Docente'!B230&gt;Valores!$F$63,Valores!$F$63,Valores!$D$63*'Escala Docente'!B230)/2)</f>
        <v>1877.76</v>
      </c>
      <c r="AI230" s="125">
        <f t="shared" si="41"/>
        <v>39836.787580000004</v>
      </c>
      <c r="AJ230" s="125">
        <f>IF(Valores!$C$32*B230&gt;Valores!$F$32,Valores!$F$32,Valores!$C$32*B230)</f>
        <v>0</v>
      </c>
      <c r="AK230" s="125">
        <f>IF(Valores!$C$91*B230&gt;Valores!$C$90,Valores!$C$90,Valores!$C$91*B230)</f>
        <v>0</v>
      </c>
      <c r="AL230" s="125">
        <f>IF(Valores!C$39*B230&gt;Valores!F$38,Valores!F$38,Valores!C$39*B230)</f>
        <v>0</v>
      </c>
      <c r="AM230" s="125">
        <f>IF($F$3="NO",0,IF(Valores!$C$62*B230&gt;Valores!$F$62,Valores!$F$62,Valores!$C$62*B230))</f>
        <v>0</v>
      </c>
      <c r="AN230" s="125">
        <f t="shared" si="36"/>
        <v>0</v>
      </c>
      <c r="AO230" s="125">
        <f>AI230*Valores!$C$71</f>
        <v>-4382.046633800001</v>
      </c>
      <c r="AP230" s="125">
        <f>AI230*Valores!$C$72</f>
        <v>-796.7357516000001</v>
      </c>
      <c r="AQ230" s="125">
        <f>AI230*-Valores!$C$73</f>
        <v>0</v>
      </c>
      <c r="AR230" s="125">
        <f>AI230*Valores!$C$74</f>
        <v>-2191.0233169000003</v>
      </c>
      <c r="AS230" s="125">
        <f>Valores!$C$101</f>
        <v>-1270</v>
      </c>
      <c r="AT230" s="125">
        <f>IF($F$5=0,Valores!$C$102,(Valores!$C$102+$F$5*(Valores!$C$102)))</f>
        <v>-3700</v>
      </c>
      <c r="AU230" s="125">
        <f t="shared" si="38"/>
        <v>27496.981877700004</v>
      </c>
      <c r="AV230" s="125">
        <f t="shared" si="33"/>
        <v>-4382.046633800001</v>
      </c>
      <c r="AW230" s="125">
        <f t="shared" si="40"/>
        <v>-796.7357516000001</v>
      </c>
      <c r="AX230" s="125">
        <f>AI230*Valores!$C$75</f>
        <v>-1075.5932646600002</v>
      </c>
      <c r="AY230" s="125">
        <f>AI230*Valores!$C$76</f>
        <v>-119.51036274000002</v>
      </c>
      <c r="AZ230" s="125">
        <f t="shared" si="37"/>
        <v>33462.9015672</v>
      </c>
      <c r="BA230" s="125">
        <f>AI230*Valores!$C$78</f>
        <v>6373.886012800001</v>
      </c>
      <c r="BB230" s="125">
        <f>AI230*Valores!$C$79</f>
        <v>2788.5751306000006</v>
      </c>
      <c r="BC230" s="125">
        <f>AI230*Valores!$C$80</f>
        <v>398.36787580000004</v>
      </c>
      <c r="BD230" s="125">
        <f>AI230*Valores!$C$82</f>
        <v>1394.2875653000003</v>
      </c>
      <c r="BE230" s="125">
        <f>AI230*Valores!$C$84</f>
        <v>2151.1865293200003</v>
      </c>
      <c r="BF230" s="125">
        <f>AI230*Valores!$C$83</f>
        <v>239.02072548000004</v>
      </c>
      <c r="BG230" s="126"/>
      <c r="BH230" s="126">
        <f t="shared" si="42"/>
        <v>2</v>
      </c>
      <c r="BI230" s="123" t="s">
        <v>4</v>
      </c>
    </row>
    <row r="231" spans="1:61" s="110" customFormat="1" ht="11.25" customHeight="1">
      <c r="A231" s="123" t="s">
        <v>470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43"/>
        <v>237</v>
      </c>
      <c r="F231" s="125">
        <f>ROUND(E231*Valores!$C$2,2)</f>
        <v>13964.11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4751.67</v>
      </c>
      <c r="N231" s="125">
        <f t="shared" si="34"/>
        <v>0</v>
      </c>
      <c r="O231" s="125">
        <f>Valores!$C$7*B231</f>
        <v>5994.09</v>
      </c>
      <c r="P231" s="125">
        <f>ROUND(IF(B231&lt;15,(Valores!$E$5*B231),Valores!$D$5),2)</f>
        <v>6024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3157.3500000000004</v>
      </c>
      <c r="S231" s="125">
        <f>Valores!$C$18*B231</f>
        <v>1885.23</v>
      </c>
      <c r="T231" s="125">
        <f t="shared" si="39"/>
        <v>1885.23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IF(Valores!$C$98*B231&gt;Valores!$C$97,Valores!$C$97,Valores!$C$98*B231)</f>
        <v>5755.2300000000005</v>
      </c>
      <c r="AA231" s="125">
        <f>IF((Valores!$C$28)*B231&gt;Valores!$F$28,Valores!$F$28,(Valores!$C$28)*B231)</f>
        <v>148.10999999999999</v>
      </c>
      <c r="AB231" s="214">
        <v>0</v>
      </c>
      <c r="AC231" s="125">
        <f t="shared" si="35"/>
        <v>0</v>
      </c>
      <c r="AD231" s="125">
        <f>IF(Valores!$C$29*B231&gt;Valores!$F$29,Valores!$F$29,Valores!$C$29*B231)</f>
        <v>123.33</v>
      </c>
      <c r="AE231" s="192">
        <v>0</v>
      </c>
      <c r="AF231" s="125">
        <f>ROUND(AE231*Valores!$C$2,2)</f>
        <v>0</v>
      </c>
      <c r="AG231" s="125">
        <f>SUM(F231,H231,J231,L231,M231,N231,O231,P231,Q231,R231,T231,U231,V231,X231,Y231,Z231,AA231,AC231,AD231,AF231,AH231)*Valores!$C$69</f>
        <v>5755.9503300000015</v>
      </c>
      <c r="AH231" s="125">
        <f>IF($F$4="NO",IF(Valores!$D$63*'Escala Docente'!B231&gt;Valores!$F$63,Valores!$F$63,Valores!$D$63*'Escala Docente'!B231),IF(Valores!$D$63*'Escala Docente'!B231&gt;Valores!$F$63,Valores!$F$63,Valores!$D$63*'Escala Docente'!B231)/2)+0.01</f>
        <v>2816.65</v>
      </c>
      <c r="AI231" s="125">
        <f t="shared" si="41"/>
        <v>50375.72033000001</v>
      </c>
      <c r="AJ231" s="125">
        <f>IF(Valores!$C$32*B231&gt;Valores!$F$32,Valores!$F$32,Valores!$C$32*B231)</f>
        <v>0</v>
      </c>
      <c r="AK231" s="125">
        <f>IF(Valores!$C$91*B231&gt;Valores!$C$90,Valores!$C$90,Valores!$C$91*B231)</f>
        <v>0</v>
      </c>
      <c r="AL231" s="125">
        <f>IF(Valores!C$39*B231&gt;Valores!F$38,Valores!F$38,Valores!C$39*B231)</f>
        <v>0</v>
      </c>
      <c r="AM231" s="125">
        <f>IF($F$3="NO",0,IF(Valores!$C$62*B231&gt;Valores!$F$62,Valores!$F$62,Valores!$C$62*B231))</f>
        <v>0</v>
      </c>
      <c r="AN231" s="125">
        <f t="shared" si="36"/>
        <v>0</v>
      </c>
      <c r="AO231" s="125">
        <f>AI231*Valores!$C$71</f>
        <v>-5541.329236300001</v>
      </c>
      <c r="AP231" s="125">
        <f>AI231*Valores!$C$72</f>
        <v>-1007.5144066000003</v>
      </c>
      <c r="AQ231" s="125">
        <f>AI231*-Valores!$C$73</f>
        <v>0</v>
      </c>
      <c r="AR231" s="125">
        <f>AI231*Valores!$C$74</f>
        <v>-2770.6646181500005</v>
      </c>
      <c r="AS231" s="125">
        <f>Valores!$C$101</f>
        <v>-1270</v>
      </c>
      <c r="AT231" s="125">
        <f>IF($F$5=0,Valores!$C$102,(Valores!$C$102+$F$5*(Valores!$C$102)))</f>
        <v>-3700</v>
      </c>
      <c r="AU231" s="125">
        <f t="shared" si="38"/>
        <v>36086.21206895001</v>
      </c>
      <c r="AV231" s="125">
        <f t="shared" si="33"/>
        <v>-5541.329236300001</v>
      </c>
      <c r="AW231" s="125">
        <f t="shared" si="40"/>
        <v>-1007.5144066000003</v>
      </c>
      <c r="AX231" s="125">
        <f>AI231*Valores!$C$75</f>
        <v>-1360.1444489100004</v>
      </c>
      <c r="AY231" s="125">
        <f>AI231*Valores!$C$76</f>
        <v>-151.12716099000005</v>
      </c>
      <c r="AZ231" s="125">
        <f t="shared" si="37"/>
        <v>42315.60507720001</v>
      </c>
      <c r="BA231" s="125">
        <f>AI231*Valores!$C$78</f>
        <v>8060.115252800002</v>
      </c>
      <c r="BB231" s="125">
        <f>AI231*Valores!$C$79</f>
        <v>3526.300423100001</v>
      </c>
      <c r="BC231" s="125">
        <f>AI231*Valores!$C$80</f>
        <v>503.7572033000001</v>
      </c>
      <c r="BD231" s="125">
        <f>AI231*Valores!$C$82</f>
        <v>1763.1502115500004</v>
      </c>
      <c r="BE231" s="125">
        <f>AI231*Valores!$C$84</f>
        <v>2720.288897820001</v>
      </c>
      <c r="BF231" s="125">
        <f>AI231*Valores!$C$83</f>
        <v>302.2543219800001</v>
      </c>
      <c r="BG231" s="126"/>
      <c r="BH231" s="126">
        <f t="shared" si="42"/>
        <v>3</v>
      </c>
      <c r="BI231" s="123" t="s">
        <v>4</v>
      </c>
    </row>
    <row r="232" spans="1:61" s="110" customFormat="1" ht="11.25" customHeight="1">
      <c r="A232" s="123" t="s">
        <v>470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43"/>
        <v>237</v>
      </c>
      <c r="F232" s="125">
        <f>ROUND(E232*Valores!$C$2,2)</f>
        <v>13964.11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4751.67</v>
      </c>
      <c r="N232" s="125">
        <f t="shared" si="34"/>
        <v>0</v>
      </c>
      <c r="O232" s="125">
        <f>Valores!$C$7*B232</f>
        <v>5994.09</v>
      </c>
      <c r="P232" s="125">
        <f>ROUND(IF(B232&lt;15,(Valores!$E$5*B232),Valores!$D$5),2)</f>
        <v>6024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3157.3500000000004</v>
      </c>
      <c r="S232" s="125">
        <f>Valores!$C$18*B232</f>
        <v>1885.23</v>
      </c>
      <c r="T232" s="125">
        <f t="shared" si="39"/>
        <v>1885.23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IF(Valores!$C$98*B232&gt;Valores!$C$97,Valores!$C$97,Valores!$C$98*B232)</f>
        <v>5755.2300000000005</v>
      </c>
      <c r="AA232" s="125">
        <f>IF((Valores!$C$28)*B232&gt;Valores!$F$28,Valores!$F$28,(Valores!$C$28)*B232)</f>
        <v>148.10999999999999</v>
      </c>
      <c r="AB232" s="214">
        <v>0</v>
      </c>
      <c r="AC232" s="125">
        <f t="shared" si="35"/>
        <v>0</v>
      </c>
      <c r="AD232" s="125">
        <f>IF(Valores!$C$29*B232&gt;Valores!$F$29,Valores!$F$29,Valores!$C$29*B232)</f>
        <v>123.33</v>
      </c>
      <c r="AE232" s="192">
        <v>94</v>
      </c>
      <c r="AF232" s="125">
        <f>ROUND(AE232*Valores!$C$2,2)</f>
        <v>5538.51</v>
      </c>
      <c r="AG232" s="125">
        <f>SUM(F232,H232,J232,L232,M232,N232,O232,P232,Q232,R232,T232,U232,V232,X232,Y232,Z232,AA232,AC232,AD232,AF232,AH232)*Valores!$C$69</f>
        <v>6470.418120000002</v>
      </c>
      <c r="AH232" s="125">
        <f>IF($F$4="NO",IF(Valores!$D$63*'Escala Docente'!B232&gt;Valores!$F$63,Valores!$F$63,Valores!$D$63*'Escala Docente'!B232),IF(Valores!$D$63*'Escala Docente'!B232&gt;Valores!$F$63,Valores!$F$63,Valores!$D$63*'Escala Docente'!B232)/2)+0.01</f>
        <v>2816.65</v>
      </c>
      <c r="AI232" s="125">
        <f t="shared" si="41"/>
        <v>56628.698120000015</v>
      </c>
      <c r="AJ232" s="125">
        <f>IF(Valores!$C$32*B232&gt;Valores!$F$32,Valores!$F$32,Valores!$C$32*B232)</f>
        <v>0</v>
      </c>
      <c r="AK232" s="125">
        <f>IF(Valores!$C$91*B232&gt;Valores!$C$90,Valores!$C$90,Valores!$C$91*B232)</f>
        <v>0</v>
      </c>
      <c r="AL232" s="125">
        <f>IF(Valores!C$39*B232&gt;Valores!F$38,Valores!F$38,Valores!C$39*B232)</f>
        <v>0</v>
      </c>
      <c r="AM232" s="125">
        <f>IF($F$3="NO",0,IF(Valores!$C$62*B232&gt;Valores!$F$62,Valores!$F$62,Valores!$C$62*B232))</f>
        <v>0</v>
      </c>
      <c r="AN232" s="125">
        <f t="shared" si="36"/>
        <v>0</v>
      </c>
      <c r="AO232" s="125">
        <f>AI232*Valores!$C$71</f>
        <v>-6229.156793200002</v>
      </c>
      <c r="AP232" s="125">
        <f>AI232*Valores!$C$72</f>
        <v>-1132.5739624000003</v>
      </c>
      <c r="AQ232" s="125">
        <f>AI232*-Valores!$C$73</f>
        <v>0</v>
      </c>
      <c r="AR232" s="125">
        <f>AI232*Valores!$C$74</f>
        <v>-3114.578396600001</v>
      </c>
      <c r="AS232" s="125">
        <f>Valores!$C$101</f>
        <v>-1270</v>
      </c>
      <c r="AT232" s="125">
        <f>IF($F$5=0,Valores!$C$102,(Valores!$C$102+$F$5*(Valores!$C$102)))</f>
        <v>-3700</v>
      </c>
      <c r="AU232" s="125">
        <f t="shared" si="38"/>
        <v>41182.38896780001</v>
      </c>
      <c r="AV232" s="125">
        <f t="shared" si="33"/>
        <v>-6229.156793200002</v>
      </c>
      <c r="AW232" s="125">
        <f t="shared" si="40"/>
        <v>-1132.5739624000003</v>
      </c>
      <c r="AX232" s="125">
        <f>AI232*Valores!$C$75</f>
        <v>-1528.9748492400004</v>
      </c>
      <c r="AY232" s="125">
        <f>AI232*Valores!$C$76</f>
        <v>-169.88609436000004</v>
      </c>
      <c r="AZ232" s="125">
        <f t="shared" si="37"/>
        <v>47568.10642080002</v>
      </c>
      <c r="BA232" s="125">
        <f>AI232*Valores!$C$78</f>
        <v>9060.591699200002</v>
      </c>
      <c r="BB232" s="125">
        <f>AI232*Valores!$C$79</f>
        <v>3964.0088684000016</v>
      </c>
      <c r="BC232" s="125">
        <f>AI232*Valores!$C$80</f>
        <v>566.2869812000001</v>
      </c>
      <c r="BD232" s="125">
        <f>AI232*Valores!$C$82</f>
        <v>1982.0044342000008</v>
      </c>
      <c r="BE232" s="125">
        <f>AI232*Valores!$C$84</f>
        <v>3057.9496984800007</v>
      </c>
      <c r="BF232" s="125">
        <f>AI232*Valores!$C$83</f>
        <v>339.7721887200001</v>
      </c>
      <c r="BG232" s="126"/>
      <c r="BH232" s="126">
        <f t="shared" si="42"/>
        <v>3</v>
      </c>
      <c r="BI232" s="123" t="s">
        <v>4</v>
      </c>
    </row>
    <row r="233" spans="1:61" s="110" customFormat="1" ht="11.25" customHeight="1">
      <c r="A233" s="123" t="s">
        <v>470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43"/>
        <v>316</v>
      </c>
      <c r="F233" s="125">
        <f>ROUND(E233*Valores!$C$2,2)</f>
        <v>18618.81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6335.56</v>
      </c>
      <c r="N233" s="125">
        <f t="shared" si="34"/>
        <v>0</v>
      </c>
      <c r="O233" s="125">
        <f>Valores!$C$7*B233</f>
        <v>7992.12</v>
      </c>
      <c r="P233" s="125">
        <f>ROUND(IF(B233&lt;15,(Valores!$E$5*B233),Valores!$D$5),2)</f>
        <v>8032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4209.8</v>
      </c>
      <c r="S233" s="125">
        <f>Valores!$C$18*B233</f>
        <v>2513.64</v>
      </c>
      <c r="T233" s="125">
        <f t="shared" si="39"/>
        <v>2513.64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IF(Valores!$C$98*B233&gt;Valores!$C$97,Valores!$C$97,Valores!$C$98*B233)</f>
        <v>7673.64</v>
      </c>
      <c r="AA233" s="125">
        <f>IF((Valores!$C$28)*B233&gt;Valores!$F$28,Valores!$F$28,(Valores!$C$28)*B233)</f>
        <v>197.48</v>
      </c>
      <c r="AB233" s="214">
        <v>0</v>
      </c>
      <c r="AC233" s="125">
        <f t="shared" si="35"/>
        <v>0</v>
      </c>
      <c r="AD233" s="125">
        <f>IF(Valores!$C$29*B233&gt;Valores!$F$29,Valores!$F$29,Valores!$C$29*B233)</f>
        <v>164.44</v>
      </c>
      <c r="AE233" s="192">
        <v>0</v>
      </c>
      <c r="AF233" s="125">
        <f>ROUND(AE233*Valores!$C$2,2)</f>
        <v>0</v>
      </c>
      <c r="AG233" s="125">
        <f>SUM(F233,H233,J233,L233,M233,N233,O233,P233,Q233,R233,T233,U233,V233,X233,Y233,Z233,AA233,AC233,AD233,AF233,AH233)*Valores!$C$69</f>
        <v>7674.599580000002</v>
      </c>
      <c r="AH233" s="125">
        <f>IF($F$4="NO",IF(Valores!$D$63*'Escala Docente'!B233&gt;Valores!$F$63,Valores!$F$63,Valores!$D$63*'Escala Docente'!B233),IF(Valores!$D$63*'Escala Docente'!B233&gt;Valores!$F$63,Valores!$F$63,Valores!$D$63*'Escala Docente'!B233)/2)+0.01</f>
        <v>3755.53</v>
      </c>
      <c r="AI233" s="125">
        <f t="shared" si="41"/>
        <v>67167.61958000001</v>
      </c>
      <c r="AJ233" s="125">
        <f>IF(Valores!$C$32*B233&gt;Valores!$F$32,Valores!$F$32,Valores!$C$32*B233)</f>
        <v>0</v>
      </c>
      <c r="AK233" s="125">
        <f>IF(Valores!$C$91*B233&gt;Valores!$C$90,Valores!$C$90,Valores!$C$91*B233)</f>
        <v>0</v>
      </c>
      <c r="AL233" s="125">
        <f>IF(Valores!C$39*B233&gt;Valores!F$38,Valores!F$38,Valores!C$39*B233)</f>
        <v>0</v>
      </c>
      <c r="AM233" s="125">
        <f>IF($F$3="NO",0,IF(Valores!$C$62*B233&gt;Valores!$F$62,Valores!$F$62,Valores!$C$62*B233))</f>
        <v>0</v>
      </c>
      <c r="AN233" s="125">
        <f t="shared" si="36"/>
        <v>0</v>
      </c>
      <c r="AO233" s="125">
        <f>AI233*Valores!$C$71</f>
        <v>-7388.438153800002</v>
      </c>
      <c r="AP233" s="125">
        <f>AI233*Valores!$C$72</f>
        <v>-1343.3523916000004</v>
      </c>
      <c r="AQ233" s="125">
        <f>AI233*-Valores!$C$73</f>
        <v>0</v>
      </c>
      <c r="AR233" s="125">
        <f>AI233*Valores!$C$74</f>
        <v>-3694.219076900001</v>
      </c>
      <c r="AS233" s="125">
        <f>Valores!$C$101</f>
        <v>-1270</v>
      </c>
      <c r="AT233" s="125">
        <f>IF($F$5=0,Valores!$C$102,(Valores!$C$102+$F$5*(Valores!$C$102)))</f>
        <v>-3700</v>
      </c>
      <c r="AU233" s="125">
        <f t="shared" si="38"/>
        <v>49771.60995770001</v>
      </c>
      <c r="AV233" s="125">
        <f t="shared" si="33"/>
        <v>-7388.438153800002</v>
      </c>
      <c r="AW233" s="125">
        <f t="shared" si="40"/>
        <v>-1343.3523916000004</v>
      </c>
      <c r="AX233" s="125">
        <f>AI233*Valores!$C$75</f>
        <v>-1813.5257286600004</v>
      </c>
      <c r="AY233" s="125">
        <f>AI233*Valores!$C$76</f>
        <v>-201.50285874000005</v>
      </c>
      <c r="AZ233" s="125">
        <f t="shared" si="37"/>
        <v>56420.80044720001</v>
      </c>
      <c r="BA233" s="125">
        <f>AI233*Valores!$C$78</f>
        <v>10746.819132800003</v>
      </c>
      <c r="BB233" s="125">
        <f>AI233*Valores!$C$79</f>
        <v>4701.733370600002</v>
      </c>
      <c r="BC233" s="125">
        <f>AI233*Valores!$C$80</f>
        <v>671.6761958000002</v>
      </c>
      <c r="BD233" s="125">
        <f>AI233*Valores!$C$82</f>
        <v>2350.866685300001</v>
      </c>
      <c r="BE233" s="125">
        <f>AI233*Valores!$C$84</f>
        <v>3627.0514573200007</v>
      </c>
      <c r="BF233" s="125">
        <f>AI233*Valores!$C$83</f>
        <v>403.0057174800001</v>
      </c>
      <c r="BG233" s="126"/>
      <c r="BH233" s="126">
        <f t="shared" si="42"/>
        <v>4</v>
      </c>
      <c r="BI233" s="123" t="s">
        <v>4</v>
      </c>
    </row>
    <row r="234" spans="1:61" s="110" customFormat="1" ht="11.25" customHeight="1">
      <c r="A234" s="123" t="s">
        <v>470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43"/>
        <v>316</v>
      </c>
      <c r="F234" s="125">
        <f>ROUND(E234*Valores!$C$2,2)</f>
        <v>18618.81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6335.56</v>
      </c>
      <c r="N234" s="125">
        <f t="shared" si="34"/>
        <v>0</v>
      </c>
      <c r="O234" s="125">
        <f>Valores!$C$7*B234</f>
        <v>7992.12</v>
      </c>
      <c r="P234" s="125">
        <f>ROUND(IF(B234&lt;15,(Valores!$E$5*B234),Valores!$D$5),2)</f>
        <v>8032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4209.8</v>
      </c>
      <c r="S234" s="125">
        <f>Valores!$C$18*B234</f>
        <v>2513.64</v>
      </c>
      <c r="T234" s="125">
        <f t="shared" si="39"/>
        <v>2513.64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IF(Valores!$C$98*B234&gt;Valores!$C$97,Valores!$C$97,Valores!$C$98*B234)</f>
        <v>7673.64</v>
      </c>
      <c r="AA234" s="125">
        <f>IF((Valores!$C$28)*B234&gt;Valores!$F$28,Valores!$F$28,(Valores!$C$28)*B234)</f>
        <v>197.48</v>
      </c>
      <c r="AB234" s="214">
        <v>0</v>
      </c>
      <c r="AC234" s="125">
        <f t="shared" si="35"/>
        <v>0</v>
      </c>
      <c r="AD234" s="125">
        <f>IF(Valores!$C$29*B234&gt;Valores!$F$29,Valores!$F$29,Valores!$C$29*B234)</f>
        <v>164.44</v>
      </c>
      <c r="AE234" s="192">
        <v>94</v>
      </c>
      <c r="AF234" s="125">
        <f>ROUND(AE234*Valores!$C$2,2)</f>
        <v>5538.51</v>
      </c>
      <c r="AG234" s="125">
        <f>SUM(F234,H234,J234,L234,M234,N234,O234,P234,Q234,R234,T234,U234,V234,X234,Y234,Z234,AA234,AC234,AD234,AF234,AH234)*Valores!$C$69</f>
        <v>8389.067370000002</v>
      </c>
      <c r="AH234" s="125">
        <f>IF($F$4="NO",IF(Valores!$D$63*'Escala Docente'!B234&gt;Valores!$F$63,Valores!$F$63,Valores!$D$63*'Escala Docente'!B234),IF(Valores!$D$63*'Escala Docente'!B234&gt;Valores!$F$63,Valores!$F$63,Valores!$D$63*'Escala Docente'!B234)/2)+0.01</f>
        <v>3755.53</v>
      </c>
      <c r="AI234" s="125">
        <f t="shared" si="41"/>
        <v>73420.59737000002</v>
      </c>
      <c r="AJ234" s="125">
        <f>IF(Valores!$C$32*B234&gt;Valores!$F$32,Valores!$F$32,Valores!$C$32*B234)</f>
        <v>0</v>
      </c>
      <c r="AK234" s="125">
        <f>IF(Valores!$C$91*B234&gt;Valores!$C$90,Valores!$C$90,Valores!$C$91*B234)</f>
        <v>0</v>
      </c>
      <c r="AL234" s="125">
        <f>IF(Valores!C$39*B234&gt;Valores!F$38,Valores!F$38,Valores!C$39*B234)</f>
        <v>0</v>
      </c>
      <c r="AM234" s="125">
        <f>IF($F$3="NO",0,IF(Valores!$C$62*B234&gt;Valores!$F$62,Valores!$F$62,Valores!$C$62*B234))</f>
        <v>0</v>
      </c>
      <c r="AN234" s="125">
        <f t="shared" si="36"/>
        <v>0</v>
      </c>
      <c r="AO234" s="125">
        <f>AI234*Valores!$C$71</f>
        <v>-8076.265710700002</v>
      </c>
      <c r="AP234" s="125">
        <f>AI234*Valores!$C$72</f>
        <v>-1468.4119474000004</v>
      </c>
      <c r="AQ234" s="125">
        <f>AI234*-Valores!$C$73</f>
        <v>0</v>
      </c>
      <c r="AR234" s="125">
        <f>AI234*Valores!$C$74</f>
        <v>-4038.132855350001</v>
      </c>
      <c r="AS234" s="125">
        <f>Valores!$C$101</f>
        <v>-1270</v>
      </c>
      <c r="AT234" s="125">
        <f>IF($F$5=0,Valores!$C$102,(Valores!$C$102+$F$5*(Valores!$C$102)))</f>
        <v>-3700</v>
      </c>
      <c r="AU234" s="125">
        <f t="shared" si="38"/>
        <v>54867.78685655001</v>
      </c>
      <c r="AV234" s="125">
        <f t="shared" si="33"/>
        <v>-8076.265710700002</v>
      </c>
      <c r="AW234" s="125">
        <f t="shared" si="40"/>
        <v>-1468.4119474000004</v>
      </c>
      <c r="AX234" s="125">
        <f>AI234*Valores!$C$75</f>
        <v>-1982.3561289900003</v>
      </c>
      <c r="AY234" s="125">
        <f>AI234*Valores!$C$76</f>
        <v>-220.26179211000004</v>
      </c>
      <c r="AZ234" s="125">
        <f t="shared" si="37"/>
        <v>61673.30179080001</v>
      </c>
      <c r="BA234" s="125">
        <f>AI234*Valores!$C$78</f>
        <v>11747.295579200003</v>
      </c>
      <c r="BB234" s="125">
        <f>AI234*Valores!$C$79</f>
        <v>5139.4418159000015</v>
      </c>
      <c r="BC234" s="125">
        <f>AI234*Valores!$C$80</f>
        <v>734.2059737000002</v>
      </c>
      <c r="BD234" s="125">
        <f>AI234*Valores!$C$82</f>
        <v>2569.7209079500008</v>
      </c>
      <c r="BE234" s="125">
        <f>AI234*Valores!$C$84</f>
        <v>3964.7122579800007</v>
      </c>
      <c r="BF234" s="125">
        <f>AI234*Valores!$C$83</f>
        <v>440.5235842200001</v>
      </c>
      <c r="BG234" s="126"/>
      <c r="BH234" s="126">
        <f t="shared" si="42"/>
        <v>4</v>
      </c>
      <c r="BI234" s="123" t="s">
        <v>4</v>
      </c>
    </row>
    <row r="235" spans="1:61" s="110" customFormat="1" ht="11.25" customHeight="1">
      <c r="A235" s="123" t="s">
        <v>470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43"/>
        <v>395</v>
      </c>
      <c r="F235" s="125">
        <f>ROUND(E235*Valores!$C$2,2)</f>
        <v>23273.52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7919.46</v>
      </c>
      <c r="N235" s="125">
        <f t="shared" si="34"/>
        <v>0</v>
      </c>
      <c r="O235" s="125">
        <f>Valores!$C$7*B235</f>
        <v>9990.15</v>
      </c>
      <c r="P235" s="125">
        <f>ROUND(IF(B235&lt;15,(Valores!$E$5*B235),Valores!$D$5),2)</f>
        <v>10040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5262.25</v>
      </c>
      <c r="S235" s="125">
        <f>Valores!$C$18*B235</f>
        <v>3142.0499999999997</v>
      </c>
      <c r="T235" s="125">
        <f t="shared" si="39"/>
        <v>3142.05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IF(Valores!$C$98*B235&gt;Valores!$C$97,Valores!$C$97,Valores!$C$98*B235)</f>
        <v>9592.050000000001</v>
      </c>
      <c r="AA235" s="125">
        <f>IF((Valores!$C$28)*B235&gt;Valores!$F$28,Valores!$F$28,(Valores!$C$28)*B235)</f>
        <v>246.85</v>
      </c>
      <c r="AB235" s="214">
        <v>0</v>
      </c>
      <c r="AC235" s="125">
        <f t="shared" si="35"/>
        <v>0</v>
      </c>
      <c r="AD235" s="125">
        <f>IF(Valores!$C$29*B235&gt;Valores!$F$29,Valores!$F$29,Valores!$C$29*B235)</f>
        <v>205.55</v>
      </c>
      <c r="AE235" s="192">
        <v>0</v>
      </c>
      <c r="AF235" s="125">
        <f>ROUND(AE235*Valores!$C$2,2)</f>
        <v>0</v>
      </c>
      <c r="AG235" s="125">
        <f>SUM(F235,H235,J235,L235,M235,N235,O235,P235,Q235,R235,T235,U235,V235,X235,Y235,Z235,AA235,AC235,AD235,AF235,AH235)*Valores!$C$69</f>
        <v>9593.25141</v>
      </c>
      <c r="AH235" s="125">
        <f>IF($F$4="NO",IF(Valores!$D$63*'Escala Docente'!B235&gt;Valores!$F$63,Valores!$F$63,Valores!$D$63*'Escala Docente'!B235),IF(Valores!$D$63*'Escala Docente'!B235&gt;Valores!$F$63,Valores!$F$63,Valores!$D$63*'Escala Docente'!B235)/2)+0.01</f>
        <v>4694.41</v>
      </c>
      <c r="AI235" s="125">
        <f t="shared" si="41"/>
        <v>83959.54141</v>
      </c>
      <c r="AJ235" s="125">
        <f>IF(Valores!$C$32*B235&gt;Valores!$F$32,Valores!$F$32,Valores!$C$32*B235)</f>
        <v>0</v>
      </c>
      <c r="AK235" s="125">
        <f>IF(Valores!$C$91*B235&gt;Valores!$C$90,Valores!$C$90,Valores!$C$91*B235)</f>
        <v>0</v>
      </c>
      <c r="AL235" s="125">
        <f>IF(Valores!C$39*B235&gt;Valores!F$38,Valores!F$38,Valores!C$39*B235)</f>
        <v>0</v>
      </c>
      <c r="AM235" s="125">
        <f>IF($F$3="NO",0,IF(Valores!$C$62*B235&gt;Valores!$F$62,Valores!$F$62,Valores!$C$62*B235))</f>
        <v>0</v>
      </c>
      <c r="AN235" s="125">
        <f t="shared" si="36"/>
        <v>0</v>
      </c>
      <c r="AO235" s="125">
        <f>AI235*Valores!$C$71</f>
        <v>-9235.5495551</v>
      </c>
      <c r="AP235" s="125">
        <f>AI235*Valores!$C$72</f>
        <v>-1679.1908282000002</v>
      </c>
      <c r="AQ235" s="125">
        <f>AI235*-Valores!$C$73</f>
        <v>0</v>
      </c>
      <c r="AR235" s="125">
        <f>AI235*Valores!$C$74</f>
        <v>-4617.77477755</v>
      </c>
      <c r="AS235" s="125">
        <f>Valores!$C$101</f>
        <v>-1270</v>
      </c>
      <c r="AT235" s="125">
        <f>IF($F$5=0,Valores!$C$102,(Valores!$C$102+$F$5*(Valores!$C$102)))</f>
        <v>-3700</v>
      </c>
      <c r="AU235" s="125">
        <f t="shared" si="38"/>
        <v>63457.02624915</v>
      </c>
      <c r="AV235" s="125">
        <f t="shared" si="33"/>
        <v>-9235.5495551</v>
      </c>
      <c r="AW235" s="125">
        <f t="shared" si="40"/>
        <v>-1679.1908282000002</v>
      </c>
      <c r="AX235" s="125">
        <f>AI235*Valores!$C$75</f>
        <v>-2266.90761807</v>
      </c>
      <c r="AY235" s="125">
        <f>AI235*Valores!$C$76</f>
        <v>-251.87862423</v>
      </c>
      <c r="AZ235" s="125">
        <f t="shared" si="37"/>
        <v>70526.0147844</v>
      </c>
      <c r="BA235" s="125">
        <f>AI235*Valores!$C$78</f>
        <v>13433.526625600001</v>
      </c>
      <c r="BB235" s="125">
        <f>AI235*Valores!$C$79</f>
        <v>5877.1678987000005</v>
      </c>
      <c r="BC235" s="125">
        <f>AI235*Valores!$C$80</f>
        <v>839.5954141000001</v>
      </c>
      <c r="BD235" s="125">
        <f>AI235*Valores!$C$82</f>
        <v>2938.5839493500002</v>
      </c>
      <c r="BE235" s="125">
        <f>AI235*Valores!$C$84</f>
        <v>4533.81523614</v>
      </c>
      <c r="BF235" s="125">
        <f>AI235*Valores!$C$83</f>
        <v>503.75724846</v>
      </c>
      <c r="BG235" s="126"/>
      <c r="BH235" s="126">
        <f t="shared" si="42"/>
        <v>5</v>
      </c>
      <c r="BI235" s="123" t="s">
        <v>4</v>
      </c>
    </row>
    <row r="236" spans="1:61" s="110" customFormat="1" ht="11.25" customHeight="1">
      <c r="A236" s="123" t="s">
        <v>470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43"/>
        <v>395</v>
      </c>
      <c r="F236" s="125">
        <f>ROUND(E236*Valores!$C$2,2)</f>
        <v>23273.52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7919.46</v>
      </c>
      <c r="N236" s="125">
        <f t="shared" si="34"/>
        <v>0</v>
      </c>
      <c r="O236" s="125">
        <f>Valores!$C$7*B236</f>
        <v>9990.15</v>
      </c>
      <c r="P236" s="125">
        <f>ROUND(IF(B236&lt;15,(Valores!$E$5*B236),Valores!$D$5),2)</f>
        <v>10040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5262.25</v>
      </c>
      <c r="S236" s="125">
        <f>Valores!$C$18*B236</f>
        <v>3142.0499999999997</v>
      </c>
      <c r="T236" s="125">
        <f t="shared" si="39"/>
        <v>3142.05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IF(Valores!$C$98*B236&gt;Valores!$C$97,Valores!$C$97,Valores!$C$98*B236)</f>
        <v>9592.050000000001</v>
      </c>
      <c r="AA236" s="125">
        <f>IF((Valores!$C$28)*B236&gt;Valores!$F$28,Valores!$F$28,(Valores!$C$28)*B236)</f>
        <v>246.85</v>
      </c>
      <c r="AB236" s="214">
        <v>0</v>
      </c>
      <c r="AC236" s="125">
        <f t="shared" si="35"/>
        <v>0</v>
      </c>
      <c r="AD236" s="125">
        <f>IF(Valores!$C$29*B236&gt;Valores!$F$29,Valores!$F$29,Valores!$C$29*B236)</f>
        <v>205.55</v>
      </c>
      <c r="AE236" s="192">
        <v>94</v>
      </c>
      <c r="AF236" s="125">
        <f>ROUND(AE236*Valores!$C$2,2)</f>
        <v>5538.51</v>
      </c>
      <c r="AG236" s="125">
        <f>SUM(F236,H236,J236,L236,M236,N236,O236,P236,Q236,R236,T236,U236,V236,X236,Y236,Z236,AA236,AC236,AD236,AF236,AH236)*Valores!$C$69</f>
        <v>10307.719200000001</v>
      </c>
      <c r="AH236" s="125">
        <f>IF($F$4="NO",IF(Valores!$D$63*'Escala Docente'!B236&gt;Valores!$F$63,Valores!$F$63,Valores!$D$63*'Escala Docente'!B236),IF(Valores!$D$63*'Escala Docente'!B236&gt;Valores!$F$63,Valores!$F$63,Valores!$D$63*'Escala Docente'!B236)/2)+0.01</f>
        <v>4694.41</v>
      </c>
      <c r="AI236" s="125">
        <f t="shared" si="41"/>
        <v>90212.51920000001</v>
      </c>
      <c r="AJ236" s="125">
        <f>IF(Valores!$C$32*B236&gt;Valores!$F$32,Valores!$F$32,Valores!$C$32*B236)</f>
        <v>0</v>
      </c>
      <c r="AK236" s="125">
        <f>IF(Valores!$C$91*B236&gt;Valores!$C$90,Valores!$C$90,Valores!$C$91*B236)</f>
        <v>0</v>
      </c>
      <c r="AL236" s="125">
        <f>IF(Valores!C$39*B236&gt;Valores!F$38,Valores!F$38,Valores!C$39*B236)</f>
        <v>0</v>
      </c>
      <c r="AM236" s="125">
        <f>IF($F$3="NO",0,IF(Valores!$C$62*B236&gt;Valores!$F$62,Valores!$F$62,Valores!$C$62*B236))</f>
        <v>0</v>
      </c>
      <c r="AN236" s="125">
        <f t="shared" si="36"/>
        <v>0</v>
      </c>
      <c r="AO236" s="125">
        <f>AI236*Valores!$C$71</f>
        <v>-9923.377112000002</v>
      </c>
      <c r="AP236" s="125">
        <f>AI236*Valores!$C$72</f>
        <v>-1804.2503840000002</v>
      </c>
      <c r="AQ236" s="125">
        <f>AI236*-Valores!$C$73</f>
        <v>0</v>
      </c>
      <c r="AR236" s="125">
        <f>AI236*Valores!$C$74</f>
        <v>-4961.688556000001</v>
      </c>
      <c r="AS236" s="125">
        <f>Valores!$C$101</f>
        <v>-1270</v>
      </c>
      <c r="AT236" s="125">
        <f>IF($F$5=0,Valores!$C$102,(Valores!$C$102+$F$5*(Valores!$C$102)))</f>
        <v>-3700</v>
      </c>
      <c r="AU236" s="125">
        <f t="shared" si="38"/>
        <v>68553.203148</v>
      </c>
      <c r="AV236" s="125">
        <f t="shared" si="33"/>
        <v>-9923.377112000002</v>
      </c>
      <c r="AW236" s="125">
        <f t="shared" si="40"/>
        <v>-1804.2503840000002</v>
      </c>
      <c r="AX236" s="125">
        <f>AI236*Valores!$C$75</f>
        <v>-2435.7380184000003</v>
      </c>
      <c r="AY236" s="125">
        <f>AI236*Valores!$C$76</f>
        <v>-270.63755760000004</v>
      </c>
      <c r="AZ236" s="125">
        <f t="shared" si="37"/>
        <v>75778.516128</v>
      </c>
      <c r="BA236" s="125">
        <f>AI236*Valores!$C$78</f>
        <v>14434.003072000001</v>
      </c>
      <c r="BB236" s="125">
        <f>AI236*Valores!$C$79</f>
        <v>6314.876344000001</v>
      </c>
      <c r="BC236" s="125">
        <f>AI236*Valores!$C$80</f>
        <v>902.1251920000001</v>
      </c>
      <c r="BD236" s="125">
        <f>AI236*Valores!$C$82</f>
        <v>3157.4381720000006</v>
      </c>
      <c r="BE236" s="125">
        <f>AI236*Valores!$C$84</f>
        <v>4871.476036800001</v>
      </c>
      <c r="BF236" s="125">
        <f>AI236*Valores!$C$83</f>
        <v>541.2751152000001</v>
      </c>
      <c r="BG236" s="126"/>
      <c r="BH236" s="126">
        <f t="shared" si="42"/>
        <v>5</v>
      </c>
      <c r="BI236" s="123" t="s">
        <v>4</v>
      </c>
    </row>
    <row r="237" spans="1:61" s="110" customFormat="1" ht="11.25" customHeight="1">
      <c r="A237" s="123" t="s">
        <v>470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43"/>
        <v>474</v>
      </c>
      <c r="F237" s="125">
        <f>ROUND(E237*Valores!$C$2,2)</f>
        <v>27928.22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9503.35</v>
      </c>
      <c r="N237" s="125">
        <f t="shared" si="34"/>
        <v>0</v>
      </c>
      <c r="O237" s="125">
        <f>Valores!$C$7*B237</f>
        <v>11988.18</v>
      </c>
      <c r="P237" s="125">
        <f>ROUND(IF(B237&lt;15,(Valores!$E$5*B237),Valores!$D$5),2)</f>
        <v>12048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6314.700000000001</v>
      </c>
      <c r="S237" s="125">
        <f>Valores!$C$18*B237</f>
        <v>3770.46</v>
      </c>
      <c r="T237" s="125">
        <f t="shared" si="39"/>
        <v>3770.46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IF(Valores!$C$98*B237&gt;Valores!$C$97,Valores!$C$97,Valores!$C$98*B237)</f>
        <v>11510.460000000001</v>
      </c>
      <c r="AA237" s="125">
        <f>IF((Valores!$C$28)*B237&gt;Valores!$F$28,Valores!$F$28,(Valores!$C$28)*B237)</f>
        <v>296.21999999999997</v>
      </c>
      <c r="AB237" s="214">
        <v>0</v>
      </c>
      <c r="AC237" s="125">
        <f t="shared" si="35"/>
        <v>0</v>
      </c>
      <c r="AD237" s="125">
        <f>IF(Valores!$C$29*B237&gt;Valores!$F$29,Valores!$F$29,Valores!$C$29*B237)</f>
        <v>246.66</v>
      </c>
      <c r="AE237" s="192">
        <v>0</v>
      </c>
      <c r="AF237" s="125">
        <f>ROUND(AE237*Valores!$C$2,2)</f>
        <v>0</v>
      </c>
      <c r="AG237" s="125">
        <f>SUM(F237,H237,J237,L237,M237,N237,O237,P237,Q237,R237,T237,U237,V237,X237,Y237,Z237,AA237,AC237,AD237,AF237,AH237)*Valores!$C$69</f>
        <v>11511.900660000001</v>
      </c>
      <c r="AH237" s="125">
        <f>IF($F$4="NO",IF(Valores!$D$63*'Escala Docente'!B237&gt;Valores!$F$63,Valores!$F$63,Valores!$D$63*'Escala Docente'!B237),IF(Valores!$D$63*'Escala Docente'!B237&gt;Valores!$F$63,Valores!$F$63,Valores!$D$63*'Escala Docente'!B237)/2)+0.01</f>
        <v>5633.29</v>
      </c>
      <c r="AI237" s="125">
        <f t="shared" si="41"/>
        <v>100751.44066000001</v>
      </c>
      <c r="AJ237" s="125">
        <f>IF(Valores!$C$32*B237&gt;Valores!$F$32,Valores!$F$32,Valores!$C$32*B237)</f>
        <v>0</v>
      </c>
      <c r="AK237" s="125">
        <f>IF(Valores!$C$91*B237&gt;Valores!$C$90,Valores!$C$90,Valores!$C$91*B237)</f>
        <v>0</v>
      </c>
      <c r="AL237" s="125">
        <f>IF(Valores!C$39*B237&gt;Valores!F$38,Valores!F$38,Valores!C$39*B237)</f>
        <v>0</v>
      </c>
      <c r="AM237" s="125">
        <f>IF($F$3="NO",0,IF(Valores!$C$62*B237&gt;Valores!$F$62,Valores!$F$62,Valores!$C$62*B237))</f>
        <v>0</v>
      </c>
      <c r="AN237" s="125">
        <f t="shared" si="36"/>
        <v>0</v>
      </c>
      <c r="AO237" s="125">
        <f>AI237*Valores!$C$71</f>
        <v>-11082.6584726</v>
      </c>
      <c r="AP237" s="125">
        <f>AI237*Valores!$C$72</f>
        <v>-2015.0288132000003</v>
      </c>
      <c r="AQ237" s="125">
        <f>AI237*-Valores!$C$73</f>
        <v>0</v>
      </c>
      <c r="AR237" s="125">
        <f>AI237*Valores!$C$74</f>
        <v>-5541.3292363</v>
      </c>
      <c r="AS237" s="125">
        <f>Valores!$C$101</f>
        <v>-1270</v>
      </c>
      <c r="AT237" s="125">
        <f>IF($F$5=0,Valores!$C$102,(Valores!$C$102+$F$5*(Valores!$C$102)))</f>
        <v>-3700</v>
      </c>
      <c r="AU237" s="125">
        <f t="shared" si="38"/>
        <v>77142.4241379</v>
      </c>
      <c r="AV237" s="125">
        <f t="shared" si="33"/>
        <v>-11082.6584726</v>
      </c>
      <c r="AW237" s="125">
        <f t="shared" si="40"/>
        <v>-2015.0288132000003</v>
      </c>
      <c r="AX237" s="125">
        <f>AI237*Valores!$C$75</f>
        <v>-2720.2888978200003</v>
      </c>
      <c r="AY237" s="125">
        <f>AI237*Valores!$C$76</f>
        <v>-302.25432198000004</v>
      </c>
      <c r="AZ237" s="125">
        <f t="shared" si="37"/>
        <v>84631.2101544</v>
      </c>
      <c r="BA237" s="125">
        <f>AI237*Valores!$C$78</f>
        <v>16120.230505600002</v>
      </c>
      <c r="BB237" s="125">
        <f>AI237*Valores!$C$79</f>
        <v>7052.600846200001</v>
      </c>
      <c r="BC237" s="125">
        <f>AI237*Valores!$C$80</f>
        <v>1007.5144066000001</v>
      </c>
      <c r="BD237" s="125">
        <f>AI237*Valores!$C$82</f>
        <v>3526.3004231000004</v>
      </c>
      <c r="BE237" s="125">
        <f>AI237*Valores!$C$84</f>
        <v>5440.577795640001</v>
      </c>
      <c r="BF237" s="125">
        <f>AI237*Valores!$C$83</f>
        <v>604.5086439600001</v>
      </c>
      <c r="BG237" s="126"/>
      <c r="BH237" s="126">
        <f t="shared" si="42"/>
        <v>6</v>
      </c>
      <c r="BI237" s="123" t="s">
        <v>4</v>
      </c>
    </row>
    <row r="238" spans="1:61" s="110" customFormat="1" ht="11.25" customHeight="1">
      <c r="A238" s="123" t="s">
        <v>470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43"/>
        <v>474</v>
      </c>
      <c r="F238" s="125">
        <f>ROUND(E238*Valores!$C$2,2)</f>
        <v>27928.22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9503.35</v>
      </c>
      <c r="N238" s="125">
        <f t="shared" si="34"/>
        <v>0</v>
      </c>
      <c r="O238" s="125">
        <f>Valores!$C$7*B238</f>
        <v>11988.18</v>
      </c>
      <c r="P238" s="125">
        <f>ROUND(IF(B238&lt;15,(Valores!$E$5*B238),Valores!$D$5),2)</f>
        <v>12048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6314.700000000001</v>
      </c>
      <c r="S238" s="125">
        <f>Valores!$C$18*B238</f>
        <v>3770.46</v>
      </c>
      <c r="T238" s="125">
        <f t="shared" si="39"/>
        <v>3770.46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IF(Valores!$C$98*B238&gt;Valores!$C$97,Valores!$C$97,Valores!$C$98*B238)</f>
        <v>11510.460000000001</v>
      </c>
      <c r="AA238" s="125">
        <f>IF((Valores!$C$28)*B238&gt;Valores!$F$28,Valores!$F$28,(Valores!$C$28)*B238)</f>
        <v>296.21999999999997</v>
      </c>
      <c r="AB238" s="214">
        <v>0</v>
      </c>
      <c r="AC238" s="125">
        <f t="shared" si="35"/>
        <v>0</v>
      </c>
      <c r="AD238" s="125">
        <f>IF(Valores!$C$29*B238&gt;Valores!$F$29,Valores!$F$29,Valores!$C$29*B238)</f>
        <v>246.66</v>
      </c>
      <c r="AE238" s="192">
        <v>94</v>
      </c>
      <c r="AF238" s="125">
        <f>ROUND(AE238*Valores!$C$2,2)</f>
        <v>5538.51</v>
      </c>
      <c r="AG238" s="125">
        <f>SUM(F238,H238,J238,L238,M238,N238,O238,P238,Q238,R238,T238,U238,V238,X238,Y238,Z238,AA238,AC238,AD238,AF238,AH238)*Valores!$C$69</f>
        <v>12226.36845</v>
      </c>
      <c r="AH238" s="125">
        <f>IF($F$4="NO",IF(Valores!$D$63*'Escala Docente'!B238&gt;Valores!$F$63,Valores!$F$63,Valores!$D$63*'Escala Docente'!B238),IF(Valores!$D$63*'Escala Docente'!B238&gt;Valores!$F$63,Valores!$F$63,Valores!$D$63*'Escala Docente'!B238)/2)+0.01</f>
        <v>5633.29</v>
      </c>
      <c r="AI238" s="125">
        <f t="shared" si="41"/>
        <v>107004.41845</v>
      </c>
      <c r="AJ238" s="125">
        <f>IF(Valores!$C$32*B238&gt;Valores!$F$32,Valores!$F$32,Valores!$C$32*B238)</f>
        <v>0</v>
      </c>
      <c r="AK238" s="125">
        <f>IF(Valores!$C$91*B238&gt;Valores!$C$90,Valores!$C$90,Valores!$C$91*B238)</f>
        <v>0</v>
      </c>
      <c r="AL238" s="125">
        <f>IF(Valores!C$39*B238&gt;Valores!F$38,Valores!F$38,Valores!C$39*B238)</f>
        <v>0</v>
      </c>
      <c r="AM238" s="125">
        <f>IF($F$3="NO",0,IF(Valores!$C$62*B238&gt;Valores!$F$62,Valores!$F$62,Valores!$C$62*B238))</f>
        <v>0</v>
      </c>
      <c r="AN238" s="125">
        <f t="shared" si="36"/>
        <v>0</v>
      </c>
      <c r="AO238" s="125">
        <f>AI238*Valores!$C$71</f>
        <v>-11770.4860295</v>
      </c>
      <c r="AP238" s="125">
        <f>AI238*Valores!$C$72</f>
        <v>-2140.088369</v>
      </c>
      <c r="AQ238" s="125">
        <f>AI238*-Valores!$C$73</f>
        <v>0</v>
      </c>
      <c r="AR238" s="125">
        <f>AI238*Valores!$C$74</f>
        <v>-5885.24301475</v>
      </c>
      <c r="AS238" s="125">
        <f>Valores!$C$101</f>
        <v>-1270</v>
      </c>
      <c r="AT238" s="125">
        <f>IF($F$5=0,Valores!$C$102,(Valores!$C$102+$F$5*(Valores!$C$102)))</f>
        <v>-3700</v>
      </c>
      <c r="AU238" s="125">
        <f t="shared" si="38"/>
        <v>82238.60103675</v>
      </c>
      <c r="AV238" s="125">
        <f t="shared" si="33"/>
        <v>-11770.4860295</v>
      </c>
      <c r="AW238" s="125">
        <f t="shared" si="40"/>
        <v>-2140.088369</v>
      </c>
      <c r="AX238" s="125">
        <f>AI238*Valores!$C$75</f>
        <v>-2889.11929815</v>
      </c>
      <c r="AY238" s="125">
        <f>AI238*Valores!$C$76</f>
        <v>-321.01325535</v>
      </c>
      <c r="AZ238" s="125">
        <f t="shared" si="37"/>
        <v>89883.71149799999</v>
      </c>
      <c r="BA238" s="125">
        <f>AI238*Valores!$C$78</f>
        <v>17120.706952</v>
      </c>
      <c r="BB238" s="125">
        <f>AI238*Valores!$C$79</f>
        <v>7490.309291500001</v>
      </c>
      <c r="BC238" s="125">
        <f>AI238*Valores!$C$80</f>
        <v>1070.0441845</v>
      </c>
      <c r="BD238" s="125">
        <f>AI238*Valores!$C$82</f>
        <v>3745.1546457500003</v>
      </c>
      <c r="BE238" s="125">
        <f>AI238*Valores!$C$84</f>
        <v>5778.2385963</v>
      </c>
      <c r="BF238" s="125">
        <f>AI238*Valores!$C$83</f>
        <v>642.0265107</v>
      </c>
      <c r="BG238" s="126"/>
      <c r="BH238" s="126">
        <f t="shared" si="42"/>
        <v>6</v>
      </c>
      <c r="BI238" s="123" t="s">
        <v>4</v>
      </c>
    </row>
    <row r="239" spans="1:61" s="110" customFormat="1" ht="11.25" customHeight="1">
      <c r="A239" s="123" t="s">
        <v>470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43"/>
        <v>553</v>
      </c>
      <c r="F239" s="125">
        <f>ROUND(E239*Valores!$C$2,2)</f>
        <v>32582.93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11087.24</v>
      </c>
      <c r="N239" s="125">
        <f t="shared" si="34"/>
        <v>0</v>
      </c>
      <c r="O239" s="125">
        <f>Valores!$C$7*B239</f>
        <v>13986.21</v>
      </c>
      <c r="P239" s="125">
        <f>ROUND(IF(B239&lt;15,(Valores!$E$5*B239),Valores!$D$5),2)</f>
        <v>14056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7367.150000000001</v>
      </c>
      <c r="S239" s="125">
        <f>Valores!$C$18*B239</f>
        <v>4398.87</v>
      </c>
      <c r="T239" s="125">
        <f t="shared" si="39"/>
        <v>4398.87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IF(Valores!$C$98*B239&gt;Valores!$C$97,Valores!$C$97,Valores!$C$98*B239)</f>
        <v>13428.87</v>
      </c>
      <c r="AA239" s="125">
        <f>IF((Valores!$C$28)*B239&gt;Valores!$F$28,Valores!$F$28,(Valores!$C$28)*B239)</f>
        <v>345.59</v>
      </c>
      <c r="AB239" s="214">
        <v>0</v>
      </c>
      <c r="AC239" s="125">
        <f t="shared" si="35"/>
        <v>0</v>
      </c>
      <c r="AD239" s="125">
        <f>IF(Valores!$C$29*B239&gt;Valores!$F$29,Valores!$F$29,Valores!$C$29*B239)</f>
        <v>287.77</v>
      </c>
      <c r="AE239" s="192">
        <v>0</v>
      </c>
      <c r="AF239" s="125">
        <f>ROUND(AE239*Valores!$C$2,2)</f>
        <v>0</v>
      </c>
      <c r="AG239" s="125">
        <f>SUM(F239,H239,J239,L239,M239,N239,O239,P239,Q239,R239,T239,U239,V239,X239,Y239,Z239,AA239,AC239,AD239,AF239,AH239)*Valores!$C$69</f>
        <v>13430.551199999998</v>
      </c>
      <c r="AH239" s="125">
        <f>IF($F$4="NO",IF(Valores!$D$63*'Escala Docente'!B239&gt;Valores!$F$63,Valores!$F$63,Valores!$D$63*'Escala Docente'!B239),IF(Valores!$D$63*'Escala Docente'!B239&gt;Valores!$F$63,Valores!$F$63,Valores!$D$63*'Escala Docente'!B239)/2)+0.01</f>
        <v>6572.17</v>
      </c>
      <c r="AI239" s="125">
        <f t="shared" si="41"/>
        <v>117543.35119999999</v>
      </c>
      <c r="AJ239" s="125">
        <f>IF(Valores!$C$32*B239&gt;Valores!$F$32,Valores!$F$32,Valores!$C$32*B239)</f>
        <v>0</v>
      </c>
      <c r="AK239" s="125">
        <f>IF(Valores!$C$91*B239&gt;Valores!$C$90,Valores!$C$90,Valores!$C$91*B239)</f>
        <v>0</v>
      </c>
      <c r="AL239" s="125">
        <f>IF(Valores!C$39*B239&gt;Valores!F$38,Valores!F$38,Valores!C$39*B239)</f>
        <v>0</v>
      </c>
      <c r="AM239" s="125">
        <f>IF($F$3="NO",0,IF(Valores!$C$62*B239&gt;Valores!$F$62,Valores!$F$62,Valores!$C$62*B239))</f>
        <v>0</v>
      </c>
      <c r="AN239" s="125">
        <f t="shared" si="36"/>
        <v>0</v>
      </c>
      <c r="AO239" s="125">
        <f>AI239*Valores!$C$71</f>
        <v>-12929.768632</v>
      </c>
      <c r="AP239" s="125">
        <f>AI239*Valores!$C$72</f>
        <v>-2350.8670239999997</v>
      </c>
      <c r="AQ239" s="125">
        <f>AI239*-Valores!$C$73</f>
        <v>0</v>
      </c>
      <c r="AR239" s="125">
        <f>AI239*Valores!$C$74</f>
        <v>-6464.884316</v>
      </c>
      <c r="AS239" s="125">
        <f>Valores!$C$101</f>
        <v>-1270</v>
      </c>
      <c r="AT239" s="125">
        <f>IF($F$5=0,Valores!$C$102,(Valores!$C$102+$F$5*(Valores!$C$102)))</f>
        <v>-3700</v>
      </c>
      <c r="AU239" s="125">
        <f t="shared" si="38"/>
        <v>90827.831228</v>
      </c>
      <c r="AV239" s="125">
        <f t="shared" si="33"/>
        <v>-12929.768632</v>
      </c>
      <c r="AW239" s="125">
        <f t="shared" si="40"/>
        <v>-2350.8670239999997</v>
      </c>
      <c r="AX239" s="125">
        <f>AI239*Valores!$C$75</f>
        <v>-3173.6704824</v>
      </c>
      <c r="AY239" s="125">
        <f>AI239*Valores!$C$76</f>
        <v>-352.6300536</v>
      </c>
      <c r="AZ239" s="125">
        <f t="shared" si="37"/>
        <v>98736.41500799998</v>
      </c>
      <c r="BA239" s="125">
        <f>AI239*Valores!$C$78</f>
        <v>18806.936191999997</v>
      </c>
      <c r="BB239" s="125">
        <f>AI239*Valores!$C$79</f>
        <v>8228.034584</v>
      </c>
      <c r="BC239" s="125">
        <f>AI239*Valores!$C$80</f>
        <v>1175.4335119999998</v>
      </c>
      <c r="BD239" s="125">
        <f>AI239*Valores!$C$82</f>
        <v>4114.017292</v>
      </c>
      <c r="BE239" s="125">
        <f>AI239*Valores!$C$84</f>
        <v>6347.3409648</v>
      </c>
      <c r="BF239" s="125">
        <f>AI239*Valores!$C$83</f>
        <v>705.2601072</v>
      </c>
      <c r="BG239" s="126"/>
      <c r="BH239" s="126">
        <f t="shared" si="42"/>
        <v>7</v>
      </c>
      <c r="BI239" s="123" t="s">
        <v>4</v>
      </c>
    </row>
    <row r="240" spans="1:61" s="110" customFormat="1" ht="11.25" customHeight="1">
      <c r="A240" s="123" t="s">
        <v>470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43"/>
        <v>553</v>
      </c>
      <c r="F240" s="125">
        <f>ROUND(E240*Valores!$C$2,2)</f>
        <v>32582.93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11087.24</v>
      </c>
      <c r="N240" s="125">
        <f t="shared" si="34"/>
        <v>0</v>
      </c>
      <c r="O240" s="125">
        <f>Valores!$C$7*B240</f>
        <v>13986.21</v>
      </c>
      <c r="P240" s="125">
        <f>ROUND(IF(B240&lt;15,(Valores!$E$5*B240),Valores!$D$5),2)</f>
        <v>14056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7367.150000000001</v>
      </c>
      <c r="S240" s="125">
        <f>Valores!$C$18*B240</f>
        <v>4398.87</v>
      </c>
      <c r="T240" s="125">
        <f t="shared" si="39"/>
        <v>4398.87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IF(Valores!$C$98*B240&gt;Valores!$C$97,Valores!$C$97,Valores!$C$98*B240)</f>
        <v>13428.87</v>
      </c>
      <c r="AA240" s="125">
        <f>IF((Valores!$C$28)*B240&gt;Valores!$F$28,Valores!$F$28,(Valores!$C$28)*B240)</f>
        <v>345.59</v>
      </c>
      <c r="AB240" s="214">
        <v>0</v>
      </c>
      <c r="AC240" s="125">
        <f t="shared" si="35"/>
        <v>0</v>
      </c>
      <c r="AD240" s="125">
        <f>IF(Valores!$C$29*B240&gt;Valores!$F$29,Valores!$F$29,Valores!$C$29*B240)</f>
        <v>287.77</v>
      </c>
      <c r="AE240" s="192">
        <v>94</v>
      </c>
      <c r="AF240" s="125">
        <f>ROUND(AE240*Valores!$C$2,2)</f>
        <v>5538.51</v>
      </c>
      <c r="AG240" s="125">
        <f>SUM(F240,H240,J240,L240,M240,N240,O240,P240,Q240,R240,T240,U240,V240,X240,Y240,Z240,AA240,AC240,AD240,AF240,AH240)*Valores!$C$69</f>
        <v>14145.018989999999</v>
      </c>
      <c r="AH240" s="125">
        <f>IF($F$4="NO",IF(Valores!$D$63*'Escala Docente'!B240&gt;Valores!$F$63,Valores!$F$63,Valores!$D$63*'Escala Docente'!B240),IF(Valores!$D$63*'Escala Docente'!B240&gt;Valores!$F$63,Valores!$F$63,Valores!$D$63*'Escala Docente'!B240)/2)+0.01</f>
        <v>6572.17</v>
      </c>
      <c r="AI240" s="125">
        <f t="shared" si="41"/>
        <v>123796.32898999998</v>
      </c>
      <c r="AJ240" s="125">
        <f>IF(Valores!$C$32*B240&gt;Valores!$F$32,Valores!$F$32,Valores!$C$32*B240)</f>
        <v>0</v>
      </c>
      <c r="AK240" s="125">
        <f>IF(Valores!$C$91*B240&gt;Valores!$C$90,Valores!$C$90,Valores!$C$91*B240)</f>
        <v>0</v>
      </c>
      <c r="AL240" s="125">
        <f>IF(Valores!C$39*B240&gt;Valores!F$38,Valores!F$38,Valores!C$39*B240)</f>
        <v>0</v>
      </c>
      <c r="AM240" s="125">
        <f>IF($F$3="NO",0,IF(Valores!$C$62*B240&gt;Valores!$F$62,Valores!$F$62,Valores!$C$62*B240))</f>
        <v>0</v>
      </c>
      <c r="AN240" s="125">
        <f t="shared" si="36"/>
        <v>0</v>
      </c>
      <c r="AO240" s="125">
        <f>AI240*Valores!$C$71</f>
        <v>-13617.596188899997</v>
      </c>
      <c r="AP240" s="125">
        <f>AI240*Valores!$C$72</f>
        <v>-2475.9265797999997</v>
      </c>
      <c r="AQ240" s="125">
        <f>AI240*-Valores!$C$73</f>
        <v>0</v>
      </c>
      <c r="AR240" s="125">
        <f>AI240*Valores!$C$74</f>
        <v>-6808.798094449999</v>
      </c>
      <c r="AS240" s="125">
        <f>Valores!$C$101</f>
        <v>-1270</v>
      </c>
      <c r="AT240" s="125">
        <f>IF($F$5=0,Valores!$C$102,(Valores!$C$102+$F$5*(Valores!$C$102)))</f>
        <v>-3700</v>
      </c>
      <c r="AU240" s="125">
        <f t="shared" si="38"/>
        <v>95924.00812684998</v>
      </c>
      <c r="AV240" s="125">
        <f t="shared" si="33"/>
        <v>-13617.596188899997</v>
      </c>
      <c r="AW240" s="125">
        <f t="shared" si="40"/>
        <v>-2475.9265797999997</v>
      </c>
      <c r="AX240" s="125">
        <f>AI240*Valores!$C$75</f>
        <v>-3342.5008827299994</v>
      </c>
      <c r="AY240" s="125">
        <f>AI240*Valores!$C$76</f>
        <v>-371.38898696999996</v>
      </c>
      <c r="AZ240" s="125">
        <f t="shared" si="37"/>
        <v>103988.91635159998</v>
      </c>
      <c r="BA240" s="125">
        <f>AI240*Valores!$C$78</f>
        <v>19807.412638399997</v>
      </c>
      <c r="BB240" s="125">
        <f>AI240*Valores!$C$79</f>
        <v>8665.7430293</v>
      </c>
      <c r="BC240" s="125">
        <f>AI240*Valores!$C$80</f>
        <v>1237.9632898999998</v>
      </c>
      <c r="BD240" s="125">
        <f>AI240*Valores!$C$82</f>
        <v>4332.87151465</v>
      </c>
      <c r="BE240" s="125">
        <f>AI240*Valores!$C$84</f>
        <v>6685.001765459999</v>
      </c>
      <c r="BF240" s="125">
        <f>AI240*Valores!$C$83</f>
        <v>742.7779739399999</v>
      </c>
      <c r="BG240" s="126"/>
      <c r="BH240" s="126">
        <f t="shared" si="42"/>
        <v>7</v>
      </c>
      <c r="BI240" s="123" t="s">
        <v>4</v>
      </c>
    </row>
    <row r="241" spans="1:61" s="110" customFormat="1" ht="11.25" customHeight="1">
      <c r="A241" s="123" t="s">
        <v>470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43"/>
        <v>632</v>
      </c>
      <c r="F241" s="125">
        <f>ROUND(E241*Valores!$C$2,2)</f>
        <v>37237.63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12671.13</v>
      </c>
      <c r="N241" s="125">
        <f t="shared" si="34"/>
        <v>0</v>
      </c>
      <c r="O241" s="125">
        <f>Valores!$C$7*B241</f>
        <v>15984.24</v>
      </c>
      <c r="P241" s="125">
        <f>ROUND(IF(B241&lt;15,(Valores!$E$5*B241),Valores!$D$5),2)</f>
        <v>16064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8419.6</v>
      </c>
      <c r="S241" s="125">
        <f>Valores!$C$18*B241</f>
        <v>5027.28</v>
      </c>
      <c r="T241" s="125">
        <f t="shared" si="39"/>
        <v>5027.28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IF(Valores!$C$98*B241&gt;Valores!$C$97,Valores!$C$97,Valores!$C$98*B241)</f>
        <v>15347.28</v>
      </c>
      <c r="AA241" s="125">
        <f>IF((Valores!$C$28)*B241&gt;Valores!$F$28,Valores!$F$28,(Valores!$C$28)*B241)</f>
        <v>394.96</v>
      </c>
      <c r="AB241" s="214">
        <v>0</v>
      </c>
      <c r="AC241" s="125">
        <f t="shared" si="35"/>
        <v>0</v>
      </c>
      <c r="AD241" s="125">
        <f>IF(Valores!$C$29*B241&gt;Valores!$F$29,Valores!$F$29,Valores!$C$29*B241)</f>
        <v>328.88</v>
      </c>
      <c r="AE241" s="192">
        <v>0</v>
      </c>
      <c r="AF241" s="125">
        <f>ROUND(AE241*Valores!$C$2,2)</f>
        <v>0</v>
      </c>
      <c r="AG241" s="125">
        <f>SUM(F241,H241,J241,L241,M241,N241,O241,P241,Q241,R241,T241,U241,V241,X241,Y241,Z241,AA241,AC241,AD241,AF241,AH241)*Valores!$C$69</f>
        <v>15349.201740000002</v>
      </c>
      <c r="AH241" s="125">
        <f>IF($F$4="NO",IF(Valores!$D$63*'Escala Docente'!B241&gt;Valores!$F$63,Valores!$F$63,Valores!$D$63*'Escala Docente'!B241),IF(Valores!$D$63*'Escala Docente'!B241&gt;Valores!$F$63,Valores!$F$63,Valores!$D$63*'Escala Docente'!B241)/2)+0.02</f>
        <v>7511.06</v>
      </c>
      <c r="AI241" s="125">
        <f t="shared" si="41"/>
        <v>134335.26174000002</v>
      </c>
      <c r="AJ241" s="125">
        <f>IF(Valores!$C$32*B241&gt;Valores!$F$32,Valores!$F$32,Valores!$C$32*B241)</f>
        <v>0</v>
      </c>
      <c r="AK241" s="125">
        <f>IF(Valores!$C$91*B241&gt;Valores!$C$90,Valores!$C$90,Valores!$C$91*B241)</f>
        <v>0</v>
      </c>
      <c r="AL241" s="125">
        <f>IF(Valores!C$39*B241&gt;Valores!F$38,Valores!F$38,Valores!C$39*B241)</f>
        <v>0</v>
      </c>
      <c r="AM241" s="125">
        <f>IF($F$3="NO",0,IF(Valores!$C$62*B241&gt;Valores!$F$62,Valores!$F$62,Valores!$C$62*B241))</f>
        <v>0</v>
      </c>
      <c r="AN241" s="125">
        <f t="shared" si="36"/>
        <v>0</v>
      </c>
      <c r="AO241" s="125">
        <f>AI241*Valores!$C$71</f>
        <v>-14776.878791400002</v>
      </c>
      <c r="AP241" s="125">
        <f>AI241*Valores!$C$72</f>
        <v>-2686.7052348</v>
      </c>
      <c r="AQ241" s="125">
        <f>AI241*-Valores!$C$73</f>
        <v>0</v>
      </c>
      <c r="AR241" s="125">
        <f>AI241*Valores!$C$74</f>
        <v>-7388.439395700001</v>
      </c>
      <c r="AS241" s="125">
        <f>Valores!$C$101</f>
        <v>-1270</v>
      </c>
      <c r="AT241" s="125">
        <f>IF($F$5=0,Valores!$C$102,(Valores!$C$102+$F$5*(Valores!$C$102)))</f>
        <v>-3700</v>
      </c>
      <c r="AU241" s="125">
        <f t="shared" si="38"/>
        <v>104513.23831810002</v>
      </c>
      <c r="AV241" s="125">
        <f t="shared" si="33"/>
        <v>-14776.878791400002</v>
      </c>
      <c r="AW241" s="125">
        <f t="shared" si="40"/>
        <v>-2686.7052348</v>
      </c>
      <c r="AX241" s="125">
        <f>AI241*Valores!$C$75</f>
        <v>-3627.0520669800003</v>
      </c>
      <c r="AY241" s="125">
        <f>AI241*Valores!$C$76</f>
        <v>-403.00578522000006</v>
      </c>
      <c r="AZ241" s="125">
        <f t="shared" si="37"/>
        <v>112841.61986160002</v>
      </c>
      <c r="BA241" s="125">
        <f>AI241*Valores!$C$78</f>
        <v>21493.6418784</v>
      </c>
      <c r="BB241" s="125">
        <f>AI241*Valores!$C$79</f>
        <v>9403.468321800003</v>
      </c>
      <c r="BC241" s="125">
        <f>AI241*Valores!$C$80</f>
        <v>1343.3526174</v>
      </c>
      <c r="BD241" s="125">
        <f>AI241*Valores!$C$82</f>
        <v>4701.734160900001</v>
      </c>
      <c r="BE241" s="125">
        <f>AI241*Valores!$C$84</f>
        <v>7254.104133960001</v>
      </c>
      <c r="BF241" s="125">
        <f>AI241*Valores!$C$83</f>
        <v>806.0115704400001</v>
      </c>
      <c r="BG241" s="126"/>
      <c r="BH241" s="126">
        <f t="shared" si="42"/>
        <v>8</v>
      </c>
      <c r="BI241" s="123" t="s">
        <v>4</v>
      </c>
    </row>
    <row r="242" spans="1:61" s="110" customFormat="1" ht="11.25" customHeight="1">
      <c r="A242" s="123" t="s">
        <v>470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43"/>
        <v>632</v>
      </c>
      <c r="F242" s="125">
        <f>ROUND(E242*Valores!$C$2,2)</f>
        <v>37237.63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12671.13</v>
      </c>
      <c r="N242" s="125">
        <f t="shared" si="34"/>
        <v>0</v>
      </c>
      <c r="O242" s="125">
        <f>Valores!$C$7*B242</f>
        <v>15984.24</v>
      </c>
      <c r="P242" s="125">
        <f>ROUND(IF(B242&lt;15,(Valores!$E$5*B242),Valores!$D$5),2)</f>
        <v>16064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8419.6</v>
      </c>
      <c r="S242" s="125">
        <f>Valores!$C$18*B242</f>
        <v>5027.28</v>
      </c>
      <c r="T242" s="125">
        <f t="shared" si="39"/>
        <v>5027.28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IF(Valores!$C$98*B242&gt;Valores!$C$97,Valores!$C$97,Valores!$C$98*B242)</f>
        <v>15347.28</v>
      </c>
      <c r="AA242" s="125">
        <f>IF((Valores!$C$28)*B242&gt;Valores!$F$28,Valores!$F$28,(Valores!$C$28)*B242)</f>
        <v>394.96</v>
      </c>
      <c r="AB242" s="214">
        <v>0</v>
      </c>
      <c r="AC242" s="125">
        <f t="shared" si="35"/>
        <v>0</v>
      </c>
      <c r="AD242" s="125">
        <f>IF(Valores!$C$29*B242&gt;Valores!$F$29,Valores!$F$29,Valores!$C$29*B242)</f>
        <v>328.88</v>
      </c>
      <c r="AE242" s="192">
        <v>94</v>
      </c>
      <c r="AF242" s="125">
        <f>ROUND(AE242*Valores!$C$2,2)</f>
        <v>5538.51</v>
      </c>
      <c r="AG242" s="125">
        <f>SUM(F242,H242,J242,L242,M242,N242,O242,P242,Q242,R242,T242,U242,V242,X242,Y242,Z242,AA242,AC242,AD242,AF242,AH242)*Valores!$C$69</f>
        <v>16063.669530000001</v>
      </c>
      <c r="AH242" s="125">
        <f>IF($F$4="NO",IF(Valores!$D$63*'Escala Docente'!B242&gt;Valores!$F$63,Valores!$F$63,Valores!$D$63*'Escala Docente'!B242),IF(Valores!$D$63*'Escala Docente'!B242&gt;Valores!$F$63,Valores!$F$63,Valores!$D$63*'Escala Docente'!B242)/2)+0.02</f>
        <v>7511.06</v>
      </c>
      <c r="AI242" s="125">
        <f t="shared" si="41"/>
        <v>140588.23953000002</v>
      </c>
      <c r="AJ242" s="125">
        <f>IF(Valores!$C$32*B242&gt;Valores!$F$32,Valores!$F$32,Valores!$C$32*B242)</f>
        <v>0</v>
      </c>
      <c r="AK242" s="125">
        <f>IF(Valores!$C$91*B242&gt;Valores!$C$90,Valores!$C$90,Valores!$C$91*B242)</f>
        <v>0</v>
      </c>
      <c r="AL242" s="125">
        <f>IF(Valores!C$39*B242&gt;Valores!F$38,Valores!F$38,Valores!C$39*B242)</f>
        <v>0</v>
      </c>
      <c r="AM242" s="125">
        <f>IF($F$3="NO",0,IF(Valores!$C$62*B242&gt;Valores!$F$62,Valores!$F$62,Valores!$C$62*B242))</f>
        <v>0</v>
      </c>
      <c r="AN242" s="125">
        <f t="shared" si="36"/>
        <v>0</v>
      </c>
      <c r="AO242" s="125">
        <f>AI242*Valores!$C$71</f>
        <v>-15464.706348300002</v>
      </c>
      <c r="AP242" s="125">
        <f>AI242*Valores!$C$72</f>
        <v>-2811.7647906000007</v>
      </c>
      <c r="AQ242" s="125">
        <f>AI242*-Valores!$C$73</f>
        <v>0</v>
      </c>
      <c r="AR242" s="125">
        <f>AI242*Valores!$C$74</f>
        <v>-7732.353174150001</v>
      </c>
      <c r="AS242" s="125">
        <f>Valores!$C$101</f>
        <v>-1270</v>
      </c>
      <c r="AT242" s="125">
        <f>IF($F$5=0,Valores!$C$102,(Valores!$C$102+$F$5*(Valores!$C$102)))</f>
        <v>-3700</v>
      </c>
      <c r="AU242" s="125">
        <f t="shared" si="38"/>
        <v>109609.41521695002</v>
      </c>
      <c r="AV242" s="125">
        <f t="shared" si="33"/>
        <v>-15464.706348300002</v>
      </c>
      <c r="AW242" s="125">
        <f t="shared" si="40"/>
        <v>-2811.7647906000007</v>
      </c>
      <c r="AX242" s="125">
        <f>AI242*Valores!$C$75</f>
        <v>-3795.8824673100007</v>
      </c>
      <c r="AY242" s="125">
        <f>AI242*Valores!$C$76</f>
        <v>-421.7647185900001</v>
      </c>
      <c r="AZ242" s="125">
        <f t="shared" si="37"/>
        <v>118094.12120520002</v>
      </c>
      <c r="BA242" s="125">
        <f>AI242*Valores!$C$78</f>
        <v>22494.118324800005</v>
      </c>
      <c r="BB242" s="125">
        <f>AI242*Valores!$C$79</f>
        <v>9841.176767100002</v>
      </c>
      <c r="BC242" s="125">
        <f>AI242*Valores!$C$80</f>
        <v>1405.8823953000003</v>
      </c>
      <c r="BD242" s="125">
        <f>AI242*Valores!$C$82</f>
        <v>4920.588383550001</v>
      </c>
      <c r="BE242" s="125">
        <f>AI242*Valores!$C$84</f>
        <v>7591.764934620001</v>
      </c>
      <c r="BF242" s="125">
        <f>AI242*Valores!$C$83</f>
        <v>843.5294371800002</v>
      </c>
      <c r="BG242" s="126"/>
      <c r="BH242" s="126">
        <f t="shared" si="42"/>
        <v>8</v>
      </c>
      <c r="BI242" s="123" t="s">
        <v>4</v>
      </c>
    </row>
    <row r="243" spans="1:61" s="110" customFormat="1" ht="11.25" customHeight="1">
      <c r="A243" s="123" t="s">
        <v>470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43"/>
        <v>711</v>
      </c>
      <c r="F243" s="125">
        <f>ROUND(E243*Valores!$C$2,2)</f>
        <v>41892.33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14255.02</v>
      </c>
      <c r="N243" s="125">
        <f t="shared" si="34"/>
        <v>0</v>
      </c>
      <c r="O243" s="125">
        <f>Valores!$C$7*B243</f>
        <v>17982.27</v>
      </c>
      <c r="P243" s="125">
        <f>ROUND(IF(B243&lt;15,(Valores!$E$5*B243),Valores!$D$5),2)</f>
        <v>18072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9472.050000000001</v>
      </c>
      <c r="S243" s="125">
        <f>Valores!$C$18*B243</f>
        <v>5655.69</v>
      </c>
      <c r="T243" s="125">
        <f t="shared" si="39"/>
        <v>5655.69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IF(Valores!$C$98*B243&gt;Valores!$C$97,Valores!$C$97,Valores!$C$98*B243)</f>
        <v>17265.690000000002</v>
      </c>
      <c r="AA243" s="125">
        <f>IF((Valores!$C$28)*B243&gt;Valores!$F$28,Valores!$F$28,(Valores!$C$28)*B243)</f>
        <v>444.33</v>
      </c>
      <c r="AB243" s="214">
        <v>0</v>
      </c>
      <c r="AC243" s="125">
        <f t="shared" si="35"/>
        <v>0</v>
      </c>
      <c r="AD243" s="125">
        <f>IF(Valores!$C$29*B243&gt;Valores!$F$29,Valores!$F$29,Valores!$C$29*B243)</f>
        <v>369.99</v>
      </c>
      <c r="AE243" s="192">
        <v>0</v>
      </c>
      <c r="AF243" s="125">
        <f>ROUND(AE243*Valores!$C$2,2)</f>
        <v>0</v>
      </c>
      <c r="AG243" s="125">
        <f>SUM(F243,H243,J243,L243,M243,N243,O243,P243,Q243,R243,T243,U243,V243,X243,Y243,Z243,AA243,AC243,AD243,AF243,AH243)*Valores!$C$69</f>
        <v>17267.850990000003</v>
      </c>
      <c r="AH243" s="125">
        <f>IF($F$4="NO",IF(Valores!$D$63*'Escala Docente'!B243&gt;Valores!$F$63,Valores!$F$63,Valores!$D$63*'Escala Docente'!B243),IF(Valores!$D$63*'Escala Docente'!B243&gt;Valores!$F$63,Valores!$F$63,Valores!$D$63*'Escala Docente'!B243)/2)+0.02</f>
        <v>8449.94</v>
      </c>
      <c r="AI243" s="125">
        <f t="shared" si="41"/>
        <v>151127.16099000003</v>
      </c>
      <c r="AJ243" s="125">
        <f>IF(Valores!$C$32*B243&gt;Valores!$F$32,Valores!$F$32,Valores!$C$32*B243)</f>
        <v>0</v>
      </c>
      <c r="AK243" s="125">
        <f>IF(Valores!$C$91*B243&gt;Valores!$C$90,Valores!$C$90,Valores!$C$91*B243)</f>
        <v>0</v>
      </c>
      <c r="AL243" s="125">
        <f>IF(Valores!C$39*B243&gt;Valores!F$38,Valores!F$38,Valores!C$39*B243)</f>
        <v>0</v>
      </c>
      <c r="AM243" s="125">
        <f>IF($F$3="NO",0,IF(Valores!$C$62*B243&gt;Valores!$F$62,Valores!$F$62,Valores!$C$62*B243))</f>
        <v>0</v>
      </c>
      <c r="AN243" s="125">
        <f t="shared" si="36"/>
        <v>0</v>
      </c>
      <c r="AO243" s="125">
        <f>AI243*Valores!$C$71</f>
        <v>-16623.987708900004</v>
      </c>
      <c r="AP243" s="125">
        <f>AI243*Valores!$C$72</f>
        <v>-3022.5432198000008</v>
      </c>
      <c r="AQ243" s="125">
        <f>AI243*-Valores!$C$73</f>
        <v>0</v>
      </c>
      <c r="AR243" s="125">
        <f>AI243*Valores!$C$74</f>
        <v>-8311.993854450002</v>
      </c>
      <c r="AS243" s="125">
        <f>Valores!$C$101</f>
        <v>-1270</v>
      </c>
      <c r="AT243" s="125">
        <f>IF($F$5=0,Valores!$C$102,(Valores!$C$102+$F$5*(Valores!$C$102)))</f>
        <v>-3700</v>
      </c>
      <c r="AU243" s="125">
        <f t="shared" si="38"/>
        <v>118198.63620685003</v>
      </c>
      <c r="AV243" s="125">
        <f t="shared" si="33"/>
        <v>-16623.987708900004</v>
      </c>
      <c r="AW243" s="125">
        <f t="shared" si="40"/>
        <v>-3022.5432198000008</v>
      </c>
      <c r="AX243" s="125">
        <f>AI243*Valores!$C$75</f>
        <v>-4080.4333467300007</v>
      </c>
      <c r="AY243" s="125">
        <f>AI243*Valores!$C$76</f>
        <v>-453.3814829700001</v>
      </c>
      <c r="AZ243" s="125">
        <f t="shared" si="37"/>
        <v>126946.81523160002</v>
      </c>
      <c r="BA243" s="125">
        <f>AI243*Valores!$C$78</f>
        <v>24180.345758400006</v>
      </c>
      <c r="BB243" s="125">
        <f>AI243*Valores!$C$79</f>
        <v>10578.901269300004</v>
      </c>
      <c r="BC243" s="125">
        <f>AI243*Valores!$C$80</f>
        <v>1511.2716099000004</v>
      </c>
      <c r="BD243" s="125">
        <f>AI243*Valores!$C$82</f>
        <v>5289.450634650002</v>
      </c>
      <c r="BE243" s="125">
        <f>AI243*Valores!$C$84</f>
        <v>8160.866693460001</v>
      </c>
      <c r="BF243" s="125">
        <f>AI243*Valores!$C$83</f>
        <v>906.7629659400002</v>
      </c>
      <c r="BG243" s="126"/>
      <c r="BH243" s="126">
        <f t="shared" si="42"/>
        <v>9</v>
      </c>
      <c r="BI243" s="123" t="s">
        <v>4</v>
      </c>
    </row>
    <row r="244" spans="1:61" s="110" customFormat="1" ht="11.25" customHeight="1">
      <c r="A244" s="123" t="s">
        <v>470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43"/>
        <v>711</v>
      </c>
      <c r="F244" s="125">
        <f>ROUND(E244*Valores!$C$2,2)</f>
        <v>41892.33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14255.02</v>
      </c>
      <c r="N244" s="125">
        <f t="shared" si="34"/>
        <v>0</v>
      </c>
      <c r="O244" s="125">
        <f>Valores!$C$7*B244</f>
        <v>17982.27</v>
      </c>
      <c r="P244" s="125">
        <f>ROUND(IF(B244&lt;15,(Valores!$E$5*B244),Valores!$D$5),2)</f>
        <v>18072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9472.050000000001</v>
      </c>
      <c r="S244" s="125">
        <f>Valores!$C$18*B244</f>
        <v>5655.69</v>
      </c>
      <c r="T244" s="125">
        <f t="shared" si="39"/>
        <v>5655.69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IF(Valores!$C$98*B244&gt;Valores!$C$97,Valores!$C$97,Valores!$C$98*B244)</f>
        <v>17265.690000000002</v>
      </c>
      <c r="AA244" s="125">
        <f>IF((Valores!$C$28)*B244&gt;Valores!$F$28,Valores!$F$28,(Valores!$C$28)*B244)</f>
        <v>444.33</v>
      </c>
      <c r="AB244" s="214">
        <v>0</v>
      </c>
      <c r="AC244" s="125">
        <f t="shared" si="35"/>
        <v>0</v>
      </c>
      <c r="AD244" s="125">
        <f>IF(Valores!$C$29*B244&gt;Valores!$F$29,Valores!$F$29,Valores!$C$29*B244)</f>
        <v>369.99</v>
      </c>
      <c r="AE244" s="192">
        <v>94</v>
      </c>
      <c r="AF244" s="125">
        <f>ROUND(AE244*Valores!$C$2,2)</f>
        <v>5538.51</v>
      </c>
      <c r="AG244" s="125">
        <f>SUM(F244,H244,J244,L244,M244,N244,O244,P244,Q244,R244,T244,U244,V244,X244,Y244,Z244,AA244,AC244,AD244,AF244,AH244)*Valores!$C$69</f>
        <v>17982.31878</v>
      </c>
      <c r="AH244" s="125">
        <f>IF($F$4="NO",IF(Valores!$D$63*'Escala Docente'!B244&gt;Valores!$F$63,Valores!$F$63,Valores!$D$63*'Escala Docente'!B244),IF(Valores!$D$63*'Escala Docente'!B244&gt;Valores!$F$63,Valores!$F$63,Valores!$D$63*'Escala Docente'!B244)/2)+0.02</f>
        <v>8449.94</v>
      </c>
      <c r="AI244" s="125">
        <f t="shared" si="41"/>
        <v>157380.13878000004</v>
      </c>
      <c r="AJ244" s="125">
        <f>IF(Valores!$C$32*B244&gt;Valores!$F$32,Valores!$F$32,Valores!$C$32*B244)</f>
        <v>0</v>
      </c>
      <c r="AK244" s="125">
        <f>IF(Valores!$C$91*B244&gt;Valores!$C$90,Valores!$C$90,Valores!$C$91*B244)</f>
        <v>0</v>
      </c>
      <c r="AL244" s="125">
        <f>IF(Valores!C$39*B244&gt;Valores!F$38,Valores!F$38,Valores!C$39*B244)</f>
        <v>0</v>
      </c>
      <c r="AM244" s="125">
        <f>IF($F$3="NO",0,IF(Valores!$C$62*B244&gt;Valores!$F$62,Valores!$F$62,Valores!$C$62*B244))</f>
        <v>0</v>
      </c>
      <c r="AN244" s="125">
        <f t="shared" si="36"/>
        <v>0</v>
      </c>
      <c r="AO244" s="125">
        <f>AI244*Valores!$C$71</f>
        <v>-17311.815265800004</v>
      </c>
      <c r="AP244" s="125">
        <f>AI244*Valores!$C$72</f>
        <v>-3147.6027756000008</v>
      </c>
      <c r="AQ244" s="125">
        <f>AI244*-Valores!$C$73</f>
        <v>0</v>
      </c>
      <c r="AR244" s="125">
        <f>AI244*Valores!$C$74</f>
        <v>-8655.907632900002</v>
      </c>
      <c r="AS244" s="125">
        <f>Valores!$C$101</f>
        <v>-1270</v>
      </c>
      <c r="AT244" s="125">
        <f>IF($F$5=0,Valores!$C$102,(Valores!$C$102+$F$5*(Valores!$C$102)))</f>
        <v>-3700</v>
      </c>
      <c r="AU244" s="125">
        <f t="shared" si="38"/>
        <v>123294.81310570003</v>
      </c>
      <c r="AV244" s="125">
        <f t="shared" si="33"/>
        <v>-17311.815265800004</v>
      </c>
      <c r="AW244" s="125">
        <f t="shared" si="40"/>
        <v>-3147.6027756000008</v>
      </c>
      <c r="AX244" s="125">
        <f>AI244*Valores!$C$75</f>
        <v>-4249.263747060001</v>
      </c>
      <c r="AY244" s="125">
        <f>AI244*Valores!$C$76</f>
        <v>-472.1404163400001</v>
      </c>
      <c r="AZ244" s="125">
        <f t="shared" si="37"/>
        <v>132199.31657520004</v>
      </c>
      <c r="BA244" s="125">
        <f>AI244*Valores!$C$78</f>
        <v>25180.822204800006</v>
      </c>
      <c r="BB244" s="125">
        <f>AI244*Valores!$C$79</f>
        <v>11016.609714600003</v>
      </c>
      <c r="BC244" s="125">
        <f>AI244*Valores!$C$80</f>
        <v>1573.8013878000004</v>
      </c>
      <c r="BD244" s="125">
        <f>AI244*Valores!$C$82</f>
        <v>5508.3048573000015</v>
      </c>
      <c r="BE244" s="125">
        <f>AI244*Valores!$C$84</f>
        <v>8498.527494120002</v>
      </c>
      <c r="BF244" s="125">
        <f>AI244*Valores!$C$83</f>
        <v>944.2808326800002</v>
      </c>
      <c r="BG244" s="126"/>
      <c r="BH244" s="126">
        <f t="shared" si="42"/>
        <v>9</v>
      </c>
      <c r="BI244" s="123" t="s">
        <v>4</v>
      </c>
    </row>
    <row r="245" spans="1:61" s="110" customFormat="1" ht="11.25" customHeight="1">
      <c r="A245" s="123" t="s">
        <v>470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43"/>
        <v>790</v>
      </c>
      <c r="F245" s="125">
        <f>ROUND(E245*Valores!$C$2,2)</f>
        <v>46547.04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15838.91</v>
      </c>
      <c r="N245" s="125">
        <f t="shared" si="34"/>
        <v>0</v>
      </c>
      <c r="O245" s="125">
        <f>Valores!$C$7*B245</f>
        <v>19980.3</v>
      </c>
      <c r="P245" s="125">
        <f>ROUND(IF(B245&lt;15,(Valores!$E$5*B245),Valores!$D$5),2)</f>
        <v>20080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10524.5</v>
      </c>
      <c r="S245" s="125">
        <f>Valores!$C$18*B245</f>
        <v>6284.099999999999</v>
      </c>
      <c r="T245" s="125">
        <f t="shared" si="39"/>
        <v>6284.1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IF(Valores!$C$98*B245&gt;Valores!$C$97,Valores!$C$97,Valores!$C$98*B245)</f>
        <v>19184.100000000002</v>
      </c>
      <c r="AA245" s="125">
        <f>IF((Valores!$C$28)*B245&gt;Valores!$F$28,Valores!$F$28,(Valores!$C$28)*B245)</f>
        <v>493.7</v>
      </c>
      <c r="AB245" s="214">
        <v>0</v>
      </c>
      <c r="AC245" s="125">
        <f t="shared" si="35"/>
        <v>0</v>
      </c>
      <c r="AD245" s="125">
        <f>IF(Valores!$C$29*B245&gt;Valores!$F$29,Valores!$F$29,Valores!$C$29*B245)</f>
        <v>411.1</v>
      </c>
      <c r="AE245" s="192">
        <v>0</v>
      </c>
      <c r="AF245" s="125">
        <f>ROUND(AE245*Valores!$C$2,2)</f>
        <v>0</v>
      </c>
      <c r="AG245" s="125">
        <f>SUM(F245,H245,J245,L245,M245,N245,O245,P245,Q245,R245,T245,U245,V245,X245,Y245,Z245,AA245,AC245,AD245,AF245,AH245)*Valores!$C$69</f>
        <v>19186.501530000005</v>
      </c>
      <c r="AH245" s="125">
        <f>IF($F$4="NO",IF(Valores!$D$63*'Escala Docente'!B245&gt;Valores!$F$63,Valores!$F$63,Valores!$D$63*'Escala Docente'!B245),IF(Valores!$D$63*'Escala Docente'!B245&gt;Valores!$F$63,Valores!$F$63,Valores!$D$63*'Escala Docente'!B245)/2)+0.02</f>
        <v>9388.82</v>
      </c>
      <c r="AI245" s="125">
        <f t="shared" si="41"/>
        <v>167919.07153000004</v>
      </c>
      <c r="AJ245" s="125">
        <f>IF(Valores!$C$32*B245&gt;Valores!$F$32,Valores!$F$32,Valores!$C$32*B245)</f>
        <v>0</v>
      </c>
      <c r="AK245" s="125">
        <f>IF(Valores!$C$91*B245&gt;Valores!$C$90,Valores!$C$90,Valores!$C$91*B245)</f>
        <v>0</v>
      </c>
      <c r="AL245" s="125">
        <f>IF(Valores!C$39*B245&gt;Valores!F$38,Valores!F$38,Valores!C$39*B245)</f>
        <v>0</v>
      </c>
      <c r="AM245" s="125">
        <f>IF($F$3="NO",0,IF(Valores!$C$62*B245&gt;Valores!$F$62,Valores!$F$62,Valores!$C$62*B245))</f>
        <v>0</v>
      </c>
      <c r="AN245" s="125">
        <f t="shared" si="36"/>
        <v>0</v>
      </c>
      <c r="AO245" s="125">
        <f>AI245*Valores!$C$71</f>
        <v>-18471.097868300007</v>
      </c>
      <c r="AP245" s="125">
        <f>AI245*Valores!$C$72</f>
        <v>-3358.381430600001</v>
      </c>
      <c r="AQ245" s="125">
        <f>AI245*-Valores!$C$73</f>
        <v>0</v>
      </c>
      <c r="AR245" s="125">
        <f>AI245*Valores!$C$74</f>
        <v>-9235.548934150003</v>
      </c>
      <c r="AS245" s="125">
        <f>Valores!$C$101</f>
        <v>-1270</v>
      </c>
      <c r="AT245" s="125">
        <f>IF($F$5=0,Valores!$C$102,(Valores!$C$102+$F$5*(Valores!$C$102)))</f>
        <v>-3700</v>
      </c>
      <c r="AU245" s="125">
        <f t="shared" si="38"/>
        <v>131884.04329695003</v>
      </c>
      <c r="AV245" s="125">
        <f t="shared" si="33"/>
        <v>-18471.097868300007</v>
      </c>
      <c r="AW245" s="125">
        <f t="shared" si="40"/>
        <v>-3358.381430600001</v>
      </c>
      <c r="AX245" s="125">
        <f>AI245*Valores!$C$75</f>
        <v>-4533.814931310001</v>
      </c>
      <c r="AY245" s="125">
        <f>AI245*Valores!$C$76</f>
        <v>-503.75721459000016</v>
      </c>
      <c r="AZ245" s="125">
        <f t="shared" si="37"/>
        <v>141052.02008520003</v>
      </c>
      <c r="BA245" s="125">
        <f>AI245*Valores!$C$78</f>
        <v>26867.051444800007</v>
      </c>
      <c r="BB245" s="125">
        <f>AI245*Valores!$C$79</f>
        <v>11754.335007100004</v>
      </c>
      <c r="BC245" s="125">
        <f>AI245*Valores!$C$80</f>
        <v>1679.1907153000004</v>
      </c>
      <c r="BD245" s="125">
        <f>AI245*Valores!$C$82</f>
        <v>5877.167503550002</v>
      </c>
      <c r="BE245" s="125">
        <f>AI245*Valores!$C$84</f>
        <v>9067.629862620002</v>
      </c>
      <c r="BF245" s="125">
        <f>AI245*Valores!$C$83</f>
        <v>1007.5144291800003</v>
      </c>
      <c r="BG245" s="126"/>
      <c r="BH245" s="126">
        <f t="shared" si="42"/>
        <v>10</v>
      </c>
      <c r="BI245" s="123" t="s">
        <v>4</v>
      </c>
    </row>
    <row r="246" spans="1:61" s="110" customFormat="1" ht="11.25" customHeight="1">
      <c r="A246" s="123" t="s">
        <v>470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43"/>
        <v>790</v>
      </c>
      <c r="F246" s="125">
        <f>ROUND(E246*Valores!$C$2,2)</f>
        <v>46547.04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15838.91</v>
      </c>
      <c r="N246" s="125">
        <f t="shared" si="34"/>
        <v>0</v>
      </c>
      <c r="O246" s="125">
        <f>Valores!$C$7*B246</f>
        <v>19980.3</v>
      </c>
      <c r="P246" s="125">
        <f>ROUND(IF(B246&lt;15,(Valores!$E$5*B246),Valores!$D$5),2)</f>
        <v>20080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10524.5</v>
      </c>
      <c r="S246" s="125">
        <f>Valores!$C$18*B246</f>
        <v>6284.099999999999</v>
      </c>
      <c r="T246" s="125">
        <f t="shared" si="39"/>
        <v>6284.1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IF(Valores!$C$98*B246&gt;Valores!$C$97,Valores!$C$97,Valores!$C$98*B246)</f>
        <v>19184.100000000002</v>
      </c>
      <c r="AA246" s="125">
        <f>IF((Valores!$C$28)*B246&gt;Valores!$F$28,Valores!$F$28,(Valores!$C$28)*B246)</f>
        <v>493.7</v>
      </c>
      <c r="AB246" s="214">
        <v>0</v>
      </c>
      <c r="AC246" s="125">
        <f t="shared" si="35"/>
        <v>0</v>
      </c>
      <c r="AD246" s="125">
        <f>IF(Valores!$C$29*B246&gt;Valores!$F$29,Valores!$F$29,Valores!$C$29*B246)</f>
        <v>411.1</v>
      </c>
      <c r="AE246" s="192">
        <v>94</v>
      </c>
      <c r="AF246" s="125">
        <f>ROUND(AE246*Valores!$C$2,2)</f>
        <v>5538.51</v>
      </c>
      <c r="AG246" s="125">
        <f>SUM(F246,H246,J246,L246,M246,N246,O246,P246,Q246,R246,T246,U246,V246,X246,Y246,Z246,AA246,AC246,AD246,AF246,AH246)*Valores!$C$69</f>
        <v>19900.969320000007</v>
      </c>
      <c r="AH246" s="125">
        <f>IF($F$4="NO",IF(Valores!$D$63*'Escala Docente'!B246&gt;Valores!$F$63,Valores!$F$63,Valores!$D$63*'Escala Docente'!B246),IF(Valores!$D$63*'Escala Docente'!B246&gt;Valores!$F$63,Valores!$F$63,Valores!$D$63*'Escala Docente'!B246)/2)+0.02</f>
        <v>9388.82</v>
      </c>
      <c r="AI246" s="125">
        <f t="shared" si="41"/>
        <v>174172.04932000005</v>
      </c>
      <c r="AJ246" s="125">
        <f>IF(Valores!$C$32*B246&gt;Valores!$F$32,Valores!$F$32,Valores!$C$32*B246)</f>
        <v>0</v>
      </c>
      <c r="AK246" s="125">
        <f>IF(Valores!$C$91*B246&gt;Valores!$C$90,Valores!$C$90,Valores!$C$91*B246)</f>
        <v>0</v>
      </c>
      <c r="AL246" s="125">
        <f>IF(Valores!C$39*B246&gt;Valores!F$38,Valores!F$38,Valores!C$39*B246)</f>
        <v>0</v>
      </c>
      <c r="AM246" s="125">
        <f>IF($F$3="NO",0,IF(Valores!$C$62*B246&gt;Valores!$F$62,Valores!$F$62,Valores!$C$62*B246))</f>
        <v>0</v>
      </c>
      <c r="AN246" s="125">
        <f t="shared" si="36"/>
        <v>0</v>
      </c>
      <c r="AO246" s="125">
        <f>AI246*Valores!$C$71</f>
        <v>-19158.925425200006</v>
      </c>
      <c r="AP246" s="125">
        <f>AI246*Valores!$C$72</f>
        <v>-3483.440986400001</v>
      </c>
      <c r="AQ246" s="125">
        <f>AI246*-Valores!$C$73</f>
        <v>0</v>
      </c>
      <c r="AR246" s="125">
        <f>AI246*Valores!$C$74</f>
        <v>-9579.462712600003</v>
      </c>
      <c r="AS246" s="125">
        <f>Valores!$C$101</f>
        <v>-1270</v>
      </c>
      <c r="AT246" s="125">
        <f>IF($F$5=0,Valores!$C$102,(Valores!$C$102+$F$5*(Valores!$C$102)))</f>
        <v>-3700</v>
      </c>
      <c r="AU246" s="125">
        <f t="shared" si="38"/>
        <v>136980.22019580004</v>
      </c>
      <c r="AV246" s="125">
        <f t="shared" si="33"/>
        <v>-19158.925425200006</v>
      </c>
      <c r="AW246" s="125">
        <f t="shared" si="40"/>
        <v>-3483.440986400001</v>
      </c>
      <c r="AX246" s="125">
        <f>AI246*Valores!$C$75</f>
        <v>-4702.645331640001</v>
      </c>
      <c r="AY246" s="125">
        <f>AI246*Valores!$C$76</f>
        <v>-522.5161479600001</v>
      </c>
      <c r="AZ246" s="125">
        <f t="shared" si="37"/>
        <v>146304.52142880004</v>
      </c>
      <c r="BA246" s="125">
        <f>AI246*Valores!$C$78</f>
        <v>27867.527891200007</v>
      </c>
      <c r="BB246" s="125">
        <f>AI246*Valores!$C$79</f>
        <v>12192.043452400005</v>
      </c>
      <c r="BC246" s="125">
        <f>AI246*Valores!$C$80</f>
        <v>1741.7204932000004</v>
      </c>
      <c r="BD246" s="125">
        <f>AI246*Valores!$C$82</f>
        <v>6096.021726200002</v>
      </c>
      <c r="BE246" s="125">
        <f>AI246*Valores!$C$84</f>
        <v>9405.290663280002</v>
      </c>
      <c r="BF246" s="125">
        <f>AI246*Valores!$C$83</f>
        <v>1045.0322959200003</v>
      </c>
      <c r="BG246" s="126"/>
      <c r="BH246" s="126">
        <f t="shared" si="42"/>
        <v>10</v>
      </c>
      <c r="BI246" s="123" t="s">
        <v>4</v>
      </c>
    </row>
    <row r="247" spans="1:61" s="110" customFormat="1" ht="11.25" customHeight="1">
      <c r="A247" s="123" t="s">
        <v>470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43"/>
        <v>869</v>
      </c>
      <c r="F247" s="125">
        <f>ROUND(E247*Valores!$C$2,2)</f>
        <v>51201.74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17422.8</v>
      </c>
      <c r="N247" s="125">
        <f t="shared" si="34"/>
        <v>0</v>
      </c>
      <c r="O247" s="125">
        <f>Valores!$C$7*B247</f>
        <v>21978.329999999998</v>
      </c>
      <c r="P247" s="125">
        <f>ROUND(IF(B247&lt;15,(Valores!$E$5*B247),Valores!$D$5),2)</f>
        <v>22088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11576.95</v>
      </c>
      <c r="S247" s="125">
        <f>Valores!$C$18*B247</f>
        <v>6912.509999999999</v>
      </c>
      <c r="T247" s="125">
        <f t="shared" si="39"/>
        <v>6912.51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IF(Valores!$C$98*B247&gt;Valores!$C$97,Valores!$C$97,Valores!$C$98*B247)</f>
        <v>21102.510000000002</v>
      </c>
      <c r="AA247" s="125">
        <f>IF((Valores!$C$28)*B247&gt;Valores!$F$28,Valores!$F$28,(Valores!$C$28)*B247)</f>
        <v>543.0699999999999</v>
      </c>
      <c r="AB247" s="214">
        <v>0</v>
      </c>
      <c r="AC247" s="125">
        <f t="shared" si="35"/>
        <v>0</v>
      </c>
      <c r="AD247" s="125">
        <f>IF(Valores!$C$29*B247&gt;Valores!$F$29,Valores!$F$29,Valores!$C$29*B247)</f>
        <v>452.21</v>
      </c>
      <c r="AE247" s="192">
        <v>0</v>
      </c>
      <c r="AF247" s="125">
        <f>ROUND(AE247*Valores!$C$2,2)</f>
        <v>0</v>
      </c>
      <c r="AG247" s="125">
        <f>SUM(F247,H247,J247,L247,M247,N247,O247,P247,Q247,R247,T247,U247,V247,X247,Y247,Z247,AA247,AC247,AD247,AF247,AH247)*Valores!$C$69</f>
        <v>21105.15078</v>
      </c>
      <c r="AH247" s="125">
        <f>IF($F$4="NO",IF(Valores!$D$63*'Escala Docente'!B247&gt;Valores!$F$63,Valores!$F$63,Valores!$D$63*'Escala Docente'!B247),IF(Valores!$D$63*'Escala Docente'!B247&gt;Valores!$F$63,Valores!$F$63,Valores!$D$63*'Escala Docente'!B247)/2)+0.02</f>
        <v>10327.7</v>
      </c>
      <c r="AI247" s="125">
        <f t="shared" si="41"/>
        <v>184710.97078</v>
      </c>
      <c r="AJ247" s="125">
        <f>IF(Valores!$C$32*B247&gt;Valores!$F$32,Valores!$F$32,Valores!$C$32*B247)</f>
        <v>0</v>
      </c>
      <c r="AK247" s="125">
        <f>IF(Valores!$C$91*B247&gt;Valores!$C$90,Valores!$C$90,Valores!$C$91*B247)</f>
        <v>0</v>
      </c>
      <c r="AL247" s="125">
        <f>IF(Valores!C$39*B247&gt;Valores!F$38,Valores!F$38,Valores!C$39*B247)</f>
        <v>0</v>
      </c>
      <c r="AM247" s="125">
        <f>IF($F$3="NO",0,IF(Valores!$C$62*B247&gt;Valores!$F$62,Valores!$F$62,Valores!$C$62*B247))</f>
        <v>0</v>
      </c>
      <c r="AN247" s="125">
        <f t="shared" si="36"/>
        <v>0</v>
      </c>
      <c r="AO247" s="125">
        <f>AI247*Valores!$C$71</f>
        <v>-20318.2067858</v>
      </c>
      <c r="AP247" s="125">
        <f>AI247*Valores!$C$72</f>
        <v>-3694.2194156</v>
      </c>
      <c r="AQ247" s="125">
        <f>AI247*-Valores!$C$73</f>
        <v>0</v>
      </c>
      <c r="AR247" s="125">
        <f>AI247*Valores!$C$74</f>
        <v>-10159.1033929</v>
      </c>
      <c r="AS247" s="125">
        <f>Valores!$C$101</f>
        <v>-1270</v>
      </c>
      <c r="AT247" s="125">
        <f>IF($F$5=0,Valores!$C$102,(Valores!$C$102+$F$5*(Valores!$C$102)))</f>
        <v>-3700</v>
      </c>
      <c r="AU247" s="125">
        <f t="shared" si="38"/>
        <v>145569.4411857</v>
      </c>
      <c r="AV247" s="125">
        <f t="shared" si="33"/>
        <v>-20318.2067858</v>
      </c>
      <c r="AW247" s="125">
        <f t="shared" si="40"/>
        <v>-3694.2194156</v>
      </c>
      <c r="AX247" s="125">
        <f>AI247*Valores!$C$75</f>
        <v>-4987.19621106</v>
      </c>
      <c r="AY247" s="125">
        <f>AI247*Valores!$C$76</f>
        <v>-554.1329123400001</v>
      </c>
      <c r="AZ247" s="125">
        <f t="shared" si="37"/>
        <v>155157.2154552</v>
      </c>
      <c r="BA247" s="125">
        <f>AI247*Valores!$C$78</f>
        <v>29553.7553248</v>
      </c>
      <c r="BB247" s="125">
        <f>AI247*Valores!$C$79</f>
        <v>12929.767954600002</v>
      </c>
      <c r="BC247" s="125">
        <f>AI247*Valores!$C$80</f>
        <v>1847.1097078</v>
      </c>
      <c r="BD247" s="125">
        <f>AI247*Valores!$C$82</f>
        <v>6464.883977300001</v>
      </c>
      <c r="BE247" s="125">
        <f>AI247*Valores!$C$84</f>
        <v>9974.39242212</v>
      </c>
      <c r="BF247" s="125">
        <f>AI247*Valores!$C$83</f>
        <v>1108.2658246800002</v>
      </c>
      <c r="BG247" s="126"/>
      <c r="BH247" s="126">
        <f t="shared" si="42"/>
        <v>11</v>
      </c>
      <c r="BI247" s="123" t="s">
        <v>4</v>
      </c>
    </row>
    <row r="248" spans="1:61" s="110" customFormat="1" ht="11.25" customHeight="1">
      <c r="A248" s="123" t="s">
        <v>470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43"/>
        <v>869</v>
      </c>
      <c r="F248" s="125">
        <f>ROUND(E248*Valores!$C$2,2)</f>
        <v>51201.74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17422.8</v>
      </c>
      <c r="N248" s="125">
        <f t="shared" si="34"/>
        <v>0</v>
      </c>
      <c r="O248" s="125">
        <f>Valores!$C$7*B248</f>
        <v>21978.329999999998</v>
      </c>
      <c r="P248" s="125">
        <f>ROUND(IF(B248&lt;15,(Valores!$E$5*B248),Valores!$D$5),2)</f>
        <v>22088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11576.95</v>
      </c>
      <c r="S248" s="125">
        <f>Valores!$C$18*B248</f>
        <v>6912.509999999999</v>
      </c>
      <c r="T248" s="125">
        <f t="shared" si="39"/>
        <v>6912.51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IF(Valores!$C$98*B248&gt;Valores!$C$97,Valores!$C$97,Valores!$C$98*B248)</f>
        <v>21102.510000000002</v>
      </c>
      <c r="AA248" s="125">
        <f>IF((Valores!$C$28)*B248&gt;Valores!$F$28,Valores!$F$28,(Valores!$C$28)*B248)</f>
        <v>543.0699999999999</v>
      </c>
      <c r="AB248" s="214">
        <v>0</v>
      </c>
      <c r="AC248" s="125">
        <f t="shared" si="35"/>
        <v>0</v>
      </c>
      <c r="AD248" s="125">
        <f>IF(Valores!$C$29*B248&gt;Valores!$F$29,Valores!$F$29,Valores!$C$29*B248)</f>
        <v>452.21</v>
      </c>
      <c r="AE248" s="192">
        <v>94</v>
      </c>
      <c r="AF248" s="125">
        <f>ROUND(AE248*Valores!$C$2,2)</f>
        <v>5538.51</v>
      </c>
      <c r="AG248" s="125">
        <f>SUM(F248,H248,J248,L248,M248,N248,O248,P248,Q248,R248,T248,U248,V248,X248,Y248,Z248,AA248,AC248,AD248,AF248,AH248)*Valores!$C$69</f>
        <v>21819.618570000002</v>
      </c>
      <c r="AH248" s="125">
        <f>IF($F$4="NO",IF(Valores!$D$63*'Escala Docente'!B248&gt;Valores!$F$63,Valores!$F$63,Valores!$D$63*'Escala Docente'!B248),IF(Valores!$D$63*'Escala Docente'!B248&gt;Valores!$F$63,Valores!$F$63,Valores!$D$63*'Escala Docente'!B248)/2)+0.02</f>
        <v>10327.7</v>
      </c>
      <c r="AI248" s="125">
        <f t="shared" si="41"/>
        <v>190963.94857</v>
      </c>
      <c r="AJ248" s="125">
        <f>IF(Valores!$C$32*B248&gt;Valores!$F$32,Valores!$F$32,Valores!$C$32*B248)</f>
        <v>0</v>
      </c>
      <c r="AK248" s="125">
        <f>IF(Valores!$C$91*B248&gt;Valores!$C$90,Valores!$C$90,Valores!$C$91*B248)</f>
        <v>0</v>
      </c>
      <c r="AL248" s="125">
        <f>IF(Valores!C$39*B248&gt;Valores!F$38,Valores!F$38,Valores!C$39*B248)</f>
        <v>0</v>
      </c>
      <c r="AM248" s="125">
        <f>IF($F$3="NO",0,IF(Valores!$C$62*B248&gt;Valores!$F$62,Valores!$F$62,Valores!$C$62*B248))</f>
        <v>0</v>
      </c>
      <c r="AN248" s="125">
        <f t="shared" si="36"/>
        <v>0</v>
      </c>
      <c r="AO248" s="125">
        <f>AI248*Valores!$C$71</f>
        <v>-21006.0343427</v>
      </c>
      <c r="AP248" s="125">
        <f>AI248*Valores!$C$72</f>
        <v>-3819.2789714</v>
      </c>
      <c r="AQ248" s="125">
        <f>AI248*-Valores!$C$73</f>
        <v>0</v>
      </c>
      <c r="AR248" s="125">
        <f>AI248*Valores!$C$74</f>
        <v>-10503.01717135</v>
      </c>
      <c r="AS248" s="125">
        <f>Valores!$C$101</f>
        <v>-1270</v>
      </c>
      <c r="AT248" s="125">
        <f>IF($F$5=0,Valores!$C$102,(Valores!$C$102+$F$5*(Valores!$C$102)))</f>
        <v>-3700</v>
      </c>
      <c r="AU248" s="125">
        <f t="shared" si="38"/>
        <v>150665.61808455002</v>
      </c>
      <c r="AV248" s="125">
        <f t="shared" si="33"/>
        <v>-21006.0343427</v>
      </c>
      <c r="AW248" s="125">
        <f t="shared" si="40"/>
        <v>-3819.2789714</v>
      </c>
      <c r="AX248" s="125">
        <f>AI248*Valores!$C$75</f>
        <v>-5156.02661139</v>
      </c>
      <c r="AY248" s="125">
        <f>AI248*Valores!$C$76</f>
        <v>-572.89184571</v>
      </c>
      <c r="AZ248" s="125">
        <f t="shared" si="37"/>
        <v>160409.71679880001</v>
      </c>
      <c r="BA248" s="125">
        <f>AI248*Valores!$C$78</f>
        <v>30554.2317712</v>
      </c>
      <c r="BB248" s="125">
        <f>AI248*Valores!$C$79</f>
        <v>13367.476399900002</v>
      </c>
      <c r="BC248" s="125">
        <f>AI248*Valores!$C$80</f>
        <v>1909.6394857</v>
      </c>
      <c r="BD248" s="125">
        <f>AI248*Valores!$C$82</f>
        <v>6683.738199950001</v>
      </c>
      <c r="BE248" s="125">
        <f>AI248*Valores!$C$84</f>
        <v>10312.05322278</v>
      </c>
      <c r="BF248" s="125">
        <f>AI248*Valores!$C$83</f>
        <v>1145.78369142</v>
      </c>
      <c r="BG248" s="126"/>
      <c r="BH248" s="126">
        <f t="shared" si="42"/>
        <v>11</v>
      </c>
      <c r="BI248" s="123" t="s">
        <v>4</v>
      </c>
    </row>
    <row r="249" spans="1:61" s="110" customFormat="1" ht="11.25" customHeight="1">
      <c r="A249" s="123" t="s">
        <v>470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43"/>
        <v>948</v>
      </c>
      <c r="F249" s="125">
        <f>ROUND(E249*Valores!$C$2,2)</f>
        <v>55856.44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19006.69</v>
      </c>
      <c r="N249" s="125">
        <f t="shared" si="34"/>
        <v>0</v>
      </c>
      <c r="O249" s="125">
        <f>Valores!$C$7*B249</f>
        <v>23976.36</v>
      </c>
      <c r="P249" s="125">
        <f>ROUND(IF(B249&lt;15,(Valores!$E$5*B249),Valores!$D$5),2)</f>
        <v>24096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12629.400000000001</v>
      </c>
      <c r="S249" s="125">
        <f>Valores!$C$18*B249</f>
        <v>7540.92</v>
      </c>
      <c r="T249" s="125">
        <f t="shared" si="39"/>
        <v>7540.92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IF(Valores!$C$98*B249&gt;Valores!$C$97,Valores!$C$97,Valores!$C$98*B249)</f>
        <v>23020.920000000002</v>
      </c>
      <c r="AA249" s="125">
        <f>IF((Valores!$C$28)*B249&gt;Valores!$F$28,Valores!$F$28,(Valores!$C$28)*B249)</f>
        <v>592.4399999999999</v>
      </c>
      <c r="AB249" s="214">
        <v>0</v>
      </c>
      <c r="AC249" s="125">
        <f t="shared" si="35"/>
        <v>0</v>
      </c>
      <c r="AD249" s="125">
        <f>IF(Valores!$C$29*B249&gt;Valores!$F$29,Valores!$F$29,Valores!$C$29*B249)</f>
        <v>493.32</v>
      </c>
      <c r="AE249" s="192">
        <v>0</v>
      </c>
      <c r="AF249" s="125">
        <f>ROUND(AE249*Valores!$C$2,2)</f>
        <v>0</v>
      </c>
      <c r="AG249" s="125">
        <f>SUM(F249,H249,J249,L249,M249,N249,O249,P249,Q249,R249,T249,U249,V249,X249,Y249,Z249,AA249,AC249,AD249,AF249,AH249)*Valores!$C$69</f>
        <v>23023.800030000006</v>
      </c>
      <c r="AH249" s="125">
        <f>IF($F$4="NO",IF(Valores!$D$63*'Escala Docente'!B249&gt;Valores!$F$63,Valores!$F$63,Valores!$D$63*'Escala Docente'!B249),IF(Valores!$D$63*'Escala Docente'!B249&gt;Valores!$F$63,Valores!$F$63,Valores!$D$63*'Escala Docente'!B249)/2)+0.02</f>
        <v>11266.58</v>
      </c>
      <c r="AI249" s="125">
        <f t="shared" si="41"/>
        <v>201502.87003000005</v>
      </c>
      <c r="AJ249" s="125">
        <f>IF(Valores!$C$32*B249&gt;Valores!$F$32,Valores!$F$32,Valores!$C$32*B249)</f>
        <v>0</v>
      </c>
      <c r="AK249" s="125">
        <f>IF(Valores!$C$91*B249&gt;Valores!$C$90,Valores!$C$90,Valores!$C$91*B249)</f>
        <v>0</v>
      </c>
      <c r="AL249" s="125">
        <f>IF(Valores!C$39*B249&gt;Valores!F$38,Valores!F$38,Valores!C$39*B249)</f>
        <v>0</v>
      </c>
      <c r="AM249" s="125">
        <f>IF($F$3="NO",0,IF(Valores!$C$62*B249&gt;Valores!$F$62,Valores!$F$62,Valores!$C$62*B249))</f>
        <v>0</v>
      </c>
      <c r="AN249" s="125">
        <f t="shared" si="36"/>
        <v>0</v>
      </c>
      <c r="AO249" s="125">
        <f>AI249*Valores!$C$71</f>
        <v>-22165.315703300006</v>
      </c>
      <c r="AP249" s="125">
        <f>AI249*Valores!$C$72</f>
        <v>-4030.057400600001</v>
      </c>
      <c r="AQ249" s="125">
        <f>AI249*-Valores!$C$73</f>
        <v>0</v>
      </c>
      <c r="AR249" s="125">
        <f>AI249*Valores!$C$74</f>
        <v>-11082.657851650003</v>
      </c>
      <c r="AS249" s="125">
        <f>Valores!$C$101</f>
        <v>-1270</v>
      </c>
      <c r="AT249" s="125">
        <f>IF($F$5=0,Valores!$C$102,(Valores!$C$102+$F$5*(Valores!$C$102)))</f>
        <v>-3700</v>
      </c>
      <c r="AU249" s="125">
        <f t="shared" si="38"/>
        <v>159254.83907445002</v>
      </c>
      <c r="AV249" s="125">
        <f t="shared" si="33"/>
        <v>-22165.315703300006</v>
      </c>
      <c r="AW249" s="125">
        <f t="shared" si="40"/>
        <v>-4030.057400600001</v>
      </c>
      <c r="AX249" s="125">
        <f>AI249*Valores!$C$75</f>
        <v>-5440.577490810001</v>
      </c>
      <c r="AY249" s="125">
        <f>AI249*Valores!$C$76</f>
        <v>-604.5086100900002</v>
      </c>
      <c r="AZ249" s="125">
        <f t="shared" si="37"/>
        <v>169262.41082520003</v>
      </c>
      <c r="BA249" s="125">
        <f>AI249*Valores!$C$78</f>
        <v>32240.45920480001</v>
      </c>
      <c r="BB249" s="125">
        <f>AI249*Valores!$C$79</f>
        <v>14105.200902100005</v>
      </c>
      <c r="BC249" s="125">
        <f>AI249*Valores!$C$80</f>
        <v>2015.0287003000005</v>
      </c>
      <c r="BD249" s="125">
        <f>AI249*Valores!$C$82</f>
        <v>7052.600451050002</v>
      </c>
      <c r="BE249" s="125">
        <f>AI249*Valores!$C$84</f>
        <v>10881.154981620002</v>
      </c>
      <c r="BF249" s="125">
        <f>AI249*Valores!$C$83</f>
        <v>1209.0172201800003</v>
      </c>
      <c r="BG249" s="126"/>
      <c r="BH249" s="126">
        <f t="shared" si="42"/>
        <v>12</v>
      </c>
      <c r="BI249" s="123" t="s">
        <v>4</v>
      </c>
    </row>
    <row r="250" spans="1:61" s="110" customFormat="1" ht="11.25" customHeight="1">
      <c r="A250" s="123" t="s">
        <v>470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43"/>
        <v>948</v>
      </c>
      <c r="F250" s="125">
        <f>ROUND(E250*Valores!$C$2,2)</f>
        <v>55856.44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19006.69</v>
      </c>
      <c r="N250" s="125">
        <f t="shared" si="34"/>
        <v>0</v>
      </c>
      <c r="O250" s="125">
        <f>Valores!$C$7*B250</f>
        <v>23976.36</v>
      </c>
      <c r="P250" s="125">
        <f>ROUND(IF(B250&lt;15,(Valores!$E$5*B250),Valores!$D$5),2)</f>
        <v>24096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12629.400000000001</v>
      </c>
      <c r="S250" s="125">
        <f>Valores!$C$18*B250</f>
        <v>7540.92</v>
      </c>
      <c r="T250" s="125">
        <f t="shared" si="39"/>
        <v>7540.92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IF(Valores!$C$98*B250&gt;Valores!$C$97,Valores!$C$97,Valores!$C$98*B250)</f>
        <v>23020.920000000002</v>
      </c>
      <c r="AA250" s="125">
        <f>IF((Valores!$C$28)*B250&gt;Valores!$F$28,Valores!$F$28,(Valores!$C$28)*B250)</f>
        <v>592.4399999999999</v>
      </c>
      <c r="AB250" s="214">
        <v>0</v>
      </c>
      <c r="AC250" s="125">
        <f t="shared" si="35"/>
        <v>0</v>
      </c>
      <c r="AD250" s="125">
        <f>IF(Valores!$C$29*B250&gt;Valores!$F$29,Valores!$F$29,Valores!$C$29*B250)</f>
        <v>493.32</v>
      </c>
      <c r="AE250" s="192">
        <v>94</v>
      </c>
      <c r="AF250" s="125">
        <f>ROUND(AE250*Valores!$C$2,2)</f>
        <v>5538.51</v>
      </c>
      <c r="AG250" s="125">
        <f>SUM(F250,H250,J250,L250,M250,N250,O250,P250,Q250,R250,T250,U250,V250,X250,Y250,Z250,AA250,AC250,AD250,AF250,AH250)*Valores!$C$69</f>
        <v>23738.26782000001</v>
      </c>
      <c r="AH250" s="125">
        <f>IF($F$4="NO",IF(Valores!$D$63*'Escala Docente'!B250&gt;Valores!$F$63,Valores!$F$63,Valores!$D$63*'Escala Docente'!B250),IF(Valores!$D$63*'Escala Docente'!B250&gt;Valores!$F$63,Valores!$F$63,Valores!$D$63*'Escala Docente'!B250)/2)+0.02</f>
        <v>11266.58</v>
      </c>
      <c r="AI250" s="125">
        <f t="shared" si="41"/>
        <v>207755.84782000005</v>
      </c>
      <c r="AJ250" s="125">
        <f>IF(Valores!$C$32*B250&gt;Valores!$F$32,Valores!$F$32,Valores!$C$32*B250)</f>
        <v>0</v>
      </c>
      <c r="AK250" s="125">
        <f>IF(Valores!$C$91*B250&gt;Valores!$C$90,Valores!$C$90,Valores!$C$91*B250)</f>
        <v>0</v>
      </c>
      <c r="AL250" s="125">
        <f>IF(Valores!C$39*B250&gt;Valores!F$38,Valores!F$38,Valores!C$39*B250)</f>
        <v>0</v>
      </c>
      <c r="AM250" s="125">
        <f>IF($F$3="NO",0,IF(Valores!$C$62*B250&gt;Valores!$F$62,Valores!$F$62,Valores!$C$62*B250))</f>
        <v>0</v>
      </c>
      <c r="AN250" s="125">
        <f t="shared" si="36"/>
        <v>0</v>
      </c>
      <c r="AO250" s="125">
        <f>AI250*Valores!$C$71</f>
        <v>-22853.143260200006</v>
      </c>
      <c r="AP250" s="125">
        <f>AI250*Valores!$C$72</f>
        <v>-4155.116956400001</v>
      </c>
      <c r="AQ250" s="125">
        <f>AI250*-Valores!$C$73</f>
        <v>0</v>
      </c>
      <c r="AR250" s="125">
        <f>AI250*Valores!$C$74</f>
        <v>-11426.571630100003</v>
      </c>
      <c r="AS250" s="125">
        <f>Valores!$C$101</f>
        <v>-1270</v>
      </c>
      <c r="AT250" s="125">
        <f>IF($F$5=0,Valores!$C$102,(Valores!$C$102+$F$5*(Valores!$C$102)))</f>
        <v>-3700</v>
      </c>
      <c r="AU250" s="125">
        <f t="shared" si="38"/>
        <v>164351.01597330003</v>
      </c>
      <c r="AV250" s="125">
        <f t="shared" si="33"/>
        <v>-22853.143260200006</v>
      </c>
      <c r="AW250" s="125">
        <f t="shared" si="40"/>
        <v>-4155.116956400001</v>
      </c>
      <c r="AX250" s="125">
        <f>AI250*Valores!$C$75</f>
        <v>-5609.407891140001</v>
      </c>
      <c r="AY250" s="125">
        <f>AI250*Valores!$C$76</f>
        <v>-623.2675434600002</v>
      </c>
      <c r="AZ250" s="125">
        <f t="shared" si="37"/>
        <v>174514.91216880005</v>
      </c>
      <c r="BA250" s="125">
        <f>AI250*Valores!$C$78</f>
        <v>33240.93565120001</v>
      </c>
      <c r="BB250" s="125">
        <f>AI250*Valores!$C$79</f>
        <v>14542.909347400006</v>
      </c>
      <c r="BC250" s="125">
        <f>AI250*Valores!$C$80</f>
        <v>2077.5584782000005</v>
      </c>
      <c r="BD250" s="125">
        <f>AI250*Valores!$C$82</f>
        <v>7271.454673700003</v>
      </c>
      <c r="BE250" s="125">
        <f>AI250*Valores!$C$84</f>
        <v>11218.815782280002</v>
      </c>
      <c r="BF250" s="125">
        <f>AI250*Valores!$C$83</f>
        <v>1246.5350869200004</v>
      </c>
      <c r="BG250" s="126"/>
      <c r="BH250" s="126">
        <f t="shared" si="42"/>
        <v>12</v>
      </c>
      <c r="BI250" s="123" t="s">
        <v>4</v>
      </c>
    </row>
    <row r="251" spans="1:61" s="110" customFormat="1" ht="11.25" customHeight="1">
      <c r="A251" s="123" t="s">
        <v>470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43"/>
        <v>1027</v>
      </c>
      <c r="F251" s="125">
        <f>ROUND(E251*Valores!$C$2,2)</f>
        <v>60511.15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20590.58</v>
      </c>
      <c r="N251" s="125">
        <f t="shared" si="34"/>
        <v>0</v>
      </c>
      <c r="O251" s="125">
        <f>Valores!$C$7*B251</f>
        <v>25974.39</v>
      </c>
      <c r="P251" s="125">
        <f>ROUND(IF(B251&lt;15,(Valores!$E$5*B251),Valores!$D$5),2)</f>
        <v>26104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13681.85</v>
      </c>
      <c r="S251" s="125">
        <f>Valores!$C$18*B251</f>
        <v>8169.33</v>
      </c>
      <c r="T251" s="125">
        <f t="shared" si="39"/>
        <v>8169.33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IF(Valores!$C$98*B251&gt;Valores!$C$97,Valores!$C$97,Valores!$C$98*B251)</f>
        <v>24939.33</v>
      </c>
      <c r="AA251" s="125">
        <f>IF((Valores!$C$28)*B251&gt;Valores!$F$28,Valores!$F$28,(Valores!$C$28)*B251)</f>
        <v>641.81</v>
      </c>
      <c r="AB251" s="214">
        <v>0</v>
      </c>
      <c r="AC251" s="125">
        <f t="shared" si="35"/>
        <v>0</v>
      </c>
      <c r="AD251" s="125">
        <f>IF(Valores!$C$29*B251&gt;Valores!$F$29,Valores!$F$29,Valores!$C$29*B251)</f>
        <v>534.43</v>
      </c>
      <c r="AE251" s="192">
        <v>0</v>
      </c>
      <c r="AF251" s="125">
        <f>ROUND(AE251*Valores!$C$2,2)</f>
        <v>0</v>
      </c>
      <c r="AG251" s="125">
        <f>SUM(F251,H251,J251,L251,M251,N251,O251,P251,Q251,R251,T251,U251,V251,X251,Y251,Z251,AA251,AC251,AD251,AF251,AH251)*Valores!$C$69</f>
        <v>24942.45186</v>
      </c>
      <c r="AH251" s="125">
        <f>IF($F$4="NO",IF(Valores!$D$63*'Escala Docente'!B251&gt;Valores!$F$63,Valores!$F$63,Valores!$D$63*'Escala Docente'!B251),IF(Valores!$D$63*'Escala Docente'!B251&gt;Valores!$F$63,Valores!$F$63,Valores!$D$63*'Escala Docente'!B251)/2)+0.03</f>
        <v>12205.470000000001</v>
      </c>
      <c r="AI251" s="125">
        <f t="shared" si="41"/>
        <v>218294.79186</v>
      </c>
      <c r="AJ251" s="125">
        <f>IF(Valores!$C$32*B251&gt;Valores!$F$32,Valores!$F$32,Valores!$C$32*B251)</f>
        <v>0</v>
      </c>
      <c r="AK251" s="125">
        <f>IF(Valores!$C$91*B251&gt;Valores!$C$90,Valores!$C$90,Valores!$C$91*B251)</f>
        <v>0</v>
      </c>
      <c r="AL251" s="125">
        <f>IF(Valores!C$39*B251&gt;Valores!F$38,Valores!F$38,Valores!C$39*B251)</f>
        <v>0</v>
      </c>
      <c r="AM251" s="125">
        <f>IF($F$3="NO",0,IF(Valores!$C$62*B251&gt;Valores!$F$62,Valores!$F$62,Valores!$C$62*B251))</f>
        <v>0</v>
      </c>
      <c r="AN251" s="125">
        <f t="shared" si="36"/>
        <v>0</v>
      </c>
      <c r="AO251" s="125">
        <f>AI251*Valores!$C$71</f>
        <v>-24012.4271046</v>
      </c>
      <c r="AP251" s="125">
        <f>AI251*Valores!$C$72</f>
        <v>-4365.8958372</v>
      </c>
      <c r="AQ251" s="125">
        <f>AI251*-Valores!$C$73</f>
        <v>0</v>
      </c>
      <c r="AR251" s="125">
        <f>AI251*Valores!$C$74</f>
        <v>-12006.2135523</v>
      </c>
      <c r="AS251" s="125">
        <f>Valores!$C$101</f>
        <v>-1270</v>
      </c>
      <c r="AT251" s="125">
        <f>IF($F$5=0,Valores!$C$102,(Valores!$C$102+$F$5*(Valores!$C$102)))</f>
        <v>-3700</v>
      </c>
      <c r="AU251" s="125">
        <f t="shared" si="38"/>
        <v>172940.2553659</v>
      </c>
      <c r="AV251" s="125">
        <f t="shared" si="33"/>
        <v>-24012.4271046</v>
      </c>
      <c r="AW251" s="125">
        <f t="shared" si="40"/>
        <v>-4365.8958372</v>
      </c>
      <c r="AX251" s="125">
        <f>AI251*Valores!$C$75</f>
        <v>-5893.95938022</v>
      </c>
      <c r="AY251" s="125">
        <f>AI251*Valores!$C$76</f>
        <v>-654.88437558</v>
      </c>
      <c r="AZ251" s="125">
        <f t="shared" si="37"/>
        <v>183367.6251624</v>
      </c>
      <c r="BA251" s="125">
        <f>AI251*Valores!$C$78</f>
        <v>34927.1666976</v>
      </c>
      <c r="BB251" s="125">
        <f>AI251*Valores!$C$79</f>
        <v>15280.635430200002</v>
      </c>
      <c r="BC251" s="125">
        <f>AI251*Valores!$C$80</f>
        <v>2182.9479186</v>
      </c>
      <c r="BD251" s="125">
        <f>AI251*Valores!$C$82</f>
        <v>7640.317715100001</v>
      </c>
      <c r="BE251" s="125">
        <f>AI251*Valores!$C$84</f>
        <v>11787.91876044</v>
      </c>
      <c r="BF251" s="125">
        <f>AI251*Valores!$C$83</f>
        <v>1309.76875116</v>
      </c>
      <c r="BG251" s="126"/>
      <c r="BH251" s="126">
        <f t="shared" si="42"/>
        <v>13</v>
      </c>
      <c r="BI251" s="123" t="s">
        <v>4</v>
      </c>
    </row>
    <row r="252" spans="1:61" s="110" customFormat="1" ht="11.25" customHeight="1">
      <c r="A252" s="123" t="s">
        <v>470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43"/>
        <v>1027</v>
      </c>
      <c r="F252" s="125">
        <f>ROUND(E252*Valores!$C$2,2)</f>
        <v>60511.15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20590.58</v>
      </c>
      <c r="N252" s="125">
        <f t="shared" si="34"/>
        <v>0</v>
      </c>
      <c r="O252" s="125">
        <f>Valores!$C$7*B252</f>
        <v>25974.39</v>
      </c>
      <c r="P252" s="125">
        <f>ROUND(IF(B252&lt;15,(Valores!$E$5*B252),Valores!$D$5),2)</f>
        <v>26104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13681.85</v>
      </c>
      <c r="S252" s="125">
        <f>Valores!$C$18*B252</f>
        <v>8169.33</v>
      </c>
      <c r="T252" s="125">
        <f t="shared" si="39"/>
        <v>8169.33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IF(Valores!$C$98*B252&gt;Valores!$C$97,Valores!$C$97,Valores!$C$98*B252)</f>
        <v>24939.33</v>
      </c>
      <c r="AA252" s="125">
        <f>IF((Valores!$C$28)*B252&gt;Valores!$F$28,Valores!$F$28,(Valores!$C$28)*B252)</f>
        <v>641.81</v>
      </c>
      <c r="AB252" s="214">
        <v>0</v>
      </c>
      <c r="AC252" s="125">
        <f t="shared" si="35"/>
        <v>0</v>
      </c>
      <c r="AD252" s="125">
        <f>IF(Valores!$C$29*B252&gt;Valores!$F$29,Valores!$F$29,Valores!$C$29*B252)</f>
        <v>534.43</v>
      </c>
      <c r="AE252" s="192">
        <v>94</v>
      </c>
      <c r="AF252" s="125">
        <f>ROUND(AE252*Valores!$C$2,2)</f>
        <v>5538.51</v>
      </c>
      <c r="AG252" s="125">
        <f>SUM(F252,H252,J252,L252,M252,N252,O252,P252,Q252,R252,T252,U252,V252,X252,Y252,Z252,AA252,AC252,AD252,AF252,AH252)*Valores!$C$69</f>
        <v>25656.91965</v>
      </c>
      <c r="AH252" s="125">
        <f>IF($F$4="NO",IF(Valores!$D$63*'Escala Docente'!B252&gt;Valores!$F$63,Valores!$F$63,Valores!$D$63*'Escala Docente'!B252),IF(Valores!$D$63*'Escala Docente'!B252&gt;Valores!$F$63,Valores!$F$63,Valores!$D$63*'Escala Docente'!B252)/2)+0.03</f>
        <v>12205.470000000001</v>
      </c>
      <c r="AI252" s="125">
        <f t="shared" si="41"/>
        <v>224547.76965</v>
      </c>
      <c r="AJ252" s="125">
        <f>IF(Valores!$C$32*B252&gt;Valores!$F$32,Valores!$F$32,Valores!$C$32*B252)</f>
        <v>0</v>
      </c>
      <c r="AK252" s="125">
        <f>IF(Valores!$C$91*B252&gt;Valores!$C$90,Valores!$C$90,Valores!$C$91*B252)</f>
        <v>0</v>
      </c>
      <c r="AL252" s="125">
        <f>IF(Valores!C$39*B252&gt;Valores!F$38,Valores!F$38,Valores!C$39*B252)</f>
        <v>0</v>
      </c>
      <c r="AM252" s="125">
        <f>IF($F$3="NO",0,IF(Valores!$C$62*B252&gt;Valores!$F$62,Valores!$F$62,Valores!$C$62*B252))</f>
        <v>0</v>
      </c>
      <c r="AN252" s="125">
        <f t="shared" si="36"/>
        <v>0</v>
      </c>
      <c r="AO252" s="125">
        <f>AI252*Valores!$C$71</f>
        <v>-24700.2546615</v>
      </c>
      <c r="AP252" s="125">
        <f>AI252*Valores!$C$72</f>
        <v>-4490.955393</v>
      </c>
      <c r="AQ252" s="125">
        <f>AI252*-Valores!$C$73</f>
        <v>0</v>
      </c>
      <c r="AR252" s="125">
        <f>AI252*Valores!$C$74</f>
        <v>-12350.12733075</v>
      </c>
      <c r="AS252" s="125">
        <f>Valores!$C$101</f>
        <v>-1270</v>
      </c>
      <c r="AT252" s="125">
        <f>IF($F$5=0,Valores!$C$102,(Valores!$C$102+$F$5*(Valores!$C$102)))</f>
        <v>-3700</v>
      </c>
      <c r="AU252" s="125">
        <f t="shared" si="38"/>
        <v>178036.43226475</v>
      </c>
      <c r="AV252" s="125">
        <f t="shared" si="33"/>
        <v>-24700.2546615</v>
      </c>
      <c r="AW252" s="125">
        <f t="shared" si="40"/>
        <v>-4490.955393</v>
      </c>
      <c r="AX252" s="125">
        <f>AI252*Valores!$C$75</f>
        <v>-6062.78978055</v>
      </c>
      <c r="AY252" s="125">
        <f>AI252*Valores!$C$76</f>
        <v>-673.64330895</v>
      </c>
      <c r="AZ252" s="125">
        <f t="shared" si="37"/>
        <v>188620.126506</v>
      </c>
      <c r="BA252" s="125">
        <f>AI252*Valores!$C$78</f>
        <v>35927.643144</v>
      </c>
      <c r="BB252" s="125">
        <f>AI252*Valores!$C$79</f>
        <v>15718.343875500002</v>
      </c>
      <c r="BC252" s="125">
        <f>AI252*Valores!$C$80</f>
        <v>2245.4776965</v>
      </c>
      <c r="BD252" s="125">
        <f>AI252*Valores!$C$82</f>
        <v>7859.171937750001</v>
      </c>
      <c r="BE252" s="125">
        <f>AI252*Valores!$C$84</f>
        <v>12125.5795611</v>
      </c>
      <c r="BF252" s="125">
        <f>AI252*Valores!$C$83</f>
        <v>1347.2866179</v>
      </c>
      <c r="BG252" s="126"/>
      <c r="BH252" s="126">
        <f t="shared" si="42"/>
        <v>13</v>
      </c>
      <c r="BI252" s="123" t="s">
        <v>4</v>
      </c>
    </row>
    <row r="253" spans="1:61" s="110" customFormat="1" ht="11.25" customHeight="1">
      <c r="A253" s="123" t="s">
        <v>470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43"/>
        <v>1106</v>
      </c>
      <c r="F253" s="125">
        <f>ROUND(E253*Valores!$C$2,2)</f>
        <v>65165.85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22174.47</v>
      </c>
      <c r="N253" s="125">
        <f t="shared" si="34"/>
        <v>0</v>
      </c>
      <c r="O253" s="125">
        <f>Valores!$C$7*B253</f>
        <v>27972.42</v>
      </c>
      <c r="P253" s="125">
        <f>ROUND(IF(B253&lt;15,(Valores!$E$5*B253),Valores!$D$5),2)</f>
        <v>28112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14734.300000000001</v>
      </c>
      <c r="S253" s="125">
        <f>Valores!$C$18*B253</f>
        <v>8797.74</v>
      </c>
      <c r="T253" s="125">
        <f t="shared" si="39"/>
        <v>8797.74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IF(Valores!$C$98*B253&gt;Valores!$C$97,Valores!$C$97,Valores!$C$98*B253)</f>
        <v>26857.74</v>
      </c>
      <c r="AA253" s="125">
        <f>IF((Valores!$C$28)*B253&gt;Valores!$F$28,Valores!$F$28,(Valores!$C$28)*B253)</f>
        <v>691.18</v>
      </c>
      <c r="AB253" s="214">
        <v>0</v>
      </c>
      <c r="AC253" s="125">
        <f t="shared" si="35"/>
        <v>0</v>
      </c>
      <c r="AD253" s="125">
        <f>IF(Valores!$C$29*B253&gt;Valores!$F$29,Valores!$F$29,Valores!$C$29*B253)</f>
        <v>575.54</v>
      </c>
      <c r="AE253" s="192">
        <v>0</v>
      </c>
      <c r="AF253" s="125">
        <f>ROUND(AE253*Valores!$C$2,2)</f>
        <v>0</v>
      </c>
      <c r="AG253" s="125">
        <f>SUM(F253,H253,J253,L253,M253,N253,O253,P253,Q253,R253,T253,U253,V253,X253,Y253,Z253,AA253,AC253,AD253,AF253,AH253)*Valores!$C$69</f>
        <v>26861.101109999996</v>
      </c>
      <c r="AH253" s="125">
        <f>IF($F$4="NO",IF(Valores!$D$63*'Escala Docente'!B253&gt;Valores!$F$63,Valores!$F$63,Valores!$D$63*'Escala Docente'!B253),IF(Valores!$D$63*'Escala Docente'!B253&gt;Valores!$F$63,Valores!$F$63,Valores!$D$63*'Escala Docente'!B253)/2)+0.03</f>
        <v>13144.35</v>
      </c>
      <c r="AI253" s="125">
        <f t="shared" si="41"/>
        <v>235086.69110999996</v>
      </c>
      <c r="AJ253" s="125">
        <f>IF(Valores!$C$32*B253&gt;Valores!$F$32,Valores!$F$32,Valores!$C$32*B253)</f>
        <v>0</v>
      </c>
      <c r="AK253" s="125">
        <f>IF(Valores!$C$91*B253&gt;Valores!$C$90,Valores!$C$90,Valores!$C$91*B253)</f>
        <v>0</v>
      </c>
      <c r="AL253" s="125">
        <f>IF(Valores!C$39*B253&gt;Valores!F$38,Valores!F$38,Valores!C$39*B253)</f>
        <v>0</v>
      </c>
      <c r="AM253" s="125">
        <f>IF($F$3="NO",0,IF(Valores!$C$62*B253&gt;Valores!$F$62,Valores!$F$62,Valores!$C$62*B253))</f>
        <v>0</v>
      </c>
      <c r="AN253" s="125">
        <f t="shared" si="36"/>
        <v>0</v>
      </c>
      <c r="AO253" s="125">
        <f>AI253*Valores!$C$71</f>
        <v>-25859.536022099994</v>
      </c>
      <c r="AP253" s="125">
        <f>AI253*Valores!$C$72</f>
        <v>-4701.733822199999</v>
      </c>
      <c r="AQ253" s="125">
        <f>AI253*-Valores!$C$73</f>
        <v>0</v>
      </c>
      <c r="AR253" s="125">
        <f>AI253*Valores!$C$74</f>
        <v>-12929.768011049997</v>
      </c>
      <c r="AS253" s="125">
        <f>Valores!$C$101</f>
        <v>-1270</v>
      </c>
      <c r="AT253" s="125">
        <f>IF($F$5=0,Valores!$C$102,(Valores!$C$102+$F$5*(Valores!$C$102)))</f>
        <v>-3700</v>
      </c>
      <c r="AU253" s="125">
        <f t="shared" si="38"/>
        <v>186625.65325464995</v>
      </c>
      <c r="AV253" s="125">
        <f t="shared" si="33"/>
        <v>-25859.536022099994</v>
      </c>
      <c r="AW253" s="125">
        <f t="shared" si="40"/>
        <v>-4701.733822199999</v>
      </c>
      <c r="AX253" s="125">
        <f>AI253*Valores!$C$75</f>
        <v>-6347.340659969998</v>
      </c>
      <c r="AY253" s="125">
        <f>AI253*Valores!$C$76</f>
        <v>-705.2600733299998</v>
      </c>
      <c r="AZ253" s="125">
        <f t="shared" si="37"/>
        <v>197472.82053239996</v>
      </c>
      <c r="BA253" s="125">
        <f>AI253*Valores!$C$78</f>
        <v>37613.87057759999</v>
      </c>
      <c r="BB253" s="125">
        <f>AI253*Valores!$C$79</f>
        <v>16456.068377699998</v>
      </c>
      <c r="BC253" s="125">
        <f>AI253*Valores!$C$80</f>
        <v>2350.8669110999995</v>
      </c>
      <c r="BD253" s="125">
        <f>AI253*Valores!$C$82</f>
        <v>8228.034188849999</v>
      </c>
      <c r="BE253" s="125">
        <f>AI253*Valores!$C$84</f>
        <v>12694.681319939997</v>
      </c>
      <c r="BF253" s="125">
        <f>AI253*Valores!$C$83</f>
        <v>1410.5201466599997</v>
      </c>
      <c r="BG253" s="126"/>
      <c r="BH253" s="126">
        <f t="shared" si="42"/>
        <v>14</v>
      </c>
      <c r="BI253" s="123" t="s">
        <v>4</v>
      </c>
    </row>
    <row r="254" spans="1:61" s="110" customFormat="1" ht="11.25" customHeight="1">
      <c r="A254" s="123" t="s">
        <v>470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43"/>
        <v>1106</v>
      </c>
      <c r="F254" s="125">
        <f>ROUND(E254*Valores!$C$2,2)</f>
        <v>65165.85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22174.47</v>
      </c>
      <c r="N254" s="125">
        <f t="shared" si="34"/>
        <v>0</v>
      </c>
      <c r="O254" s="125">
        <f>Valores!$C$7*B254</f>
        <v>27972.42</v>
      </c>
      <c r="P254" s="125">
        <f>ROUND(IF(B254&lt;15,(Valores!$E$5*B254),Valores!$D$5),2)</f>
        <v>28112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14734.300000000001</v>
      </c>
      <c r="S254" s="125">
        <f>Valores!$C$18*B254</f>
        <v>8797.74</v>
      </c>
      <c r="T254" s="125">
        <f t="shared" si="39"/>
        <v>8797.74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IF(Valores!$C$98*B254&gt;Valores!$C$97,Valores!$C$97,Valores!$C$98*B254)</f>
        <v>26857.74</v>
      </c>
      <c r="AA254" s="125">
        <f>IF((Valores!$C$28)*B254&gt;Valores!$F$28,Valores!$F$28,(Valores!$C$28)*B254)</f>
        <v>691.18</v>
      </c>
      <c r="AB254" s="214">
        <v>0</v>
      </c>
      <c r="AC254" s="125">
        <f t="shared" si="35"/>
        <v>0</v>
      </c>
      <c r="AD254" s="125">
        <f>IF(Valores!$C$29*B254&gt;Valores!$F$29,Valores!$F$29,Valores!$C$29*B254)</f>
        <v>575.54</v>
      </c>
      <c r="AE254" s="192">
        <v>94</v>
      </c>
      <c r="AF254" s="125">
        <f>ROUND(AE254*Valores!$C$2,2)</f>
        <v>5538.51</v>
      </c>
      <c r="AG254" s="125">
        <f>SUM(F254,H254,J254,L254,M254,N254,O254,P254,Q254,R254,T254,U254,V254,X254,Y254,Z254,AA254,AC254,AD254,AF254,AH254)*Valores!$C$69</f>
        <v>27575.5689</v>
      </c>
      <c r="AH254" s="125">
        <f>IF($F$4="NO",IF(Valores!$D$63*'Escala Docente'!B254&gt;Valores!$F$63,Valores!$F$63,Valores!$D$63*'Escala Docente'!B254),IF(Valores!$D$63*'Escala Docente'!B254&gt;Valores!$F$63,Valores!$F$63,Valores!$D$63*'Escala Docente'!B254)/2)+0.03</f>
        <v>13144.35</v>
      </c>
      <c r="AI254" s="125">
        <f t="shared" si="41"/>
        <v>241339.66889999996</v>
      </c>
      <c r="AJ254" s="125">
        <f>IF(Valores!$C$32*B254&gt;Valores!$F$32,Valores!$F$32,Valores!$C$32*B254)</f>
        <v>0</v>
      </c>
      <c r="AK254" s="125">
        <f>IF(Valores!$C$91*B254&gt;Valores!$C$90,Valores!$C$90,Valores!$C$91*B254)</f>
        <v>0</v>
      </c>
      <c r="AL254" s="125">
        <f>IF(Valores!C$39*B254&gt;Valores!F$38,Valores!F$38,Valores!C$39*B254)</f>
        <v>0</v>
      </c>
      <c r="AM254" s="125">
        <f>IF($F$3="NO",0,IF(Valores!$C$62*B254&gt;Valores!$F$62,Valores!$F$62,Valores!$C$62*B254))</f>
        <v>0</v>
      </c>
      <c r="AN254" s="125">
        <f t="shared" si="36"/>
        <v>0</v>
      </c>
      <c r="AO254" s="125">
        <f>AI254*Valores!$C$71</f>
        <v>-26547.363578999997</v>
      </c>
      <c r="AP254" s="125">
        <f>AI254*Valores!$C$72</f>
        <v>-4826.793377999999</v>
      </c>
      <c r="AQ254" s="125">
        <f>AI254*-Valores!$C$73</f>
        <v>0</v>
      </c>
      <c r="AR254" s="125">
        <f>AI254*Valores!$C$74</f>
        <v>-13273.681789499999</v>
      </c>
      <c r="AS254" s="125">
        <f>Valores!$C$101</f>
        <v>-1270</v>
      </c>
      <c r="AT254" s="125">
        <f>IF($F$5=0,Valores!$C$102,(Valores!$C$102+$F$5*(Valores!$C$102)))</f>
        <v>-3700</v>
      </c>
      <c r="AU254" s="125">
        <f t="shared" si="38"/>
        <v>191721.83015349996</v>
      </c>
      <c r="AV254" s="125">
        <f t="shared" si="33"/>
        <v>-26547.363578999997</v>
      </c>
      <c r="AW254" s="125">
        <f t="shared" si="40"/>
        <v>-4826.793377999999</v>
      </c>
      <c r="AX254" s="125">
        <f>AI254*Valores!$C$75</f>
        <v>-6516.171060299999</v>
      </c>
      <c r="AY254" s="125">
        <f>AI254*Valores!$C$76</f>
        <v>-724.0190066999999</v>
      </c>
      <c r="AZ254" s="125">
        <f t="shared" si="37"/>
        <v>202725.32187599997</v>
      </c>
      <c r="BA254" s="125">
        <f>AI254*Valores!$C$78</f>
        <v>38614.347023999995</v>
      </c>
      <c r="BB254" s="125">
        <f>AI254*Valores!$C$79</f>
        <v>16893.776823</v>
      </c>
      <c r="BC254" s="125">
        <f>AI254*Valores!$C$80</f>
        <v>2413.3966889999997</v>
      </c>
      <c r="BD254" s="125">
        <f>AI254*Valores!$C$82</f>
        <v>8446.8884115</v>
      </c>
      <c r="BE254" s="125">
        <f>AI254*Valores!$C$84</f>
        <v>13032.342120599998</v>
      </c>
      <c r="BF254" s="125">
        <f>AI254*Valores!$C$83</f>
        <v>1448.0380133999997</v>
      </c>
      <c r="BG254" s="126"/>
      <c r="BH254" s="126">
        <f t="shared" si="42"/>
        <v>14</v>
      </c>
      <c r="BI254" s="123" t="s">
        <v>4</v>
      </c>
    </row>
    <row r="255" spans="1:61" s="110" customFormat="1" ht="11.25" customHeight="1">
      <c r="A255" s="123" t="s">
        <v>470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43"/>
        <v>1185</v>
      </c>
      <c r="F255" s="125">
        <f>ROUND(E255*Valores!$C$2,2)</f>
        <v>69820.56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23758.37</v>
      </c>
      <c r="N255" s="125">
        <f t="shared" si="34"/>
        <v>0</v>
      </c>
      <c r="O255" s="125">
        <f>Valores!$C$7*B255</f>
        <v>29970.45</v>
      </c>
      <c r="P255" s="125">
        <f>ROUND(IF(B255&lt;15,(Valores!$E$5*B255),Valores!$D$5),2)</f>
        <v>30120.06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15786.75</v>
      </c>
      <c r="S255" s="125">
        <f>Valores!$C$18*B255</f>
        <v>9426.15</v>
      </c>
      <c r="T255" s="125">
        <f t="shared" si="39"/>
        <v>9426.15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IF(Valores!$C$98*B255&gt;Valores!$C$97,Valores!$C$97,Valores!$C$98*B255)</f>
        <v>28776.15</v>
      </c>
      <c r="AA255" s="125">
        <f>IF((Valores!$C$28)*B255&gt;Valores!$F$28,Valores!$F$28,(Valores!$C$28)*B255)</f>
        <v>740.55</v>
      </c>
      <c r="AB255" s="214">
        <v>0</v>
      </c>
      <c r="AC255" s="125">
        <f t="shared" si="35"/>
        <v>0</v>
      </c>
      <c r="AD255" s="125">
        <f>IF(Valores!$C$29*B255&gt;Valores!$F$29,Valores!$F$29,Valores!$C$29*B255)</f>
        <v>616.65</v>
      </c>
      <c r="AE255" s="192">
        <v>0</v>
      </c>
      <c r="AF255" s="125">
        <f>ROUND(AE255*Valores!$C$2,2)</f>
        <v>0</v>
      </c>
      <c r="AG255" s="125">
        <f>SUM(F255,H255,J255,L255,M255,N255,O255,P255,Q255,R255,T255,U255,V255,X255,Y255,Z255,AA255,AC255,AD255,AF255,AH255)*Valores!$C$69</f>
        <v>28779.76068</v>
      </c>
      <c r="AH255" s="125">
        <f>IF($F$4="NO",IF(Valores!$D$63*'Escala Docente'!B255&gt;Valores!$F$63,Valores!$F$63,Valores!$D$63*'Escala Docente'!B255),IF(Valores!$D$63*'Escala Docente'!B255&gt;Valores!$F$63,Valores!$F$63,Valores!$D$63*'Escala Docente'!B255)/2)+0.03</f>
        <v>14083.230000000001</v>
      </c>
      <c r="AI255" s="125">
        <f t="shared" si="41"/>
        <v>251878.68068</v>
      </c>
      <c r="AJ255" s="125">
        <f>IF(Valores!$C$32*B255&gt;Valores!$F$32,Valores!$F$32,Valores!$C$32*B255)</f>
        <v>0</v>
      </c>
      <c r="AK255" s="125">
        <f>IF(Valores!$C$91*B255&gt;Valores!$C$90,Valores!$C$90,Valores!$C$91*B255)</f>
        <v>0</v>
      </c>
      <c r="AL255" s="125">
        <f>IF(Valores!C$39*B255&gt;Valores!F$38,Valores!F$38,Valores!C$39*B255)</f>
        <v>0</v>
      </c>
      <c r="AM255" s="125">
        <f>IF($F$3="NO",0,IF(Valores!$C$62*B255&gt;Valores!$F$62,Valores!$F$62,Valores!$C$62*B255))</f>
        <v>0</v>
      </c>
      <c r="AN255" s="125">
        <f t="shared" si="36"/>
        <v>0</v>
      </c>
      <c r="AO255" s="125">
        <f>AI255*Valores!$C$71</f>
        <v>-27706.6548748</v>
      </c>
      <c r="AP255" s="125">
        <f>AI255*Valores!$C$72</f>
        <v>-5037.5736136</v>
      </c>
      <c r="AQ255" s="125">
        <f>AI255*-Valores!$C$73</f>
        <v>0</v>
      </c>
      <c r="AR255" s="125">
        <f>AI255*Valores!$C$74</f>
        <v>-13853.3274374</v>
      </c>
      <c r="AS255" s="125">
        <f>Valores!$C$101</f>
        <v>-1270</v>
      </c>
      <c r="AT255" s="125">
        <f>IF($F$5=0,Valores!$C$102,(Valores!$C$102+$F$5*(Valores!$C$102)))</f>
        <v>-3700</v>
      </c>
      <c r="AU255" s="125">
        <f t="shared" si="38"/>
        <v>200311.1247542</v>
      </c>
      <c r="AV255" s="125">
        <f t="shared" si="33"/>
        <v>-27706.6548748</v>
      </c>
      <c r="AW255" s="125">
        <f t="shared" si="40"/>
        <v>-5037.5736136</v>
      </c>
      <c r="AX255" s="125">
        <f>AI255*Valores!$C$75</f>
        <v>-6800.72437836</v>
      </c>
      <c r="AY255" s="125">
        <f>AI255*Valores!$C$76</f>
        <v>-755.63604204</v>
      </c>
      <c r="AZ255" s="125">
        <f t="shared" si="37"/>
        <v>211578.0917712</v>
      </c>
      <c r="BA255" s="125">
        <f>AI255*Valores!$C$78</f>
        <v>40300.5889088</v>
      </c>
      <c r="BB255" s="125">
        <f>AI255*Valores!$C$79</f>
        <v>17631.5076476</v>
      </c>
      <c r="BC255" s="125">
        <f>AI255*Valores!$C$80</f>
        <v>2518.7868068</v>
      </c>
      <c r="BD255" s="125">
        <f>AI255*Valores!$C$82</f>
        <v>8815.7538238</v>
      </c>
      <c r="BE255" s="125">
        <f>AI255*Valores!$C$84</f>
        <v>13601.44875672</v>
      </c>
      <c r="BF255" s="125">
        <f>AI255*Valores!$C$83</f>
        <v>1511.27208408</v>
      </c>
      <c r="BG255" s="126"/>
      <c r="BH255" s="126">
        <f aca="true" t="shared" si="44" ref="BH255:BH286">1*B255</f>
        <v>15</v>
      </c>
      <c r="BI255" s="123" t="s">
        <v>4</v>
      </c>
    </row>
    <row r="256" spans="1:61" s="110" customFormat="1" ht="11.25" customHeight="1">
      <c r="A256" s="123" t="s">
        <v>470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43"/>
        <v>1185</v>
      </c>
      <c r="F256" s="125">
        <f>ROUND(E256*Valores!$C$2,2)</f>
        <v>69820.56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23758.37</v>
      </c>
      <c r="N256" s="125">
        <f t="shared" si="34"/>
        <v>0</v>
      </c>
      <c r="O256" s="125">
        <f>Valores!$C$7*B256</f>
        <v>29970.45</v>
      </c>
      <c r="P256" s="125">
        <f>ROUND(IF(B256&lt;15,(Valores!$E$5*B256),Valores!$D$5),2)</f>
        <v>30120.06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15786.75</v>
      </c>
      <c r="S256" s="125">
        <f>Valores!$C$18*B256</f>
        <v>9426.15</v>
      </c>
      <c r="T256" s="125">
        <f t="shared" si="39"/>
        <v>9426.15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IF(Valores!$C$98*B256&gt;Valores!$C$97,Valores!$C$97,Valores!$C$98*B256)</f>
        <v>28776.15</v>
      </c>
      <c r="AA256" s="125">
        <f>IF((Valores!$C$28)*B256&gt;Valores!$F$28,Valores!$F$28,(Valores!$C$28)*B256)</f>
        <v>740.55</v>
      </c>
      <c r="AB256" s="214">
        <v>0</v>
      </c>
      <c r="AC256" s="125">
        <f t="shared" si="35"/>
        <v>0</v>
      </c>
      <c r="AD256" s="125">
        <f>IF(Valores!$C$29*B256&gt;Valores!$F$29,Valores!$F$29,Valores!$C$29*B256)</f>
        <v>616.65</v>
      </c>
      <c r="AE256" s="192">
        <v>94</v>
      </c>
      <c r="AF256" s="125">
        <f>ROUND(AE256*Valores!$C$2,2)</f>
        <v>5538.51</v>
      </c>
      <c r="AG256" s="125">
        <f>SUM(F256,H256,J256,L256,M256,N256,O256,P256,Q256,R256,T256,U256,V256,X256,Y256,Z256,AA256,AC256,AD256,AF256,AH256)*Valores!$C$69</f>
        <v>29494.22847</v>
      </c>
      <c r="AH256" s="125">
        <f>IF($F$4="NO",IF(Valores!$D$63*'Escala Docente'!B256&gt;Valores!$F$63,Valores!$F$63,Valores!$D$63*'Escala Docente'!B256),IF(Valores!$D$63*'Escala Docente'!B256&gt;Valores!$F$63,Valores!$F$63,Valores!$D$63*'Escala Docente'!B256)/2)+0.03</f>
        <v>14083.230000000001</v>
      </c>
      <c r="AI256" s="125">
        <f t="shared" si="41"/>
        <v>258131.65847</v>
      </c>
      <c r="AJ256" s="125">
        <f>IF(Valores!$C$32*B256&gt;Valores!$F$32,Valores!$F$32,Valores!$C$32*B256)</f>
        <v>0</v>
      </c>
      <c r="AK256" s="125">
        <f>IF(Valores!$C$91*B256&gt;Valores!$C$90,Valores!$C$90,Valores!$C$91*B256)</f>
        <v>0</v>
      </c>
      <c r="AL256" s="125">
        <f>IF(Valores!C$39*B256&gt;Valores!F$38,Valores!F$38,Valores!C$39*B256)</f>
        <v>0</v>
      </c>
      <c r="AM256" s="125">
        <f>IF($F$3="NO",0,IF(Valores!$C$62*B256&gt;Valores!$F$62,Valores!$F$62,Valores!$C$62*B256))</f>
        <v>0</v>
      </c>
      <c r="AN256" s="125">
        <f t="shared" si="36"/>
        <v>0</v>
      </c>
      <c r="AO256" s="125">
        <f>AI256*Valores!$C$71</f>
        <v>-28394.4824317</v>
      </c>
      <c r="AP256" s="125">
        <f>AI256*Valores!$C$72</f>
        <v>-5162.6331694</v>
      </c>
      <c r="AQ256" s="125">
        <f>AI256*-Valores!$C$73</f>
        <v>0</v>
      </c>
      <c r="AR256" s="125">
        <f>AI256*Valores!$C$74</f>
        <v>-14197.24121585</v>
      </c>
      <c r="AS256" s="125">
        <f>Valores!$C$101</f>
        <v>-1270</v>
      </c>
      <c r="AT256" s="125">
        <f>IF($F$5=0,Valores!$C$102,(Valores!$C$102+$F$5*(Valores!$C$102)))</f>
        <v>-3700</v>
      </c>
      <c r="AU256" s="125">
        <f t="shared" si="38"/>
        <v>205407.30165305</v>
      </c>
      <c r="AV256" s="125">
        <f t="shared" si="33"/>
        <v>-28394.4824317</v>
      </c>
      <c r="AW256" s="125">
        <f t="shared" si="40"/>
        <v>-5162.6331694</v>
      </c>
      <c r="AX256" s="125">
        <f>AI256*Valores!$C$75</f>
        <v>-6969.55477869</v>
      </c>
      <c r="AY256" s="125">
        <f>AI256*Valores!$C$76</f>
        <v>-774.39497541</v>
      </c>
      <c r="AZ256" s="125">
        <f t="shared" si="37"/>
        <v>216830.5931148</v>
      </c>
      <c r="BA256" s="125">
        <f>AI256*Valores!$C$78</f>
        <v>41301.0653552</v>
      </c>
      <c r="BB256" s="125">
        <f>AI256*Valores!$C$79</f>
        <v>18069.216092900002</v>
      </c>
      <c r="BC256" s="125">
        <f>AI256*Valores!$C$80</f>
        <v>2581.3165847</v>
      </c>
      <c r="BD256" s="125">
        <f>AI256*Valores!$C$82</f>
        <v>9034.608046450001</v>
      </c>
      <c r="BE256" s="125">
        <f>AI256*Valores!$C$84</f>
        <v>13939.10955738</v>
      </c>
      <c r="BF256" s="125">
        <f>AI256*Valores!$C$83</f>
        <v>1548.78995082</v>
      </c>
      <c r="BG256" s="126"/>
      <c r="BH256" s="126">
        <f t="shared" si="44"/>
        <v>15</v>
      </c>
      <c r="BI256" s="123" t="s">
        <v>4</v>
      </c>
    </row>
    <row r="257" spans="1:61" s="110" customFormat="1" ht="11.25" customHeight="1">
      <c r="A257" s="123" t="s">
        <v>470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43"/>
        <v>1264</v>
      </c>
      <c r="F257" s="125">
        <f>ROUND(E257*Valores!$C$2,2)</f>
        <v>74475.26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25342.26</v>
      </c>
      <c r="N257" s="125">
        <f t="shared" si="34"/>
        <v>0</v>
      </c>
      <c r="O257" s="125">
        <f>Valores!$C$7*B257</f>
        <v>31968.48</v>
      </c>
      <c r="P257" s="125">
        <f>ROUND(IF(B257&lt;15,(Valores!$E$5*B257),Valores!$D$5),2)</f>
        <v>30120.06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16839.2</v>
      </c>
      <c r="S257" s="125">
        <f>Valores!$C$18*B257</f>
        <v>10054.56</v>
      </c>
      <c r="T257" s="125">
        <f t="shared" si="39"/>
        <v>10054.56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IF(Valores!$C$98*B257&gt;Valores!$C$97,Valores!$C$97,Valores!$C$98*B257)</f>
        <v>30694.56</v>
      </c>
      <c r="AA257" s="125">
        <f>IF((Valores!$C$28)*B257&gt;Valores!$F$28,Valores!$F$28,(Valores!$C$28)*B257)</f>
        <v>789.92</v>
      </c>
      <c r="AB257" s="214">
        <v>0</v>
      </c>
      <c r="AC257" s="125">
        <f t="shared" si="35"/>
        <v>0</v>
      </c>
      <c r="AD257" s="125">
        <f>IF(Valores!$C$29*B257&gt;Valores!$F$29,Valores!$F$29,Valores!$C$29*B257)</f>
        <v>657.76</v>
      </c>
      <c r="AE257" s="192">
        <v>0</v>
      </c>
      <c r="AF257" s="125">
        <f>ROUND(AE257*Valores!$C$2,2)</f>
        <v>0</v>
      </c>
      <c r="AG257" s="125">
        <f>SUM(F257,H257,J257,L257,M257,N257,O257,P257,Q257,R257,T257,U257,V257,X257,Y257,Z257,AA257,AC257,AD257,AF257,AH257)*Valores!$C$69</f>
        <v>30439.377930000006</v>
      </c>
      <c r="AH257" s="125">
        <f>IF($F$4="NO",IF(Valores!$D$63*'Escala Docente'!B257&gt;Valores!$F$63,Valores!$F$63,Valores!$D$63*'Escala Docente'!B257),IF(Valores!$D$63*'Escala Docente'!B257&gt;Valores!$F$63,Valores!$F$63,Valores!$D$63*'Escala Docente'!B257)/2)+0.03</f>
        <v>15022.11</v>
      </c>
      <c r="AI257" s="125">
        <f t="shared" si="41"/>
        <v>266403.54793000006</v>
      </c>
      <c r="AJ257" s="125">
        <f>IF(Valores!$C$32*B257&gt;Valores!$F$32,Valores!$F$32,Valores!$C$32*B257)</f>
        <v>0</v>
      </c>
      <c r="AK257" s="125">
        <f>IF(Valores!$C$91*B257&gt;Valores!$C$90,Valores!$C$90,Valores!$C$91*B257)</f>
        <v>0</v>
      </c>
      <c r="AL257" s="125">
        <f>IF(Valores!C$39*B257&gt;Valores!F$38,Valores!F$38,Valores!C$39*B257)</f>
        <v>0</v>
      </c>
      <c r="AM257" s="125">
        <f>IF($F$3="NO",0,IF(Valores!$C$62*B257&gt;Valores!$F$62,Valores!$F$62,Valores!$C$62*B257))</f>
        <v>0</v>
      </c>
      <c r="AN257" s="125">
        <f t="shared" si="36"/>
        <v>0</v>
      </c>
      <c r="AO257" s="125">
        <f>AI257*Valores!$C$71</f>
        <v>-29304.390272300006</v>
      </c>
      <c r="AP257" s="125">
        <f>AI257*Valores!$C$72</f>
        <v>-5328.070958600001</v>
      </c>
      <c r="AQ257" s="125">
        <f>AI257*-Valores!$C$73</f>
        <v>0</v>
      </c>
      <c r="AR257" s="125">
        <f>AI257*Valores!$C$74</f>
        <v>-14652.195136150003</v>
      </c>
      <c r="AS257" s="125">
        <f>Valores!$C$101</f>
        <v>-1270</v>
      </c>
      <c r="AT257" s="125">
        <f>IF($F$5=0,Valores!$C$102,(Valores!$C$102+$F$5*(Valores!$C$102)))</f>
        <v>-3700</v>
      </c>
      <c r="AU257" s="125">
        <f t="shared" si="38"/>
        <v>212148.89156295004</v>
      </c>
      <c r="AV257" s="125">
        <f t="shared" si="33"/>
        <v>-29304.390272300006</v>
      </c>
      <c r="AW257" s="125">
        <f t="shared" si="40"/>
        <v>-5328.070958600001</v>
      </c>
      <c r="AX257" s="125">
        <f>AI257*Valores!$C$75</f>
        <v>-7192.895794110002</v>
      </c>
      <c r="AY257" s="125">
        <f>AI257*Valores!$C$76</f>
        <v>-799.2106437900002</v>
      </c>
      <c r="AZ257" s="125">
        <f t="shared" si="37"/>
        <v>223778.98026120005</v>
      </c>
      <c r="BA257" s="125">
        <f>AI257*Valores!$C$78</f>
        <v>42624.56766880001</v>
      </c>
      <c r="BB257" s="125">
        <f>AI257*Valores!$C$79</f>
        <v>18648.248355100004</v>
      </c>
      <c r="BC257" s="125">
        <f>AI257*Valores!$C$80</f>
        <v>2664.0354793000006</v>
      </c>
      <c r="BD257" s="125">
        <f>AI257*Valores!$C$82</f>
        <v>9324.124177550002</v>
      </c>
      <c r="BE257" s="125">
        <f>AI257*Valores!$C$84</f>
        <v>14385.791588220003</v>
      </c>
      <c r="BF257" s="125">
        <f>AI257*Valores!$C$83</f>
        <v>1598.4212875800004</v>
      </c>
      <c r="BG257" s="126"/>
      <c r="BH257" s="126">
        <f t="shared" si="44"/>
        <v>16</v>
      </c>
      <c r="BI257" s="123" t="s">
        <v>4</v>
      </c>
    </row>
    <row r="258" spans="1:61" s="110" customFormat="1" ht="11.25" customHeight="1">
      <c r="A258" s="123" t="s">
        <v>470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43"/>
        <v>1264</v>
      </c>
      <c r="F258" s="125">
        <f>ROUND(E258*Valores!$C$2,2)</f>
        <v>74475.26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25342.26</v>
      </c>
      <c r="N258" s="125">
        <f t="shared" si="34"/>
        <v>0</v>
      </c>
      <c r="O258" s="125">
        <f>Valores!$C$7*B258</f>
        <v>31968.48</v>
      </c>
      <c r="P258" s="125">
        <f>ROUND(IF(B258&lt;15,(Valores!$E$5*B258),Valores!$D$5),2)</f>
        <v>30120.06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16839.2</v>
      </c>
      <c r="S258" s="125">
        <f>Valores!$C$18*B258</f>
        <v>10054.56</v>
      </c>
      <c r="T258" s="125">
        <f t="shared" si="39"/>
        <v>10054.56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IF(Valores!$C$98*B258&gt;Valores!$C$97,Valores!$C$97,Valores!$C$98*B258)</f>
        <v>30694.56</v>
      </c>
      <c r="AA258" s="125">
        <f>IF((Valores!$C$28)*B258&gt;Valores!$F$28,Valores!$F$28,(Valores!$C$28)*B258)</f>
        <v>789.92</v>
      </c>
      <c r="AB258" s="214">
        <v>0</v>
      </c>
      <c r="AC258" s="125">
        <f t="shared" si="35"/>
        <v>0</v>
      </c>
      <c r="AD258" s="125">
        <f>IF(Valores!$C$29*B258&gt;Valores!$F$29,Valores!$F$29,Valores!$C$29*B258)</f>
        <v>657.76</v>
      </c>
      <c r="AE258" s="192">
        <v>94</v>
      </c>
      <c r="AF258" s="125">
        <f>ROUND(AE258*Valores!$C$2,2)</f>
        <v>5538.51</v>
      </c>
      <c r="AG258" s="125">
        <f>SUM(F258,H258,J258,L258,M258,N258,O258,P258,Q258,R258,T258,U258,V258,X258,Y258,Z258,AA258,AC258,AD258,AF258,AH258)*Valores!$C$69</f>
        <v>31153.84572000001</v>
      </c>
      <c r="AH258" s="125">
        <f>IF($F$4="NO",IF(Valores!$D$63*'Escala Docente'!B258&gt;Valores!$F$63,Valores!$F$63,Valores!$D$63*'Escala Docente'!B258),IF(Valores!$D$63*'Escala Docente'!B258&gt;Valores!$F$63,Valores!$F$63,Valores!$D$63*'Escala Docente'!B258)/2)+0.03</f>
        <v>15022.11</v>
      </c>
      <c r="AI258" s="125">
        <f t="shared" si="41"/>
        <v>272656.52572000003</v>
      </c>
      <c r="AJ258" s="125">
        <f>IF(Valores!$C$32*B258&gt;Valores!$F$32,Valores!$F$32,Valores!$C$32*B258)</f>
        <v>0</v>
      </c>
      <c r="AK258" s="125">
        <f>IF(Valores!$C$91*B258&gt;Valores!$C$90,Valores!$C$90,Valores!$C$91*B258)</f>
        <v>0</v>
      </c>
      <c r="AL258" s="125">
        <f>IF(Valores!C$39*B258&gt;Valores!F$38,Valores!F$38,Valores!C$39*B258)</f>
        <v>0</v>
      </c>
      <c r="AM258" s="125">
        <f>IF($F$3="NO",0,IF(Valores!$C$62*B258&gt;Valores!$F$62,Valores!$F$62,Valores!$C$62*B258))</f>
        <v>0</v>
      </c>
      <c r="AN258" s="125">
        <f t="shared" si="36"/>
        <v>0</v>
      </c>
      <c r="AO258" s="125">
        <f>AI258*Valores!$C$71</f>
        <v>-29992.217829200003</v>
      </c>
      <c r="AP258" s="125">
        <f>AI258*Valores!$C$72</f>
        <v>-5453.130514400001</v>
      </c>
      <c r="AQ258" s="125">
        <f>AI258*-Valores!$C$73</f>
        <v>0</v>
      </c>
      <c r="AR258" s="125">
        <f>AI258*Valores!$C$74</f>
        <v>-14996.108914600001</v>
      </c>
      <c r="AS258" s="125">
        <f>Valores!$C$101</f>
        <v>-1270</v>
      </c>
      <c r="AT258" s="125">
        <f>IF($F$5=0,Valores!$C$102,(Valores!$C$102+$F$5*(Valores!$C$102)))</f>
        <v>-3700</v>
      </c>
      <c r="AU258" s="125">
        <f t="shared" si="38"/>
        <v>217245.06846180002</v>
      </c>
      <c r="AV258" s="125">
        <f t="shared" si="33"/>
        <v>-29992.217829200003</v>
      </c>
      <c r="AW258" s="125">
        <f t="shared" si="40"/>
        <v>-5453.130514400001</v>
      </c>
      <c r="AX258" s="125">
        <f>AI258*Valores!$C$75</f>
        <v>-7361.726194440001</v>
      </c>
      <c r="AY258" s="125">
        <f>AI258*Valores!$C$76</f>
        <v>-817.9695771600001</v>
      </c>
      <c r="AZ258" s="125">
        <f t="shared" si="37"/>
        <v>229031.48160480004</v>
      </c>
      <c r="BA258" s="125">
        <f>AI258*Valores!$C$78</f>
        <v>43625.044115200006</v>
      </c>
      <c r="BB258" s="125">
        <f>AI258*Valores!$C$79</f>
        <v>19085.956800400003</v>
      </c>
      <c r="BC258" s="125">
        <f>AI258*Valores!$C$80</f>
        <v>2726.5652572000004</v>
      </c>
      <c r="BD258" s="125">
        <f>AI258*Valores!$C$82</f>
        <v>9542.978400200001</v>
      </c>
      <c r="BE258" s="125">
        <f>AI258*Valores!$C$84</f>
        <v>14723.452388880001</v>
      </c>
      <c r="BF258" s="125">
        <f>AI258*Valores!$C$83</f>
        <v>1635.9391543200002</v>
      </c>
      <c r="BG258" s="126"/>
      <c r="BH258" s="126">
        <f t="shared" si="44"/>
        <v>16</v>
      </c>
      <c r="BI258" s="123" t="s">
        <v>4</v>
      </c>
    </row>
    <row r="259" spans="1:61" s="110" customFormat="1" ht="11.25" customHeight="1">
      <c r="A259" s="123" t="s">
        <v>470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5" ref="E259:E290">79*B259</f>
        <v>1343</v>
      </c>
      <c r="F259" s="125">
        <f>ROUND(E259*Valores!$C$2,2)</f>
        <v>79129.96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26926.15</v>
      </c>
      <c r="N259" s="125">
        <f t="shared" si="34"/>
        <v>0</v>
      </c>
      <c r="O259" s="125">
        <f>Valores!$C$7*B259</f>
        <v>33966.51</v>
      </c>
      <c r="P259" s="125">
        <f>ROUND(IF(B259&lt;15,(Valores!$E$5*B259),Valores!$D$5),2)</f>
        <v>30120.06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17891.65</v>
      </c>
      <c r="S259" s="125">
        <f>Valores!$C$18*B259</f>
        <v>10682.97</v>
      </c>
      <c r="T259" s="125">
        <f t="shared" si="39"/>
        <v>10682.97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IF(Valores!$C$98*B259&gt;Valores!$C$97,Valores!$C$97,Valores!$C$98*B259)</f>
        <v>32612.97</v>
      </c>
      <c r="AA259" s="125">
        <f>IF((Valores!$C$28)*B259&gt;Valores!$F$28,Valores!$F$28,(Valores!$C$28)*B259)</f>
        <v>839.29</v>
      </c>
      <c r="AB259" s="214">
        <v>0</v>
      </c>
      <c r="AC259" s="125">
        <f t="shared" si="35"/>
        <v>0</v>
      </c>
      <c r="AD259" s="125">
        <f>IF(Valores!$C$29*B259&gt;Valores!$F$29,Valores!$F$29,Valores!$C$29*B259)</f>
        <v>698.87</v>
      </c>
      <c r="AE259" s="192">
        <v>0</v>
      </c>
      <c r="AF259" s="125">
        <f>ROUND(AE259*Valores!$C$2,2)</f>
        <v>0</v>
      </c>
      <c r="AG259" s="125">
        <f>SUM(F259,H259,J259,L259,M259,N259,O259,P259,Q259,R259,T259,U259,V259,X259,Y259,Z259,AA259,AC259,AD259,AF259,AH259)*Valores!$C$69</f>
        <v>32098.99518</v>
      </c>
      <c r="AH259" s="125">
        <f>IF($F$4="NO",IF(Valores!$D$63*'Escala Docente'!B259&gt;Valores!$F$63,Valores!$F$63,Valores!$D$63*'Escala Docente'!B259),IF(Valores!$D$63*'Escala Docente'!B259&gt;Valores!$F$63,Valores!$F$63,Valores!$D$63*'Escala Docente'!B259)/2)+0.03</f>
        <v>15960.99</v>
      </c>
      <c r="AI259" s="125">
        <f t="shared" si="41"/>
        <v>280928.41518</v>
      </c>
      <c r="AJ259" s="125">
        <f>IF(Valores!$C$32*B259&gt;Valores!$F$32,Valores!$F$32,Valores!$C$32*B259)</f>
        <v>0</v>
      </c>
      <c r="AK259" s="125">
        <f>IF(Valores!$C$91*B259&gt;Valores!$C$90,Valores!$C$90,Valores!$C$91*B259)</f>
        <v>0</v>
      </c>
      <c r="AL259" s="125">
        <f>IF(Valores!C$39*B259&gt;Valores!F$38,Valores!F$38,Valores!C$39*B259)</f>
        <v>0</v>
      </c>
      <c r="AM259" s="125">
        <f>IF($F$3="NO",0,IF(Valores!$C$62*B259&gt;Valores!$F$62,Valores!$F$62,Valores!$C$62*B259))</f>
        <v>0</v>
      </c>
      <c r="AN259" s="125">
        <f t="shared" si="36"/>
        <v>0</v>
      </c>
      <c r="AO259" s="125">
        <f>AI259*Valores!$C$71</f>
        <v>-30902.1256698</v>
      </c>
      <c r="AP259" s="125">
        <f>AI259*Valores!$C$72</f>
        <v>-5618.5683036</v>
      </c>
      <c r="AQ259" s="125">
        <f>AI259*-Valores!$C$73</f>
        <v>0</v>
      </c>
      <c r="AR259" s="125">
        <f>AI259*Valores!$C$74</f>
        <v>-15451.0628349</v>
      </c>
      <c r="AS259" s="125">
        <f>Valores!$C$101</f>
        <v>-1270</v>
      </c>
      <c r="AT259" s="125">
        <f>IF($F$5=0,Valores!$C$102,(Valores!$C$102+$F$5*(Valores!$C$102)))</f>
        <v>-3700</v>
      </c>
      <c r="AU259" s="125">
        <f t="shared" si="38"/>
        <v>223986.65837170003</v>
      </c>
      <c r="AV259" s="125">
        <f t="shared" si="33"/>
        <v>-30902.1256698</v>
      </c>
      <c r="AW259" s="125">
        <f t="shared" si="40"/>
        <v>-5618.5683036</v>
      </c>
      <c r="AX259" s="125">
        <f>AI259*Valores!$C$75</f>
        <v>-7585.06720986</v>
      </c>
      <c r="AY259" s="125">
        <f>AI259*Valores!$C$76</f>
        <v>-842.78524554</v>
      </c>
      <c r="AZ259" s="125">
        <f t="shared" si="37"/>
        <v>235979.86875120003</v>
      </c>
      <c r="BA259" s="125">
        <f>AI259*Valores!$C$78</f>
        <v>44948.5464288</v>
      </c>
      <c r="BB259" s="125">
        <f>AI259*Valores!$C$79</f>
        <v>19664.9890626</v>
      </c>
      <c r="BC259" s="125">
        <f>AI259*Valores!$C$80</f>
        <v>2809.2841518</v>
      </c>
      <c r="BD259" s="125">
        <f>AI259*Valores!$C$82</f>
        <v>9832.4945313</v>
      </c>
      <c r="BE259" s="125">
        <f>AI259*Valores!$C$84</f>
        <v>15170.13441972</v>
      </c>
      <c r="BF259" s="125">
        <f>AI259*Valores!$C$83</f>
        <v>1685.57049108</v>
      </c>
      <c r="BG259" s="126"/>
      <c r="BH259" s="126">
        <f t="shared" si="44"/>
        <v>17</v>
      </c>
      <c r="BI259" s="123" t="s">
        <v>4</v>
      </c>
    </row>
    <row r="260" spans="1:61" s="110" customFormat="1" ht="11.25" customHeight="1">
      <c r="A260" s="123" t="s">
        <v>470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5"/>
        <v>1343</v>
      </c>
      <c r="F260" s="125">
        <f>ROUND(E260*Valores!$C$2,2)</f>
        <v>79129.96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26926.15</v>
      </c>
      <c r="N260" s="125">
        <f t="shared" si="34"/>
        <v>0</v>
      </c>
      <c r="O260" s="125">
        <f>Valores!$C$7*B260</f>
        <v>33966.51</v>
      </c>
      <c r="P260" s="125">
        <f>ROUND(IF(B260&lt;15,(Valores!$E$5*B260),Valores!$D$5),2)</f>
        <v>30120.06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17891.65</v>
      </c>
      <c r="S260" s="125">
        <f>Valores!$C$18*B260</f>
        <v>10682.97</v>
      </c>
      <c r="T260" s="125">
        <f t="shared" si="39"/>
        <v>10682.97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IF(Valores!$C$98*B260&gt;Valores!$C$97,Valores!$C$97,Valores!$C$98*B260)</f>
        <v>32612.97</v>
      </c>
      <c r="AA260" s="125">
        <f>IF((Valores!$C$28)*B260&gt;Valores!$F$28,Valores!$F$28,(Valores!$C$28)*B260)</f>
        <v>839.29</v>
      </c>
      <c r="AB260" s="214">
        <v>0</v>
      </c>
      <c r="AC260" s="125">
        <f t="shared" si="35"/>
        <v>0</v>
      </c>
      <c r="AD260" s="125">
        <f>IF(Valores!$C$29*B260&gt;Valores!$F$29,Valores!$F$29,Valores!$C$29*B260)</f>
        <v>698.87</v>
      </c>
      <c r="AE260" s="192">
        <v>94</v>
      </c>
      <c r="AF260" s="125">
        <f>ROUND(AE260*Valores!$C$2,2)</f>
        <v>5538.51</v>
      </c>
      <c r="AG260" s="125">
        <f>SUM(F260,H260,J260,L260,M260,N260,O260,P260,Q260,R260,T260,U260,V260,X260,Y260,Z260,AA260,AC260,AD260,AF260,AH260)*Valores!$C$69</f>
        <v>32813.46297</v>
      </c>
      <c r="AH260" s="125">
        <f>IF($F$4="NO",IF(Valores!$D$63*'Escala Docente'!B260&gt;Valores!$F$63,Valores!$F$63,Valores!$D$63*'Escala Docente'!B260),IF(Valores!$D$63*'Escala Docente'!B260&gt;Valores!$F$63,Valores!$F$63,Valores!$D$63*'Escala Docente'!B260)/2)+0.03</f>
        <v>15960.99</v>
      </c>
      <c r="AI260" s="125">
        <f t="shared" si="41"/>
        <v>287181.39297000004</v>
      </c>
      <c r="AJ260" s="125">
        <f>IF(Valores!$C$32*B260&gt;Valores!$F$32,Valores!$F$32,Valores!$C$32*B260)</f>
        <v>0</v>
      </c>
      <c r="AK260" s="125">
        <f>IF(Valores!$C$91*B260&gt;Valores!$C$90,Valores!$C$90,Valores!$C$91*B260)</f>
        <v>0</v>
      </c>
      <c r="AL260" s="125">
        <f>IF(Valores!C$39*B260&gt;Valores!F$38,Valores!F$38,Valores!C$39*B260)</f>
        <v>0</v>
      </c>
      <c r="AM260" s="125">
        <f>IF($F$3="NO",0,IF(Valores!$C$62*B260&gt;Valores!$F$62,Valores!$F$62,Valores!$C$62*B260))</f>
        <v>0</v>
      </c>
      <c r="AN260" s="125">
        <f t="shared" si="36"/>
        <v>0</v>
      </c>
      <c r="AO260" s="125">
        <f>AI260*Valores!$C$71</f>
        <v>-31589.953226700007</v>
      </c>
      <c r="AP260" s="125">
        <f>AI260*Valores!$C$72</f>
        <v>-5743.627859400001</v>
      </c>
      <c r="AQ260" s="125">
        <f>AI260*-Valores!$C$73</f>
        <v>0</v>
      </c>
      <c r="AR260" s="125">
        <f>AI260*Valores!$C$74</f>
        <v>-15794.976613350003</v>
      </c>
      <c r="AS260" s="125">
        <f>Valores!$C$101</f>
        <v>-1270</v>
      </c>
      <c r="AT260" s="125">
        <f>IF($F$5=0,Valores!$C$102,(Valores!$C$102+$F$5*(Valores!$C$102)))</f>
        <v>-3700</v>
      </c>
      <c r="AU260" s="125">
        <f t="shared" si="38"/>
        <v>229082.83527055004</v>
      </c>
      <c r="AV260" s="125">
        <f t="shared" si="33"/>
        <v>-31589.953226700007</v>
      </c>
      <c r="AW260" s="125">
        <f t="shared" si="40"/>
        <v>-5743.627859400001</v>
      </c>
      <c r="AX260" s="125">
        <f>AI260*Valores!$C$75</f>
        <v>-7753.897610190001</v>
      </c>
      <c r="AY260" s="125">
        <f>AI260*Valores!$C$76</f>
        <v>-861.5441789100001</v>
      </c>
      <c r="AZ260" s="125">
        <f t="shared" si="37"/>
        <v>241232.37009480002</v>
      </c>
      <c r="BA260" s="125">
        <f>AI260*Valores!$C$78</f>
        <v>45949.02287520001</v>
      </c>
      <c r="BB260" s="125">
        <f>AI260*Valores!$C$79</f>
        <v>20102.697507900004</v>
      </c>
      <c r="BC260" s="125">
        <f>AI260*Valores!$C$80</f>
        <v>2871.8139297000007</v>
      </c>
      <c r="BD260" s="125">
        <f>AI260*Valores!$C$82</f>
        <v>10051.348753950002</v>
      </c>
      <c r="BE260" s="125">
        <f>AI260*Valores!$C$84</f>
        <v>15507.795220380001</v>
      </c>
      <c r="BF260" s="125">
        <f>AI260*Valores!$C$83</f>
        <v>1723.0883578200003</v>
      </c>
      <c r="BG260" s="126"/>
      <c r="BH260" s="126">
        <f t="shared" si="44"/>
        <v>17</v>
      </c>
      <c r="BI260" s="123" t="s">
        <v>4</v>
      </c>
    </row>
    <row r="261" spans="1:61" s="110" customFormat="1" ht="11.25" customHeight="1">
      <c r="A261" s="123" t="s">
        <v>470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5"/>
        <v>1422</v>
      </c>
      <c r="F261" s="125">
        <f>ROUND(E261*Valores!$C$2,2)</f>
        <v>83784.67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28510.04</v>
      </c>
      <c r="N261" s="125">
        <f t="shared" si="34"/>
        <v>0</v>
      </c>
      <c r="O261" s="125">
        <f>Valores!$C$7*B261</f>
        <v>35964.54</v>
      </c>
      <c r="P261" s="125">
        <f>ROUND(IF(B261&lt;15,(Valores!$E$5*B261),Valores!$D$5),2)</f>
        <v>30120.06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18944.100000000002</v>
      </c>
      <c r="S261" s="125">
        <f>Valores!$C$18*B261</f>
        <v>11311.38</v>
      </c>
      <c r="T261" s="125">
        <f t="shared" si="39"/>
        <v>11311.38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IF(Valores!$C$98*B261&gt;Valores!$C$97,Valores!$C$97,Valores!$C$98*B261)</f>
        <v>34531.380000000005</v>
      </c>
      <c r="AA261" s="125">
        <f>IF((Valores!$C$28)*B261&gt;Valores!$F$28,Valores!$F$28,(Valores!$C$28)*B261)</f>
        <v>888.66</v>
      </c>
      <c r="AB261" s="214">
        <v>0</v>
      </c>
      <c r="AC261" s="125">
        <f t="shared" si="35"/>
        <v>0</v>
      </c>
      <c r="AD261" s="125">
        <f>IF(Valores!$C$29*B261&gt;Valores!$F$29,Valores!$F$29,Valores!$C$29*B261)</f>
        <v>739.98</v>
      </c>
      <c r="AE261" s="192">
        <v>0</v>
      </c>
      <c r="AF261" s="125">
        <f>ROUND(AE261*Valores!$C$2,2)</f>
        <v>0</v>
      </c>
      <c r="AG261" s="125">
        <f>SUM(F261,H261,J261,L261,M261,N261,O261,P261,Q261,R261,T261,U261,V261,X261,Y261,Z261,AA261,AC261,AD261,AF261,AH261)*Valores!$C$69</f>
        <v>33758.61501000001</v>
      </c>
      <c r="AH261" s="125">
        <f>IF($F$4="NO",IF(Valores!$D$63*'Escala Docente'!B261&gt;Valores!$F$63,Valores!$F$63,Valores!$D$63*'Escala Docente'!B261),IF(Valores!$D$63*'Escala Docente'!B261&gt;Valores!$F$63,Valores!$F$63,Valores!$D$63*'Escala Docente'!B261)/2)+0.04</f>
        <v>16899.88</v>
      </c>
      <c r="AI261" s="125">
        <f t="shared" si="41"/>
        <v>295453.30501</v>
      </c>
      <c r="AJ261" s="125">
        <f>IF(Valores!$C$32*B261&gt;Valores!$F$32,Valores!$F$32,Valores!$C$32*B261)</f>
        <v>0</v>
      </c>
      <c r="AK261" s="125">
        <f>IF(Valores!$C$91*B261&gt;Valores!$C$90,Valores!$C$90,Valores!$C$91*B261)</f>
        <v>0</v>
      </c>
      <c r="AL261" s="125">
        <f>IF(Valores!C$39*B261&gt;Valores!F$38,Valores!F$38,Valores!C$39*B261)</f>
        <v>0</v>
      </c>
      <c r="AM261" s="125">
        <f>IF($F$3="NO",0,IF(Valores!$C$62*B261&gt;Valores!$F$62,Valores!$F$62,Valores!$C$62*B261))</f>
        <v>0</v>
      </c>
      <c r="AN261" s="125">
        <f t="shared" si="36"/>
        <v>0</v>
      </c>
      <c r="AO261" s="125">
        <f>AI261*Valores!$C$71</f>
        <v>-32499.863551100003</v>
      </c>
      <c r="AP261" s="125">
        <f>AI261*Valores!$C$72</f>
        <v>-5909.066100200001</v>
      </c>
      <c r="AQ261" s="125">
        <f>AI261*-Valores!$C$73</f>
        <v>0</v>
      </c>
      <c r="AR261" s="125">
        <f>AI261*Valores!$C$74</f>
        <v>-16249.931775550001</v>
      </c>
      <c r="AS261" s="125">
        <f>Valores!$C$101</f>
        <v>-1270</v>
      </c>
      <c r="AT261" s="125">
        <f>IF($F$5=0,Valores!$C$102,(Valores!$C$102+$F$5*(Valores!$C$102)))</f>
        <v>-3700</v>
      </c>
      <c r="AU261" s="125">
        <f t="shared" si="38"/>
        <v>235824.44358315002</v>
      </c>
      <c r="AV261" s="125">
        <f aca="true" t="shared" si="46" ref="AV261:AV325">AO261</f>
        <v>-32499.863551100003</v>
      </c>
      <c r="AW261" s="125">
        <f t="shared" si="40"/>
        <v>-5909.066100200001</v>
      </c>
      <c r="AX261" s="125">
        <f>AI261*Valores!$C$75</f>
        <v>-7977.23923527</v>
      </c>
      <c r="AY261" s="125">
        <f>AI261*Valores!$C$76</f>
        <v>-886.35991503</v>
      </c>
      <c r="AZ261" s="125">
        <f t="shared" si="37"/>
        <v>248180.77620840003</v>
      </c>
      <c r="BA261" s="125">
        <f>AI261*Valores!$C$78</f>
        <v>47272.528801600005</v>
      </c>
      <c r="BB261" s="125">
        <f>AI261*Valores!$C$79</f>
        <v>20681.731350700004</v>
      </c>
      <c r="BC261" s="125">
        <f>AI261*Valores!$C$80</f>
        <v>2954.5330501000003</v>
      </c>
      <c r="BD261" s="125">
        <f>AI261*Valores!$C$82</f>
        <v>10340.865675350002</v>
      </c>
      <c r="BE261" s="125">
        <f>AI261*Valores!$C$84</f>
        <v>15954.47847054</v>
      </c>
      <c r="BF261" s="125">
        <f>AI261*Valores!$C$83</f>
        <v>1772.71983006</v>
      </c>
      <c r="BG261" s="126"/>
      <c r="BH261" s="126">
        <f t="shared" si="44"/>
        <v>18</v>
      </c>
      <c r="BI261" s="123" t="s">
        <v>4</v>
      </c>
    </row>
    <row r="262" spans="1:61" s="110" customFormat="1" ht="11.25" customHeight="1">
      <c r="A262" s="123" t="s">
        <v>470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5"/>
        <v>1422</v>
      </c>
      <c r="F262" s="125">
        <f>ROUND(E262*Valores!$C$2,2)</f>
        <v>83784.67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28510.04</v>
      </c>
      <c r="N262" s="125">
        <f t="shared" si="34"/>
        <v>0</v>
      </c>
      <c r="O262" s="125">
        <f>Valores!$C$7*B262</f>
        <v>35964.54</v>
      </c>
      <c r="P262" s="125">
        <f>ROUND(IF(B262&lt;15,(Valores!$E$5*B262),Valores!$D$5),2)</f>
        <v>30120.06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18944.100000000002</v>
      </c>
      <c r="S262" s="125">
        <f>Valores!$C$18*B262</f>
        <v>11311.38</v>
      </c>
      <c r="T262" s="125">
        <f t="shared" si="39"/>
        <v>11311.38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IF(Valores!$C$98*B262&gt;Valores!$C$97,Valores!$C$97,Valores!$C$98*B262)</f>
        <v>34531.380000000005</v>
      </c>
      <c r="AA262" s="125">
        <f>IF((Valores!$C$28)*B262&gt;Valores!$F$28,Valores!$F$28,(Valores!$C$28)*B262)</f>
        <v>888.66</v>
      </c>
      <c r="AB262" s="214">
        <v>0</v>
      </c>
      <c r="AC262" s="125">
        <f t="shared" si="35"/>
        <v>0</v>
      </c>
      <c r="AD262" s="125">
        <f>IF(Valores!$C$29*B262&gt;Valores!$F$29,Valores!$F$29,Valores!$C$29*B262)</f>
        <v>739.98</v>
      </c>
      <c r="AE262" s="192">
        <v>94</v>
      </c>
      <c r="AF262" s="125">
        <f>ROUND(AE262*Valores!$C$2,2)</f>
        <v>5538.51</v>
      </c>
      <c r="AG262" s="125">
        <f>SUM(F262,H262,J262,L262,M262,N262,O262,P262,Q262,R262,T262,U262,V262,X262,Y262,Z262,AA262,AC262,AD262,AF262,AH262)*Valores!$C$69</f>
        <v>34473.082800000004</v>
      </c>
      <c r="AH262" s="125">
        <f>IF($F$4="NO",IF(Valores!$D$63*'Escala Docente'!B262&gt;Valores!$F$63,Valores!$F$63,Valores!$D$63*'Escala Docente'!B262),IF(Valores!$D$63*'Escala Docente'!B262&gt;Valores!$F$63,Valores!$F$63,Valores!$D$63*'Escala Docente'!B262)/2)+0.04</f>
        <v>16899.88</v>
      </c>
      <c r="AI262" s="125">
        <f t="shared" si="41"/>
        <v>301706.28280000004</v>
      </c>
      <c r="AJ262" s="125">
        <f>IF(Valores!$C$32*B262&gt;Valores!$F$32,Valores!$F$32,Valores!$C$32*B262)</f>
        <v>0</v>
      </c>
      <c r="AK262" s="125">
        <f>IF(Valores!$C$91*B262&gt;Valores!$C$90,Valores!$C$90,Valores!$C$91*B262)</f>
        <v>0</v>
      </c>
      <c r="AL262" s="125">
        <f>IF(Valores!C$39*B262&gt;Valores!F$38,Valores!F$38,Valores!C$39*B262)</f>
        <v>0</v>
      </c>
      <c r="AM262" s="125">
        <f>IF($F$3="NO",0,IF(Valores!$C$62*B262&gt;Valores!$F$62,Valores!$F$62,Valores!$C$62*B262))</f>
        <v>0</v>
      </c>
      <c r="AN262" s="125">
        <f t="shared" si="36"/>
        <v>0</v>
      </c>
      <c r="AO262" s="125">
        <f>AI262*Valores!$C$71</f>
        <v>-33187.691108000006</v>
      </c>
      <c r="AP262" s="125">
        <f>AI262*Valores!$C$72</f>
        <v>-6034.125656000001</v>
      </c>
      <c r="AQ262" s="125">
        <f>AI262*-Valores!$C$73</f>
        <v>0</v>
      </c>
      <c r="AR262" s="125">
        <f>AI262*Valores!$C$74</f>
        <v>-16593.845554000003</v>
      </c>
      <c r="AS262" s="125">
        <f>Valores!$C$101</f>
        <v>-1270</v>
      </c>
      <c r="AT262" s="125">
        <f>IF($F$5=0,Valores!$C$102,(Valores!$C$102+$F$5*(Valores!$C$102)))</f>
        <v>-3700</v>
      </c>
      <c r="AU262" s="125">
        <f t="shared" si="38"/>
        <v>240920.62048200003</v>
      </c>
      <c r="AV262" s="125">
        <f t="shared" si="46"/>
        <v>-33187.691108000006</v>
      </c>
      <c r="AW262" s="125">
        <f t="shared" si="40"/>
        <v>-6034.125656000001</v>
      </c>
      <c r="AX262" s="125">
        <f>AI262*Valores!$C$75</f>
        <v>-8146.069635600001</v>
      </c>
      <c r="AY262" s="125">
        <f>AI262*Valores!$C$76</f>
        <v>-905.1188484000002</v>
      </c>
      <c r="AZ262" s="125">
        <f t="shared" si="37"/>
        <v>253433.277552</v>
      </c>
      <c r="BA262" s="125">
        <f>AI262*Valores!$C$78</f>
        <v>48273.00524800001</v>
      </c>
      <c r="BB262" s="125">
        <f>AI262*Valores!$C$79</f>
        <v>21119.439796000006</v>
      </c>
      <c r="BC262" s="125">
        <f>AI262*Valores!$C$80</f>
        <v>3017.0628280000005</v>
      </c>
      <c r="BD262" s="125">
        <f>AI262*Valores!$C$82</f>
        <v>10559.719898000003</v>
      </c>
      <c r="BE262" s="125">
        <f>AI262*Valores!$C$84</f>
        <v>16292.139271200002</v>
      </c>
      <c r="BF262" s="125">
        <f>AI262*Valores!$C$83</f>
        <v>1810.2376968000003</v>
      </c>
      <c r="BG262" s="126"/>
      <c r="BH262" s="126">
        <f t="shared" si="44"/>
        <v>18</v>
      </c>
      <c r="BI262" s="123" t="s">
        <v>4</v>
      </c>
    </row>
    <row r="263" spans="1:61" s="110" customFormat="1" ht="11.25" customHeight="1">
      <c r="A263" s="123" t="s">
        <v>470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5"/>
        <v>1501</v>
      </c>
      <c r="F263" s="125">
        <f>ROUND(E263*Valores!$C$2,2)</f>
        <v>88439.37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30093.93</v>
      </c>
      <c r="N263" s="125">
        <f t="shared" si="34"/>
        <v>0</v>
      </c>
      <c r="O263" s="125">
        <f>Valores!$C$7*B263</f>
        <v>37962.57</v>
      </c>
      <c r="P263" s="125">
        <f>ROUND(IF(B263&lt;15,(Valores!$E$5*B263),Valores!$D$5),2)</f>
        <v>30120.06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19996.55</v>
      </c>
      <c r="S263" s="125">
        <f>Valores!$C$18*B263</f>
        <v>11939.789999999999</v>
      </c>
      <c r="T263" s="125">
        <f t="shared" si="39"/>
        <v>11939.79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IF(Valores!$C$98*B263&gt;Valores!$C$97,Valores!$C$97,Valores!$C$98*B263)</f>
        <v>36449.79</v>
      </c>
      <c r="AA263" s="125">
        <f>IF((Valores!$C$28)*B263&gt;Valores!$F$28,Valores!$F$28,(Valores!$C$28)*B263)</f>
        <v>938.03</v>
      </c>
      <c r="AB263" s="214">
        <v>0</v>
      </c>
      <c r="AC263" s="125">
        <f t="shared" si="35"/>
        <v>0</v>
      </c>
      <c r="AD263" s="125">
        <f>IF(Valores!$C$29*B263&gt;Valores!$F$29,Valores!$F$29,Valores!$C$29*B263)</f>
        <v>781.09</v>
      </c>
      <c r="AE263" s="192">
        <v>0</v>
      </c>
      <c r="AF263" s="125">
        <f>ROUND(AE263*Valores!$C$2,2)</f>
        <v>0</v>
      </c>
      <c r="AG263" s="125">
        <f>SUM(F263,H263,J263,L263,M263,N263,O263,P263,Q263,R263,T263,U263,V263,X263,Y263,Z263,AA263,AC263,AD263,AF263,AH263)*Valores!$C$69</f>
        <v>35418.232260000004</v>
      </c>
      <c r="AH263" s="125">
        <f>IF($F$4="NO",IF(Valores!$D$63*'Escala Docente'!B263&gt;Valores!$F$63,Valores!$F$63,Valores!$D$63*'Escala Docente'!B263),IF(Valores!$D$63*'Escala Docente'!B263&gt;Valores!$F$63,Valores!$F$63,Valores!$D$63*'Escala Docente'!B263)/2)+0.04</f>
        <v>17838.760000000002</v>
      </c>
      <c r="AI263" s="125">
        <f t="shared" si="41"/>
        <v>309978.17226</v>
      </c>
      <c r="AJ263" s="125">
        <f>IF(Valores!$C$32*B263&gt;Valores!$F$32,Valores!$F$32,Valores!$C$32*B263)</f>
        <v>0</v>
      </c>
      <c r="AK263" s="125">
        <f>IF(Valores!$C$91*B263&gt;Valores!$C$90,Valores!$C$90,Valores!$C$91*B263)</f>
        <v>0</v>
      </c>
      <c r="AL263" s="125">
        <f>IF(Valores!C$39*B263&gt;Valores!F$38,Valores!F$38,Valores!C$39*B263)</f>
        <v>0</v>
      </c>
      <c r="AM263" s="125">
        <f>IF($F$3="NO",0,IF(Valores!$C$62*B263&gt;Valores!$F$62,Valores!$F$62,Valores!$C$62*B263))</f>
        <v>0</v>
      </c>
      <c r="AN263" s="125">
        <f t="shared" si="36"/>
        <v>0</v>
      </c>
      <c r="AO263" s="125">
        <f>AI263*Valores!$C$71</f>
        <v>-34097.5989486</v>
      </c>
      <c r="AP263" s="125">
        <f>AI263*Valores!$C$72</f>
        <v>-6199.5634452</v>
      </c>
      <c r="AQ263" s="125">
        <f>AI263*-Valores!$C$73</f>
        <v>0</v>
      </c>
      <c r="AR263" s="125">
        <f>AI263*Valores!$C$74</f>
        <v>-17048.7994743</v>
      </c>
      <c r="AS263" s="125">
        <f>Valores!$C$101</f>
        <v>-1270</v>
      </c>
      <c r="AT263" s="125">
        <f>IF($F$5=0,Valores!$C$102,(Valores!$C$102+$F$5*(Valores!$C$102)))</f>
        <v>-3700</v>
      </c>
      <c r="AU263" s="125">
        <f t="shared" si="38"/>
        <v>247662.2103919</v>
      </c>
      <c r="AV263" s="125">
        <f t="shared" si="46"/>
        <v>-34097.5989486</v>
      </c>
      <c r="AW263" s="125">
        <f t="shared" si="40"/>
        <v>-6199.5634452</v>
      </c>
      <c r="AX263" s="125">
        <f>AI263*Valores!$C$75</f>
        <v>-8369.41065102</v>
      </c>
      <c r="AY263" s="125">
        <f>AI263*Valores!$C$76</f>
        <v>-929.9345167800001</v>
      </c>
      <c r="AZ263" s="125">
        <f t="shared" si="37"/>
        <v>260381.6646984</v>
      </c>
      <c r="BA263" s="125">
        <f>AI263*Valores!$C$78</f>
        <v>49596.5075616</v>
      </c>
      <c r="BB263" s="125">
        <f>AI263*Valores!$C$79</f>
        <v>21698.472058200005</v>
      </c>
      <c r="BC263" s="125">
        <f>AI263*Valores!$C$80</f>
        <v>3099.7817226</v>
      </c>
      <c r="BD263" s="125">
        <f>AI263*Valores!$C$82</f>
        <v>10849.236029100002</v>
      </c>
      <c r="BE263" s="125">
        <f>AI263*Valores!$C$84</f>
        <v>16738.82130204</v>
      </c>
      <c r="BF263" s="125">
        <f>AI263*Valores!$C$83</f>
        <v>1859.8690335600002</v>
      </c>
      <c r="BG263" s="126"/>
      <c r="BH263" s="126">
        <f t="shared" si="44"/>
        <v>19</v>
      </c>
      <c r="BI263" s="123" t="s">
        <v>4</v>
      </c>
    </row>
    <row r="264" spans="1:61" s="110" customFormat="1" ht="11.25" customHeight="1">
      <c r="A264" s="123" t="s">
        <v>470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5"/>
        <v>1501</v>
      </c>
      <c r="F264" s="125">
        <f>ROUND(E264*Valores!$C$2,2)</f>
        <v>88439.37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30093.93</v>
      </c>
      <c r="N264" s="125">
        <f aca="true" t="shared" si="47" ref="N264:N326">ROUND(SUM(F264,H264,J264,L264,X264,R264)*$H$2,2)</f>
        <v>0</v>
      </c>
      <c r="O264" s="125">
        <f>Valores!$C$7*B264</f>
        <v>37962.57</v>
      </c>
      <c r="P264" s="125">
        <f>ROUND(IF(B264&lt;15,(Valores!$E$5*B264),Valores!$D$5),2)</f>
        <v>30120.06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19996.55</v>
      </c>
      <c r="S264" s="125">
        <f>Valores!$C$18*B264</f>
        <v>11939.789999999999</v>
      </c>
      <c r="T264" s="125">
        <f t="shared" si="39"/>
        <v>11939.79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IF(Valores!$C$98*B264&gt;Valores!$C$97,Valores!$C$97,Valores!$C$98*B264)</f>
        <v>36449.79</v>
      </c>
      <c r="AA264" s="125">
        <f>IF((Valores!$C$28)*B264&gt;Valores!$F$28,Valores!$F$28,(Valores!$C$28)*B264)</f>
        <v>938.03</v>
      </c>
      <c r="AB264" s="214">
        <v>0</v>
      </c>
      <c r="AC264" s="125">
        <f aca="true" t="shared" si="48" ref="AC264:AC326">ROUND(SUM(F264,H264,J264,X264,R264)*AB264,2)</f>
        <v>0</v>
      </c>
      <c r="AD264" s="125">
        <f>IF(Valores!$C$29*B264&gt;Valores!$F$29,Valores!$F$29,Valores!$C$29*B264)</f>
        <v>781.09</v>
      </c>
      <c r="AE264" s="192">
        <v>94</v>
      </c>
      <c r="AF264" s="125">
        <f>ROUND(AE264*Valores!$C$2,2)</f>
        <v>5538.51</v>
      </c>
      <c r="AG264" s="125">
        <f>SUM(F264,H264,J264,L264,M264,N264,O264,P264,Q264,R264,T264,U264,V264,X264,Y264,Z264,AA264,AC264,AD264,AF264,AH264)*Valores!$C$69</f>
        <v>36132.70005</v>
      </c>
      <c r="AH264" s="125">
        <f>IF($F$4="NO",IF(Valores!$D$63*'Escala Docente'!B264&gt;Valores!$F$63,Valores!$F$63,Valores!$D$63*'Escala Docente'!B264),IF(Valores!$D$63*'Escala Docente'!B264&gt;Valores!$F$63,Valores!$F$63,Valores!$D$63*'Escala Docente'!B264)/2)+0.04</f>
        <v>17838.760000000002</v>
      </c>
      <c r="AI264" s="125">
        <f t="shared" si="41"/>
        <v>316231.15005</v>
      </c>
      <c r="AJ264" s="125">
        <f>IF(Valores!$C$32*B264&gt;Valores!$F$32,Valores!$F$32,Valores!$C$32*B264)</f>
        <v>0</v>
      </c>
      <c r="AK264" s="125">
        <f>IF(Valores!$C$91*B264&gt;Valores!$C$90,Valores!$C$90,Valores!$C$91*B264)</f>
        <v>0</v>
      </c>
      <c r="AL264" s="125">
        <f>IF(Valores!C$39*B264&gt;Valores!F$38,Valores!F$38,Valores!C$39*B264)</f>
        <v>0</v>
      </c>
      <c r="AM264" s="125">
        <f>IF($F$3="NO",0,IF(Valores!$C$62*B264&gt;Valores!$F$62,Valores!$F$62,Valores!$C$62*B264))</f>
        <v>0</v>
      </c>
      <c r="AN264" s="125">
        <f aca="true" t="shared" si="49" ref="AN264:AN326">SUM(AJ264:AM264)</f>
        <v>0</v>
      </c>
      <c r="AO264" s="125">
        <f>AI264*Valores!$C$71</f>
        <v>-34785.4265055</v>
      </c>
      <c r="AP264" s="125">
        <f>AI264*Valores!$C$72</f>
        <v>-6324.623001</v>
      </c>
      <c r="AQ264" s="125">
        <f>AI264*-Valores!$C$73</f>
        <v>0</v>
      </c>
      <c r="AR264" s="125">
        <f>AI264*Valores!$C$74</f>
        <v>-17392.71325275</v>
      </c>
      <c r="AS264" s="125">
        <f>Valores!$C$101</f>
        <v>-1270</v>
      </c>
      <c r="AT264" s="125">
        <f>IF($F$5=0,Valores!$C$102,(Valores!$C$102+$F$5*(Valores!$C$102)))</f>
        <v>-3700</v>
      </c>
      <c r="AU264" s="125">
        <f t="shared" si="38"/>
        <v>252758.38729075</v>
      </c>
      <c r="AV264" s="125">
        <f t="shared" si="46"/>
        <v>-34785.4265055</v>
      </c>
      <c r="AW264" s="125">
        <f t="shared" si="40"/>
        <v>-6324.623001</v>
      </c>
      <c r="AX264" s="125">
        <f>AI264*Valores!$C$75</f>
        <v>-8538.24105135</v>
      </c>
      <c r="AY264" s="125">
        <f>AI264*Valores!$C$76</f>
        <v>-948.69345015</v>
      </c>
      <c r="AZ264" s="125">
        <f aca="true" t="shared" si="50" ref="AZ264:AZ326">AI264+AN264+SUM(AV264:AY264)</f>
        <v>265634.166042</v>
      </c>
      <c r="BA264" s="125">
        <f>AI264*Valores!$C$78</f>
        <v>50596.984008</v>
      </c>
      <c r="BB264" s="125">
        <f>AI264*Valores!$C$79</f>
        <v>22136.180503500003</v>
      </c>
      <c r="BC264" s="125">
        <f>AI264*Valores!$C$80</f>
        <v>3162.3115005</v>
      </c>
      <c r="BD264" s="125">
        <f>AI264*Valores!$C$82</f>
        <v>11068.090251750002</v>
      </c>
      <c r="BE264" s="125">
        <f>AI264*Valores!$C$84</f>
        <v>17076.4821027</v>
      </c>
      <c r="BF264" s="125">
        <f>AI264*Valores!$C$83</f>
        <v>1897.3869003</v>
      </c>
      <c r="BG264" s="126"/>
      <c r="BH264" s="126">
        <f t="shared" si="44"/>
        <v>19</v>
      </c>
      <c r="BI264" s="123" t="s">
        <v>4</v>
      </c>
    </row>
    <row r="265" spans="1:61" s="110" customFormat="1" ht="11.25" customHeight="1">
      <c r="A265" s="123" t="s">
        <v>470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5"/>
        <v>1580</v>
      </c>
      <c r="F265" s="125">
        <f>ROUND(E265*Valores!$C$2,2)</f>
        <v>93094.07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31677.82</v>
      </c>
      <c r="N265" s="125">
        <f t="shared" si="47"/>
        <v>0</v>
      </c>
      <c r="O265" s="125">
        <f>Valores!$C$7*B265</f>
        <v>39960.6</v>
      </c>
      <c r="P265" s="125">
        <f>ROUND(IF(B265&lt;15,(Valores!$E$5*B265),Valores!$D$5),2)</f>
        <v>30120.06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21049</v>
      </c>
      <c r="S265" s="125">
        <f>Valores!$C$18*B265</f>
        <v>12568.199999999999</v>
      </c>
      <c r="T265" s="125">
        <f t="shared" si="39"/>
        <v>12568.2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IF(Valores!$C$98*B265&gt;Valores!$C$97,Valores!$C$97,Valores!$C$98*B265)</f>
        <v>38368.200000000004</v>
      </c>
      <c r="AA265" s="125">
        <f>IF((Valores!$C$28)*B265&gt;Valores!$F$28,Valores!$F$28,(Valores!$C$28)*B265)</f>
        <v>987.4</v>
      </c>
      <c r="AB265" s="214">
        <v>0</v>
      </c>
      <c r="AC265" s="125">
        <f t="shared" si="48"/>
        <v>0</v>
      </c>
      <c r="AD265" s="125">
        <f>IF(Valores!$C$29*B265&gt;Valores!$F$29,Valores!$F$29,Valores!$C$29*B265)</f>
        <v>822.2</v>
      </c>
      <c r="AE265" s="192">
        <v>0</v>
      </c>
      <c r="AF265" s="125">
        <f>ROUND(AE265*Valores!$C$2,2)</f>
        <v>0</v>
      </c>
      <c r="AG265" s="125">
        <f>SUM(F265,H265,J265,L265,M265,N265,O265,P265,Q265,R265,T265,U265,V265,X265,Y265,Z265,AA265,AC265,AD265,AF265,AH265)*Valores!$C$69</f>
        <v>37077.84951000001</v>
      </c>
      <c r="AH265" s="125">
        <f>IF($F$4="NO",IF(Valores!$D$63*'Escala Docente'!B265&gt;Valores!$F$63,Valores!$F$63,Valores!$D$63*'Escala Docente'!B265),IF(Valores!$D$63*'Escala Docente'!B265&gt;Valores!$F$63,Valores!$F$63,Valores!$D$63*'Escala Docente'!B265)/2)+0.04</f>
        <v>18777.64</v>
      </c>
      <c r="AI265" s="125">
        <f t="shared" si="41"/>
        <v>324503.0395100001</v>
      </c>
      <c r="AJ265" s="125">
        <f>IF(Valores!$C$32*B265&gt;Valores!$F$32,Valores!$F$32,Valores!$C$32*B265)</f>
        <v>0</v>
      </c>
      <c r="AK265" s="125">
        <f>IF(Valores!$C$91*B265&gt;Valores!$C$90,Valores!$C$90,Valores!$C$91*B265)</f>
        <v>0</v>
      </c>
      <c r="AL265" s="125">
        <f>IF(Valores!C$39*B265&gt;Valores!F$38,Valores!F$38,Valores!C$39*B265)</f>
        <v>0</v>
      </c>
      <c r="AM265" s="125">
        <f>IF($F$3="NO",0,IF(Valores!$C$62*B265&gt;Valores!$F$62,Valores!$F$62,Valores!$C$62*B265))</f>
        <v>0</v>
      </c>
      <c r="AN265" s="125">
        <f t="shared" si="49"/>
        <v>0</v>
      </c>
      <c r="AO265" s="125">
        <f>AI265*Valores!$C$71</f>
        <v>-35695.33434610001</v>
      </c>
      <c r="AP265" s="125">
        <f>AI265*Valores!$C$72</f>
        <v>-6490.060790200002</v>
      </c>
      <c r="AQ265" s="125">
        <f>AI265*-Valores!$C$73</f>
        <v>0</v>
      </c>
      <c r="AR265" s="125">
        <f>AI265*Valores!$C$74</f>
        <v>-17847.667173050006</v>
      </c>
      <c r="AS265" s="125">
        <f>Valores!$C$101</f>
        <v>-1270</v>
      </c>
      <c r="AT265" s="125">
        <f>IF($F$5=0,Valores!$C$102,(Valores!$C$102+$F$5*(Valores!$C$102)))</f>
        <v>-3700</v>
      </c>
      <c r="AU265" s="125">
        <f aca="true" t="shared" si="51" ref="AU265:AU326">AI265+SUM(AN265:AT265)</f>
        <v>259499.9772006501</v>
      </c>
      <c r="AV265" s="125">
        <f t="shared" si="46"/>
        <v>-35695.33434610001</v>
      </c>
      <c r="AW265" s="125">
        <f t="shared" si="40"/>
        <v>-6490.060790200002</v>
      </c>
      <c r="AX265" s="125">
        <f>AI265*Valores!$C$75</f>
        <v>-8761.582066770003</v>
      </c>
      <c r="AY265" s="125">
        <f>AI265*Valores!$C$76</f>
        <v>-973.5091185300003</v>
      </c>
      <c r="AZ265" s="125">
        <f t="shared" si="50"/>
        <v>272582.55318840005</v>
      </c>
      <c r="BA265" s="125">
        <f>AI265*Valores!$C$78</f>
        <v>51920.486321600016</v>
      </c>
      <c r="BB265" s="125">
        <f>AI265*Valores!$C$79</f>
        <v>22715.21276570001</v>
      </c>
      <c r="BC265" s="125">
        <f>AI265*Valores!$C$80</f>
        <v>3245.030395100001</v>
      </c>
      <c r="BD265" s="125">
        <f>AI265*Valores!$C$82</f>
        <v>11357.606382850005</v>
      </c>
      <c r="BE265" s="125">
        <f>AI265*Valores!$C$84</f>
        <v>17523.164133540005</v>
      </c>
      <c r="BF265" s="125">
        <f>AI265*Valores!$C$83</f>
        <v>1947.0182370600005</v>
      </c>
      <c r="BG265" s="126"/>
      <c r="BH265" s="126">
        <f t="shared" si="44"/>
        <v>20</v>
      </c>
      <c r="BI265" s="123" t="s">
        <v>4</v>
      </c>
    </row>
    <row r="266" spans="1:61" s="110" customFormat="1" ht="11.25" customHeight="1">
      <c r="A266" s="123" t="s">
        <v>470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5"/>
        <v>1580</v>
      </c>
      <c r="F266" s="125">
        <f>ROUND(E266*Valores!$C$2,2)</f>
        <v>93094.07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31677.82</v>
      </c>
      <c r="N266" s="125">
        <f t="shared" si="47"/>
        <v>0</v>
      </c>
      <c r="O266" s="125">
        <f>Valores!$C$7*B266</f>
        <v>39960.6</v>
      </c>
      <c r="P266" s="125">
        <f>ROUND(IF(B266&lt;15,(Valores!$E$5*B266),Valores!$D$5),2)</f>
        <v>30120.06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21049</v>
      </c>
      <c r="S266" s="125">
        <f>Valores!$C$18*B266</f>
        <v>12568.199999999999</v>
      </c>
      <c r="T266" s="125">
        <f t="shared" si="39"/>
        <v>12568.2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IF(Valores!$C$98*B266&gt;Valores!$C$97,Valores!$C$97,Valores!$C$98*B266)</f>
        <v>38368.200000000004</v>
      </c>
      <c r="AA266" s="125">
        <f>IF((Valores!$C$28)*B266&gt;Valores!$F$28,Valores!$F$28,(Valores!$C$28)*B266)</f>
        <v>987.4</v>
      </c>
      <c r="AB266" s="214">
        <v>0</v>
      </c>
      <c r="AC266" s="125">
        <f t="shared" si="48"/>
        <v>0</v>
      </c>
      <c r="AD266" s="125">
        <f>IF(Valores!$C$29*B266&gt;Valores!$F$29,Valores!$F$29,Valores!$C$29*B266)</f>
        <v>822.2</v>
      </c>
      <c r="AE266" s="192">
        <v>94</v>
      </c>
      <c r="AF266" s="125">
        <f>ROUND(AE266*Valores!$C$2,2)</f>
        <v>5538.51</v>
      </c>
      <c r="AG266" s="125">
        <f>SUM(F266,H266,J266,L266,M266,N266,O266,P266,Q266,R266,T266,U266,V266,X266,Y266,Z266,AA266,AC266,AD266,AF266,AH266)*Valores!$C$69</f>
        <v>37792.31730000001</v>
      </c>
      <c r="AH266" s="125">
        <f>IF($F$4="NO",IF(Valores!$D$63*'Escala Docente'!B266&gt;Valores!$F$63,Valores!$F$63,Valores!$D$63*'Escala Docente'!B266),IF(Valores!$D$63*'Escala Docente'!B266&gt;Valores!$F$63,Valores!$F$63,Valores!$D$63*'Escala Docente'!B266)/2)+0.04</f>
        <v>18777.64</v>
      </c>
      <c r="AI266" s="125">
        <f t="shared" si="41"/>
        <v>330756.01730000007</v>
      </c>
      <c r="AJ266" s="125">
        <f>IF(Valores!$C$32*B266&gt;Valores!$F$32,Valores!$F$32,Valores!$C$32*B266)</f>
        <v>0</v>
      </c>
      <c r="AK266" s="125">
        <f>IF(Valores!$C$91*B266&gt;Valores!$C$90,Valores!$C$90,Valores!$C$91*B266)</f>
        <v>0</v>
      </c>
      <c r="AL266" s="125">
        <f>IF(Valores!C$39*B266&gt;Valores!F$38,Valores!F$38,Valores!C$39*B266)</f>
        <v>0</v>
      </c>
      <c r="AM266" s="125">
        <f>IF($F$3="NO",0,IF(Valores!$C$62*B266&gt;Valores!$F$62,Valores!$F$62,Valores!$C$62*B266))</f>
        <v>0</v>
      </c>
      <c r="AN266" s="125">
        <f t="shared" si="49"/>
        <v>0</v>
      </c>
      <c r="AO266" s="125">
        <f>AI266*Valores!$C$71</f>
        <v>-36383.16190300001</v>
      </c>
      <c r="AP266" s="125">
        <f>AI266*Valores!$C$72</f>
        <v>-6615.1203460000015</v>
      </c>
      <c r="AQ266" s="125">
        <f>AI266*-Valores!$C$73</f>
        <v>0</v>
      </c>
      <c r="AR266" s="125">
        <f>AI266*Valores!$C$74</f>
        <v>-18191.580951500004</v>
      </c>
      <c r="AS266" s="125">
        <f>Valores!$C$101</f>
        <v>-1270</v>
      </c>
      <c r="AT266" s="125">
        <f>IF($F$5=0,Valores!$C$102,(Valores!$C$102+$F$5*(Valores!$C$102)))</f>
        <v>-3700</v>
      </c>
      <c r="AU266" s="125">
        <f t="shared" si="51"/>
        <v>264596.15409950004</v>
      </c>
      <c r="AV266" s="125">
        <f t="shared" si="46"/>
        <v>-36383.16190300001</v>
      </c>
      <c r="AW266" s="125">
        <f t="shared" si="40"/>
        <v>-6615.1203460000015</v>
      </c>
      <c r="AX266" s="125">
        <f>AI266*Valores!$C$75</f>
        <v>-8930.4124671</v>
      </c>
      <c r="AY266" s="125">
        <f>AI266*Valores!$C$76</f>
        <v>-992.2680519000002</v>
      </c>
      <c r="AZ266" s="125">
        <f t="shared" si="50"/>
        <v>277835.05453200004</v>
      </c>
      <c r="BA266" s="125">
        <f>AI266*Valores!$C$78</f>
        <v>52920.96276800001</v>
      </c>
      <c r="BB266" s="125">
        <f>AI266*Valores!$C$79</f>
        <v>23152.921211000008</v>
      </c>
      <c r="BC266" s="125">
        <f>AI266*Valores!$C$80</f>
        <v>3307.5601730000008</v>
      </c>
      <c r="BD266" s="125">
        <f>AI266*Valores!$C$82</f>
        <v>11576.460605500004</v>
      </c>
      <c r="BE266" s="125">
        <f>AI266*Valores!$C$84</f>
        <v>17860.8249342</v>
      </c>
      <c r="BF266" s="125">
        <f>AI266*Valores!$C$83</f>
        <v>1984.5361038000003</v>
      </c>
      <c r="BG266" s="126"/>
      <c r="BH266" s="126">
        <f t="shared" si="44"/>
        <v>20</v>
      </c>
      <c r="BI266" s="123" t="s">
        <v>4</v>
      </c>
    </row>
    <row r="267" spans="1:61" s="110" customFormat="1" ht="11.25" customHeight="1">
      <c r="A267" s="123" t="s">
        <v>470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5"/>
        <v>1659</v>
      </c>
      <c r="F267" s="125">
        <f>ROUND(E267*Valores!$C$2,2)</f>
        <v>97748.78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33261.71</v>
      </c>
      <c r="N267" s="125">
        <f t="shared" si="47"/>
        <v>0</v>
      </c>
      <c r="O267" s="125">
        <f>Valores!$C$7*B267</f>
        <v>41958.63</v>
      </c>
      <c r="P267" s="125">
        <f>ROUND(IF(B267&lt;15,(Valores!$E$5*B267),Valores!$D$5),2)</f>
        <v>30120.06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22101.45</v>
      </c>
      <c r="S267" s="125">
        <f>Valores!$C$18*B267</f>
        <v>13196.609999999999</v>
      </c>
      <c r="T267" s="125">
        <f aca="true" t="shared" si="52" ref="T267:T299">ROUND(S267*(1+$H$2),2)</f>
        <v>13196.61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IF(Valores!$C$98*B267&gt;Valores!$C$97,Valores!$C$97,Valores!$C$98*B267)</f>
        <v>40286.61</v>
      </c>
      <c r="AA267" s="125">
        <f>IF((Valores!$C$28)*B267&gt;Valores!$F$28,Valores!$F$28,(Valores!$C$28)*B267)</f>
        <v>1036.77</v>
      </c>
      <c r="AB267" s="214">
        <v>0</v>
      </c>
      <c r="AC267" s="125">
        <f t="shared" si="48"/>
        <v>0</v>
      </c>
      <c r="AD267" s="125">
        <f>IF(Valores!$C$29*B267&gt;Valores!$F$29,Valores!$F$29,Valores!$C$29*B267)</f>
        <v>863.31</v>
      </c>
      <c r="AE267" s="192">
        <v>0</v>
      </c>
      <c r="AF267" s="125">
        <f>ROUND(AE267*Valores!$C$2,2)</f>
        <v>0</v>
      </c>
      <c r="AG267" s="125">
        <f>SUM(F267,H267,J267,L267,M267,N267,O267,P267,Q267,R267,T267,U267,V267,X267,Y267,Z267,AA267,AC267,AD267,AF267,AH267)*Valores!$C$69</f>
        <v>38737.469339999996</v>
      </c>
      <c r="AH267" s="125">
        <f>IF($F$4="NO",IF(Valores!$D$63*'Escala Docente'!B267&gt;Valores!$F$63,Valores!$F$63,Valores!$D$63*'Escala Docente'!B267),IF(Valores!$D$63*'Escala Docente'!B267&gt;Valores!$F$63,Valores!$F$63,Valores!$D$63*'Escala Docente'!B267)/2)+0.05</f>
        <v>19716.53</v>
      </c>
      <c r="AI267" s="125">
        <f t="shared" si="41"/>
        <v>339027.92934000003</v>
      </c>
      <c r="AJ267" s="125">
        <f>IF(Valores!$C$32*B267&gt;Valores!$F$32,Valores!$F$32,Valores!$C$32*B267)</f>
        <v>0</v>
      </c>
      <c r="AK267" s="125">
        <f>IF(Valores!$C$91*B267&gt;Valores!$C$90,Valores!$C$90,Valores!$C$91*B267)</f>
        <v>0</v>
      </c>
      <c r="AL267" s="125">
        <f>IF(Valores!C$39*B267&gt;Valores!F$38,Valores!F$38,Valores!C$39*B267)</f>
        <v>0</v>
      </c>
      <c r="AM267" s="125">
        <f>IF($F$3="NO",0,IF(Valores!$C$62*B267&gt;Valores!$F$62,Valores!$F$62,Valores!$C$62*B267))</f>
        <v>0</v>
      </c>
      <c r="AN267" s="125">
        <f t="shared" si="49"/>
        <v>0</v>
      </c>
      <c r="AO267" s="125">
        <f>AI267*Valores!$C$71</f>
        <v>-37293.07222740001</v>
      </c>
      <c r="AP267" s="125">
        <f>AI267*Valores!$C$72</f>
        <v>-6780.558586800001</v>
      </c>
      <c r="AQ267" s="125">
        <f>AI267*-Valores!$C$73</f>
        <v>0</v>
      </c>
      <c r="AR267" s="125">
        <f>AI267*Valores!$C$74</f>
        <v>-18646.536113700004</v>
      </c>
      <c r="AS267" s="125">
        <f>Valores!$C$101</f>
        <v>-1270</v>
      </c>
      <c r="AT267" s="125">
        <f>IF($F$5=0,Valores!$C$102,(Valores!$C$102+$F$5*(Valores!$C$102)))</f>
        <v>-3700</v>
      </c>
      <c r="AU267" s="125">
        <f t="shared" si="51"/>
        <v>271337.76241210004</v>
      </c>
      <c r="AV267" s="125">
        <f t="shared" si="46"/>
        <v>-37293.07222740001</v>
      </c>
      <c r="AW267" s="125">
        <f t="shared" si="40"/>
        <v>-6780.558586800001</v>
      </c>
      <c r="AX267" s="125">
        <f>AI267*Valores!$C$75</f>
        <v>-9153.754092180001</v>
      </c>
      <c r="AY267" s="125">
        <f>AI267*Valores!$C$76</f>
        <v>-1017.0837880200002</v>
      </c>
      <c r="AZ267" s="125">
        <f t="shared" si="50"/>
        <v>284783.46064560005</v>
      </c>
      <c r="BA267" s="125">
        <f>AI267*Valores!$C$78</f>
        <v>54244.468694400006</v>
      </c>
      <c r="BB267" s="125">
        <f>AI267*Valores!$C$79</f>
        <v>23731.955053800004</v>
      </c>
      <c r="BC267" s="125">
        <f>AI267*Valores!$C$80</f>
        <v>3390.2792934000004</v>
      </c>
      <c r="BD267" s="125">
        <f>AI267*Valores!$C$82</f>
        <v>11865.977526900002</v>
      </c>
      <c r="BE267" s="125">
        <f>AI267*Valores!$C$84</f>
        <v>18307.508184360002</v>
      </c>
      <c r="BF267" s="125">
        <f>AI267*Valores!$C$83</f>
        <v>2034.1675760400003</v>
      </c>
      <c r="BG267" s="126"/>
      <c r="BH267" s="126">
        <f t="shared" si="44"/>
        <v>21</v>
      </c>
      <c r="BI267" s="123" t="s">
        <v>4</v>
      </c>
    </row>
    <row r="268" spans="1:61" s="110" customFormat="1" ht="11.25" customHeight="1">
      <c r="A268" s="123" t="s">
        <v>470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5"/>
        <v>1659</v>
      </c>
      <c r="F268" s="125">
        <f>ROUND(E268*Valores!$C$2,2)</f>
        <v>97748.78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33261.71</v>
      </c>
      <c r="N268" s="125">
        <f t="shared" si="47"/>
        <v>0</v>
      </c>
      <c r="O268" s="125">
        <f>Valores!$C$7*B268</f>
        <v>41958.63</v>
      </c>
      <c r="P268" s="125">
        <f>ROUND(IF(B268&lt;15,(Valores!$E$5*B268),Valores!$D$5),2)</f>
        <v>30120.06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22101.45</v>
      </c>
      <c r="S268" s="125">
        <f>Valores!$C$18*B268</f>
        <v>13196.609999999999</v>
      </c>
      <c r="T268" s="125">
        <f t="shared" si="52"/>
        <v>13196.61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IF(Valores!$C$98*B268&gt;Valores!$C$97,Valores!$C$97,Valores!$C$98*B268)</f>
        <v>40286.61</v>
      </c>
      <c r="AA268" s="125">
        <f>IF((Valores!$C$28)*B268&gt;Valores!$F$28,Valores!$F$28,(Valores!$C$28)*B268)</f>
        <v>1036.77</v>
      </c>
      <c r="AB268" s="214">
        <v>0</v>
      </c>
      <c r="AC268" s="125">
        <f t="shared" si="48"/>
        <v>0</v>
      </c>
      <c r="AD268" s="125">
        <f>IF(Valores!$C$29*B268&gt;Valores!$F$29,Valores!$F$29,Valores!$C$29*B268)</f>
        <v>863.31</v>
      </c>
      <c r="AE268" s="192">
        <v>94</v>
      </c>
      <c r="AF268" s="125">
        <f>ROUND(AE268*Valores!$C$2,2)</f>
        <v>5538.51</v>
      </c>
      <c r="AG268" s="125">
        <f>SUM(F268,H268,J268,L268,M268,N268,O268,P268,Q268,R268,T268,U268,V268,X268,Y268,Z268,AA268,AC268,AD268,AF268,AH268)*Valores!$C$69</f>
        <v>39451.93713</v>
      </c>
      <c r="AH268" s="125">
        <f>IF($F$4="NO",IF(Valores!$D$63*'Escala Docente'!B268&gt;Valores!$F$63,Valores!$F$63,Valores!$D$63*'Escala Docente'!B268),IF(Valores!$D$63*'Escala Docente'!B268&gt;Valores!$F$63,Valores!$F$63,Valores!$D$63*'Escala Docente'!B268)/2)+0.05</f>
        <v>19716.53</v>
      </c>
      <c r="AI268" s="125">
        <f t="shared" si="41"/>
        <v>345280.90712999995</v>
      </c>
      <c r="AJ268" s="125">
        <f>IF(Valores!$C$32*B268&gt;Valores!$F$32,Valores!$F$32,Valores!$C$32*B268)</f>
        <v>0</v>
      </c>
      <c r="AK268" s="125">
        <f>IF(Valores!$C$91*B268&gt;Valores!$C$90,Valores!$C$90,Valores!$C$91*B268)</f>
        <v>0</v>
      </c>
      <c r="AL268" s="125">
        <f>IF(Valores!C$39*B268&gt;Valores!F$38,Valores!F$38,Valores!C$39*B268)</f>
        <v>0</v>
      </c>
      <c r="AM268" s="125">
        <f>IF($F$3="NO",0,IF(Valores!$C$62*B268&gt;Valores!$F$62,Valores!$F$62,Valores!$C$62*B268))</f>
        <v>0</v>
      </c>
      <c r="AN268" s="125">
        <f t="shared" si="49"/>
        <v>0</v>
      </c>
      <c r="AO268" s="125">
        <f>AI268*Valores!$C$71</f>
        <v>-37980.899784299996</v>
      </c>
      <c r="AP268" s="125">
        <f>AI268*Valores!$C$72</f>
        <v>-6905.618142599999</v>
      </c>
      <c r="AQ268" s="125">
        <f>AI268*-Valores!$C$73</f>
        <v>0</v>
      </c>
      <c r="AR268" s="125">
        <f>AI268*Valores!$C$74</f>
        <v>-18990.449892149998</v>
      </c>
      <c r="AS268" s="125">
        <f>Valores!$C$101</f>
        <v>-1270</v>
      </c>
      <c r="AT268" s="125">
        <f>IF($F$5=0,Valores!$C$102,(Valores!$C$102+$F$5*(Valores!$C$102)))</f>
        <v>-3700</v>
      </c>
      <c r="AU268" s="125">
        <f t="shared" si="51"/>
        <v>276433.93931095</v>
      </c>
      <c r="AV268" s="125">
        <f t="shared" si="46"/>
        <v>-37980.899784299996</v>
      </c>
      <c r="AW268" s="125">
        <f aca="true" t="shared" si="53" ref="AW268:AW326">AP268</f>
        <v>-6905.618142599999</v>
      </c>
      <c r="AX268" s="125">
        <f>AI268*Valores!$C$75</f>
        <v>-9322.58449251</v>
      </c>
      <c r="AY268" s="125">
        <f>AI268*Valores!$C$76</f>
        <v>-1035.84272139</v>
      </c>
      <c r="AZ268" s="125">
        <f t="shared" si="50"/>
        <v>290035.9619892</v>
      </c>
      <c r="BA268" s="125">
        <f>AI268*Valores!$C$78</f>
        <v>55244.945140799995</v>
      </c>
      <c r="BB268" s="125">
        <f>AI268*Valores!$C$79</f>
        <v>24169.6634991</v>
      </c>
      <c r="BC268" s="125">
        <f>AI268*Valores!$C$80</f>
        <v>3452.8090712999997</v>
      </c>
      <c r="BD268" s="125">
        <f>AI268*Valores!$C$82</f>
        <v>12084.83174955</v>
      </c>
      <c r="BE268" s="125">
        <f>AI268*Valores!$C$84</f>
        <v>18645.16898502</v>
      </c>
      <c r="BF268" s="125">
        <f>AI268*Valores!$C$83</f>
        <v>2071.68544278</v>
      </c>
      <c r="BG268" s="126"/>
      <c r="BH268" s="126">
        <f t="shared" si="44"/>
        <v>21</v>
      </c>
      <c r="BI268" s="123" t="s">
        <v>4</v>
      </c>
    </row>
    <row r="269" spans="1:61" s="110" customFormat="1" ht="11.25" customHeight="1">
      <c r="A269" s="123" t="s">
        <v>470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5"/>
        <v>1738</v>
      </c>
      <c r="F269" s="125">
        <f>ROUND(E269*Valores!$C$2,2)</f>
        <v>102403.48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34845.6</v>
      </c>
      <c r="N269" s="125">
        <f t="shared" si="47"/>
        <v>0</v>
      </c>
      <c r="O269" s="125">
        <f>Valores!$C$7*B269</f>
        <v>43956.659999999996</v>
      </c>
      <c r="P269" s="125">
        <f>ROUND(IF(B269&lt;15,(Valores!$E$5*B269),Valores!$D$5),2)</f>
        <v>30120.06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23153.9</v>
      </c>
      <c r="S269" s="125">
        <f>Valores!$C$18*B269</f>
        <v>13825.019999999999</v>
      </c>
      <c r="T269" s="125">
        <f t="shared" si="52"/>
        <v>13825.02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IF(Valores!$C$98*B269&gt;Valores!$C$97,Valores!$C$97,Valores!$C$98*B269)</f>
        <v>42205.020000000004</v>
      </c>
      <c r="AA269" s="125">
        <f>IF((Valores!$C$28)*B269&gt;Valores!$F$28,Valores!$F$28,(Valores!$C$28)*B269)</f>
        <v>1086.1399999999999</v>
      </c>
      <c r="AB269" s="214">
        <v>0</v>
      </c>
      <c r="AC269" s="125">
        <f t="shared" si="48"/>
        <v>0</v>
      </c>
      <c r="AD269" s="125">
        <f>IF(Valores!$C$29*B269&gt;Valores!$F$29,Valores!$F$29,Valores!$C$29*B269)</f>
        <v>904.42</v>
      </c>
      <c r="AE269" s="192">
        <v>0</v>
      </c>
      <c r="AF269" s="125">
        <f>ROUND(AE269*Valores!$C$2,2)</f>
        <v>0</v>
      </c>
      <c r="AG269" s="125">
        <f>SUM(F269,H269,J269,L269,M269,N269,O269,P269,Q269,R269,T269,U269,V269,X269,Y269,Z269,AA269,AC269,AD269,AF269,AH269)*Valores!$C$69</f>
        <v>40397.08659</v>
      </c>
      <c r="AH269" s="125">
        <f>IF($F$4="NO",IF(Valores!$D$63*'Escala Docente'!B269&gt;Valores!$F$63,Valores!$F$63,Valores!$D$63*'Escala Docente'!B269),IF(Valores!$D$63*'Escala Docente'!B269&gt;Valores!$F$63,Valores!$F$63,Valores!$D$63*'Escala Docente'!B269)/2)+0.05</f>
        <v>20655.41</v>
      </c>
      <c r="AI269" s="125">
        <f t="shared" si="41"/>
        <v>353552.79659</v>
      </c>
      <c r="AJ269" s="125">
        <f>IF(Valores!$C$32*B269&gt;Valores!$F$32,Valores!$F$32,Valores!$C$32*B269)</f>
        <v>0</v>
      </c>
      <c r="AK269" s="125">
        <f>IF(Valores!$C$91*B269&gt;Valores!$C$90,Valores!$C$90,Valores!$C$91*B269)</f>
        <v>0</v>
      </c>
      <c r="AL269" s="125">
        <f>IF(Valores!C$39*B269&gt;Valores!F$38,Valores!F$38,Valores!C$39*B269)</f>
        <v>0</v>
      </c>
      <c r="AM269" s="125">
        <f>IF($F$3="NO",0,IF(Valores!$C$62*B269&gt;Valores!$F$62,Valores!$F$62,Valores!$C$62*B269))</f>
        <v>0</v>
      </c>
      <c r="AN269" s="125">
        <f t="shared" si="49"/>
        <v>0</v>
      </c>
      <c r="AO269" s="125">
        <f>AI269*Valores!$C$71</f>
        <v>-38890.8076249</v>
      </c>
      <c r="AP269" s="125">
        <f>AI269*Valores!$C$72</f>
        <v>-7071.0559318</v>
      </c>
      <c r="AQ269" s="125">
        <f>AI269*-Valores!$C$73</f>
        <v>0</v>
      </c>
      <c r="AR269" s="125">
        <f>AI269*Valores!$C$74</f>
        <v>-19445.40381245</v>
      </c>
      <c r="AS269" s="125">
        <f>Valores!$C$101</f>
        <v>-1270</v>
      </c>
      <c r="AT269" s="125">
        <f>IF($F$5=0,Valores!$C$102,(Valores!$C$102+$F$5*(Valores!$C$102)))</f>
        <v>-3700</v>
      </c>
      <c r="AU269" s="125">
        <f t="shared" si="51"/>
        <v>283175.52922085</v>
      </c>
      <c r="AV269" s="125">
        <f t="shared" si="46"/>
        <v>-38890.8076249</v>
      </c>
      <c r="AW269" s="125">
        <f t="shared" si="53"/>
        <v>-7071.0559318</v>
      </c>
      <c r="AX269" s="125">
        <f>AI269*Valores!$C$75</f>
        <v>-9545.92550793</v>
      </c>
      <c r="AY269" s="125">
        <f>AI269*Valores!$C$76</f>
        <v>-1060.65838977</v>
      </c>
      <c r="AZ269" s="125">
        <f t="shared" si="50"/>
        <v>296984.3491356</v>
      </c>
      <c r="BA269" s="125">
        <f>AI269*Valores!$C$78</f>
        <v>56568.4474544</v>
      </c>
      <c r="BB269" s="125">
        <f>AI269*Valores!$C$79</f>
        <v>24748.6957613</v>
      </c>
      <c r="BC269" s="125">
        <f>AI269*Valores!$C$80</f>
        <v>3535.5279659</v>
      </c>
      <c r="BD269" s="125">
        <f>AI269*Valores!$C$82</f>
        <v>12374.34788065</v>
      </c>
      <c r="BE269" s="125">
        <f>AI269*Valores!$C$84</f>
        <v>19091.85101586</v>
      </c>
      <c r="BF269" s="125">
        <f>AI269*Valores!$C$83</f>
        <v>2121.31677954</v>
      </c>
      <c r="BG269" s="126"/>
      <c r="BH269" s="126">
        <f t="shared" si="44"/>
        <v>22</v>
      </c>
      <c r="BI269" s="123" t="s">
        <v>4</v>
      </c>
    </row>
    <row r="270" spans="1:61" s="110" customFormat="1" ht="11.25" customHeight="1">
      <c r="A270" s="123" t="s">
        <v>470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5"/>
        <v>1738</v>
      </c>
      <c r="F270" s="125">
        <f>ROUND(E270*Valores!$C$2,2)</f>
        <v>102403.48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34845.6</v>
      </c>
      <c r="N270" s="125">
        <f t="shared" si="47"/>
        <v>0</v>
      </c>
      <c r="O270" s="125">
        <f>Valores!$C$7*B270</f>
        <v>43956.659999999996</v>
      </c>
      <c r="P270" s="125">
        <f>ROUND(IF(B270&lt;15,(Valores!$E$5*B270),Valores!$D$5),2)</f>
        <v>30120.06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23153.9</v>
      </c>
      <c r="S270" s="125">
        <f>Valores!$C$18*B270</f>
        <v>13825.019999999999</v>
      </c>
      <c r="T270" s="125">
        <f t="shared" si="52"/>
        <v>13825.02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IF(Valores!$C$98*B270&gt;Valores!$C$97,Valores!$C$97,Valores!$C$98*B270)</f>
        <v>42205.020000000004</v>
      </c>
      <c r="AA270" s="125">
        <f>IF((Valores!$C$28)*B270&gt;Valores!$F$28,Valores!$F$28,(Valores!$C$28)*B270)</f>
        <v>1086.1399999999999</v>
      </c>
      <c r="AB270" s="214">
        <v>0</v>
      </c>
      <c r="AC270" s="125">
        <f t="shared" si="48"/>
        <v>0</v>
      </c>
      <c r="AD270" s="125">
        <f>IF(Valores!$C$29*B270&gt;Valores!$F$29,Valores!$F$29,Valores!$C$29*B270)</f>
        <v>904.42</v>
      </c>
      <c r="AE270" s="192">
        <v>94</v>
      </c>
      <c r="AF270" s="125">
        <f>ROUND(AE270*Valores!$C$2,2)</f>
        <v>5538.51</v>
      </c>
      <c r="AG270" s="125">
        <f>SUM(F270,H270,J270,L270,M270,N270,O270,P270,Q270,R270,T270,U270,V270,X270,Y270,Z270,AA270,AC270,AD270,AF270,AH270)*Valores!$C$69</f>
        <v>41111.554379999994</v>
      </c>
      <c r="AH270" s="125">
        <f>IF($F$4="NO",IF(Valores!$D$63*'Escala Docente'!B270&gt;Valores!$F$63,Valores!$F$63,Valores!$D$63*'Escala Docente'!B270),IF(Valores!$D$63*'Escala Docente'!B270&gt;Valores!$F$63,Valores!$F$63,Valores!$D$63*'Escala Docente'!B270)/2)+0.05</f>
        <v>20655.41</v>
      </c>
      <c r="AI270" s="125">
        <f t="shared" si="41"/>
        <v>359805.77437999996</v>
      </c>
      <c r="AJ270" s="125">
        <f>IF(Valores!$C$32*B270&gt;Valores!$F$32,Valores!$F$32,Valores!$C$32*B270)</f>
        <v>0</v>
      </c>
      <c r="AK270" s="125">
        <f>IF(Valores!$C$91*B270&gt;Valores!$C$90,Valores!$C$90,Valores!$C$91*B270)</f>
        <v>0</v>
      </c>
      <c r="AL270" s="125">
        <f>IF(Valores!C$39*B270&gt;Valores!F$38,Valores!F$38,Valores!C$39*B270)</f>
        <v>0</v>
      </c>
      <c r="AM270" s="125">
        <f>IF($F$3="NO",0,IF(Valores!$C$62*B270&gt;Valores!$F$62,Valores!$F$62,Valores!$C$62*B270))</f>
        <v>0</v>
      </c>
      <c r="AN270" s="125">
        <f t="shared" si="49"/>
        <v>0</v>
      </c>
      <c r="AO270" s="125">
        <f>AI270*Valores!$C$71</f>
        <v>-39578.6351818</v>
      </c>
      <c r="AP270" s="125">
        <f>AI270*Valores!$C$72</f>
        <v>-7196.115487599999</v>
      </c>
      <c r="AQ270" s="125">
        <f>AI270*-Valores!$C$73</f>
        <v>0</v>
      </c>
      <c r="AR270" s="125">
        <f>AI270*Valores!$C$74</f>
        <v>-19789.3175909</v>
      </c>
      <c r="AS270" s="125">
        <f>Valores!$C$101</f>
        <v>-1270</v>
      </c>
      <c r="AT270" s="125">
        <f>IF($F$5=0,Valores!$C$102,(Valores!$C$102+$F$5*(Valores!$C$102)))</f>
        <v>-3700</v>
      </c>
      <c r="AU270" s="125">
        <f t="shared" si="51"/>
        <v>288271.7061197</v>
      </c>
      <c r="AV270" s="125">
        <f t="shared" si="46"/>
        <v>-39578.6351818</v>
      </c>
      <c r="AW270" s="125">
        <f t="shared" si="53"/>
        <v>-7196.115487599999</v>
      </c>
      <c r="AX270" s="125">
        <f>AI270*Valores!$C$75</f>
        <v>-9714.755908259998</v>
      </c>
      <c r="AY270" s="125">
        <f>AI270*Valores!$C$76</f>
        <v>-1079.41732314</v>
      </c>
      <c r="AZ270" s="125">
        <f t="shared" si="50"/>
        <v>302236.85047919996</v>
      </c>
      <c r="BA270" s="125">
        <f>AI270*Valores!$C$78</f>
        <v>57568.92390079999</v>
      </c>
      <c r="BB270" s="125">
        <f>AI270*Valores!$C$79</f>
        <v>25186.4042066</v>
      </c>
      <c r="BC270" s="125">
        <f>AI270*Valores!$C$80</f>
        <v>3598.0577437999996</v>
      </c>
      <c r="BD270" s="125">
        <f>AI270*Valores!$C$82</f>
        <v>12593.2021033</v>
      </c>
      <c r="BE270" s="125">
        <f>AI270*Valores!$C$84</f>
        <v>19429.511816519997</v>
      </c>
      <c r="BF270" s="125">
        <f>AI270*Valores!$C$83</f>
        <v>2158.83464628</v>
      </c>
      <c r="BG270" s="126"/>
      <c r="BH270" s="126">
        <f t="shared" si="44"/>
        <v>22</v>
      </c>
      <c r="BI270" s="123" t="s">
        <v>4</v>
      </c>
    </row>
    <row r="271" spans="1:61" s="110" customFormat="1" ht="11.25" customHeight="1">
      <c r="A271" s="123" t="s">
        <v>470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5"/>
        <v>1817</v>
      </c>
      <c r="F271" s="125">
        <f>ROUND(E271*Valores!$C$2,2)</f>
        <v>107058.19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36429.49</v>
      </c>
      <c r="N271" s="125">
        <f t="shared" si="47"/>
        <v>0</v>
      </c>
      <c r="O271" s="125">
        <f>Valores!$C$7*B271</f>
        <v>45954.69</v>
      </c>
      <c r="P271" s="125">
        <f>ROUND(IF(B271&lt;15,(Valores!$E$5*B271),Valores!$D$5),2)</f>
        <v>30120.06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24206.350000000002</v>
      </c>
      <c r="S271" s="125">
        <f>Valores!$C$18*B271</f>
        <v>14453.429999999998</v>
      </c>
      <c r="T271" s="125">
        <f t="shared" si="52"/>
        <v>14453.43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IF(Valores!$C$98*B271&gt;Valores!$C$97,Valores!$C$97,Valores!$C$98*B271)</f>
        <v>44123.43</v>
      </c>
      <c r="AA271" s="125">
        <f>IF((Valores!$C$28)*B271&gt;Valores!$F$28,Valores!$F$28,(Valores!$C$28)*B271)</f>
        <v>1135.51</v>
      </c>
      <c r="AB271" s="214">
        <v>0</v>
      </c>
      <c r="AC271" s="125">
        <f t="shared" si="48"/>
        <v>0</v>
      </c>
      <c r="AD271" s="125">
        <f>IF(Valores!$C$29*B271&gt;Valores!$F$29,Valores!$F$29,Valores!$C$29*B271)</f>
        <v>945.53</v>
      </c>
      <c r="AE271" s="192">
        <v>0</v>
      </c>
      <c r="AF271" s="125">
        <f>ROUND(AE271*Valores!$C$2,2)</f>
        <v>0</v>
      </c>
      <c r="AG271" s="125">
        <f>SUM(F271,H271,J271,L271,M271,N271,O271,P271,Q271,R271,T271,U271,V271,X271,Y271,Z271,AA271,AC271,AD271,AF271,AH271)*Valores!$C$69</f>
        <v>42056.70513</v>
      </c>
      <c r="AH271" s="125">
        <f>IF($F$4="NO",IF(Valores!$D$63*'Escala Docente'!B271&gt;Valores!$F$63,Valores!$F$63,Valores!$D$63*'Escala Docente'!B271),IF(Valores!$D$63*'Escala Docente'!B271&gt;Valores!$F$63,Valores!$F$63,Valores!$D$63*'Escala Docente'!B271)/2)+0.05</f>
        <v>21594.29</v>
      </c>
      <c r="AI271" s="125">
        <f t="shared" si="41"/>
        <v>368077.67513000005</v>
      </c>
      <c r="AJ271" s="125">
        <f>IF(Valores!$C$32*B271&gt;Valores!$F$32,Valores!$F$32,Valores!$C$32*B271)</f>
        <v>0</v>
      </c>
      <c r="AK271" s="125">
        <f>IF(Valores!$C$91*B271&gt;Valores!$C$90,Valores!$C$90,Valores!$C$91*B271)</f>
        <v>0</v>
      </c>
      <c r="AL271" s="125">
        <f>IF(Valores!C$39*B271&gt;Valores!F$38,Valores!F$38,Valores!C$39*B271)</f>
        <v>0</v>
      </c>
      <c r="AM271" s="125">
        <f>IF($F$3="NO",0,IF(Valores!$C$62*B271&gt;Valores!$F$62,Valores!$F$62,Valores!$C$62*B271))</f>
        <v>0</v>
      </c>
      <c r="AN271" s="125">
        <f t="shared" si="49"/>
        <v>0</v>
      </c>
      <c r="AO271" s="125">
        <f>AI271*Valores!$C$71</f>
        <v>-40488.544264300006</v>
      </c>
      <c r="AP271" s="125">
        <f>AI271*Valores!$C$72</f>
        <v>-7361.553502600001</v>
      </c>
      <c r="AQ271" s="125">
        <f>AI271*-Valores!$C$73</f>
        <v>0</v>
      </c>
      <c r="AR271" s="125">
        <f>AI271*Valores!$C$74</f>
        <v>-20244.272132150003</v>
      </c>
      <c r="AS271" s="125">
        <f>Valores!$C$101</f>
        <v>-1270</v>
      </c>
      <c r="AT271" s="125">
        <f>IF($F$5=0,Valores!$C$102,(Valores!$C$102+$F$5*(Valores!$C$102)))</f>
        <v>-3700</v>
      </c>
      <c r="AU271" s="125">
        <f t="shared" si="51"/>
        <v>295013.30523095</v>
      </c>
      <c r="AV271" s="125">
        <f t="shared" si="46"/>
        <v>-40488.544264300006</v>
      </c>
      <c r="AW271" s="125">
        <f t="shared" si="53"/>
        <v>-7361.553502600001</v>
      </c>
      <c r="AX271" s="125">
        <f>AI271*Valores!$C$75</f>
        <v>-9938.097228510002</v>
      </c>
      <c r="AY271" s="125">
        <f>AI271*Valores!$C$76</f>
        <v>-1104.2330253900002</v>
      </c>
      <c r="AZ271" s="125">
        <f t="shared" si="50"/>
        <v>309185.24710920005</v>
      </c>
      <c r="BA271" s="125">
        <f>AI271*Valores!$C$78</f>
        <v>58892.428020800005</v>
      </c>
      <c r="BB271" s="125">
        <f>AI271*Valores!$C$79</f>
        <v>25765.437259100006</v>
      </c>
      <c r="BC271" s="125">
        <f>AI271*Valores!$C$80</f>
        <v>3680.7767513000003</v>
      </c>
      <c r="BD271" s="125">
        <f>AI271*Valores!$C$82</f>
        <v>12882.718629550003</v>
      </c>
      <c r="BE271" s="125">
        <f>AI271*Valores!$C$84</f>
        <v>19876.194457020003</v>
      </c>
      <c r="BF271" s="125">
        <f>AI271*Valores!$C$83</f>
        <v>2208.4660507800004</v>
      </c>
      <c r="BG271" s="126"/>
      <c r="BH271" s="126">
        <f t="shared" si="44"/>
        <v>23</v>
      </c>
      <c r="BI271" s="123" t="s">
        <v>8</v>
      </c>
    </row>
    <row r="272" spans="1:61" s="110" customFormat="1" ht="11.25" customHeight="1">
      <c r="A272" s="123" t="s">
        <v>470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5"/>
        <v>1817</v>
      </c>
      <c r="F272" s="125">
        <f>ROUND(E272*Valores!$C$2,2)</f>
        <v>107058.19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36429.49</v>
      </c>
      <c r="N272" s="125">
        <f t="shared" si="47"/>
        <v>0</v>
      </c>
      <c r="O272" s="125">
        <f>Valores!$C$7*B272</f>
        <v>45954.69</v>
      </c>
      <c r="P272" s="125">
        <f>ROUND(IF(B272&lt;15,(Valores!$E$5*B272),Valores!$D$5),2)</f>
        <v>30120.06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24206.350000000002</v>
      </c>
      <c r="S272" s="125">
        <f>Valores!$C$18*B272</f>
        <v>14453.429999999998</v>
      </c>
      <c r="T272" s="125">
        <f t="shared" si="52"/>
        <v>14453.43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IF(Valores!$C$98*B272&gt;Valores!$C$97,Valores!$C$97,Valores!$C$98*B272)</f>
        <v>44123.43</v>
      </c>
      <c r="AA272" s="125">
        <f>IF((Valores!$C$28)*B272&gt;Valores!$F$28,Valores!$F$28,(Valores!$C$28)*B272)</f>
        <v>1135.51</v>
      </c>
      <c r="AB272" s="214">
        <v>0</v>
      </c>
      <c r="AC272" s="125">
        <f t="shared" si="48"/>
        <v>0</v>
      </c>
      <c r="AD272" s="125">
        <f>IF(Valores!$C$29*B272&gt;Valores!$F$29,Valores!$F$29,Valores!$C$29*B272)</f>
        <v>945.53</v>
      </c>
      <c r="AE272" s="192">
        <v>94</v>
      </c>
      <c r="AF272" s="125">
        <f>ROUND(AE272*Valores!$C$2,2)</f>
        <v>5538.51</v>
      </c>
      <c r="AG272" s="125">
        <f>SUM(F272,H272,J272,L272,M272,N272,O272,P272,Q272,R272,T272,U272,V272,X272,Y272,Z272,AA272,AC272,AD272,AF272,AH272)*Valores!$C$69</f>
        <v>42771.172920000005</v>
      </c>
      <c r="AH272" s="125">
        <f>IF($F$4="NO",IF(Valores!$D$63*'Escala Docente'!B272&gt;Valores!$F$63,Valores!$F$63,Valores!$D$63*'Escala Docente'!B272),IF(Valores!$D$63*'Escala Docente'!B272&gt;Valores!$F$63,Valores!$F$63,Valores!$D$63*'Escala Docente'!B272)/2)+0.05</f>
        <v>21594.29</v>
      </c>
      <c r="AI272" s="125">
        <f t="shared" si="41"/>
        <v>374330.65292</v>
      </c>
      <c r="AJ272" s="125">
        <f>IF(Valores!$C$32*B272&gt;Valores!$F$32,Valores!$F$32,Valores!$C$32*B272)</f>
        <v>0</v>
      </c>
      <c r="AK272" s="125">
        <f>IF(Valores!$C$91*B272&gt;Valores!$C$90,Valores!$C$90,Valores!$C$91*B272)</f>
        <v>0</v>
      </c>
      <c r="AL272" s="125">
        <f>IF(Valores!C$39*B272&gt;Valores!F$38,Valores!F$38,Valores!C$39*B272)</f>
        <v>0</v>
      </c>
      <c r="AM272" s="125">
        <f>IF($F$3="NO",0,IF(Valores!$C$62*B272&gt;Valores!$F$62,Valores!$F$62,Valores!$C$62*B272))</f>
        <v>0</v>
      </c>
      <c r="AN272" s="125">
        <f t="shared" si="49"/>
        <v>0</v>
      </c>
      <c r="AO272" s="125">
        <f>AI272*Valores!$C$71</f>
        <v>-41176.3718212</v>
      </c>
      <c r="AP272" s="125">
        <f>AI272*Valores!$C$72</f>
        <v>-7486.6130584</v>
      </c>
      <c r="AQ272" s="125">
        <f>AI272*-Valores!$C$73</f>
        <v>0</v>
      </c>
      <c r="AR272" s="125">
        <f>AI272*Valores!$C$74</f>
        <v>-20588.1859106</v>
      </c>
      <c r="AS272" s="125">
        <f>Valores!$C$101</f>
        <v>-1270</v>
      </c>
      <c r="AT272" s="125">
        <f>IF($F$5=0,Valores!$C$102,(Valores!$C$102+$F$5*(Valores!$C$102)))</f>
        <v>-3700</v>
      </c>
      <c r="AU272" s="125">
        <f t="shared" si="51"/>
        <v>300109.4821298</v>
      </c>
      <c r="AV272" s="125">
        <f t="shared" si="46"/>
        <v>-41176.3718212</v>
      </c>
      <c r="AW272" s="125">
        <f t="shared" si="53"/>
        <v>-7486.6130584</v>
      </c>
      <c r="AX272" s="125">
        <f>AI272*Valores!$C$75</f>
        <v>-10106.92762884</v>
      </c>
      <c r="AY272" s="125">
        <f>AI272*Valores!$C$76</f>
        <v>-1122.99195876</v>
      </c>
      <c r="AZ272" s="125">
        <f t="shared" si="50"/>
        <v>314437.74845280004</v>
      </c>
      <c r="BA272" s="125">
        <f>AI272*Valores!$C$78</f>
        <v>59892.9044672</v>
      </c>
      <c r="BB272" s="125">
        <f>AI272*Valores!$C$79</f>
        <v>26203.145704400005</v>
      </c>
      <c r="BC272" s="125">
        <f>AI272*Valores!$C$80</f>
        <v>3743.3065292</v>
      </c>
      <c r="BD272" s="125">
        <f>AI272*Valores!$C$82</f>
        <v>13101.572852200003</v>
      </c>
      <c r="BE272" s="125">
        <f>AI272*Valores!$C$84</f>
        <v>20213.85525768</v>
      </c>
      <c r="BF272" s="125">
        <f>AI272*Valores!$C$83</f>
        <v>2245.98391752</v>
      </c>
      <c r="BG272" s="126"/>
      <c r="BH272" s="126">
        <f t="shared" si="44"/>
        <v>23</v>
      </c>
      <c r="BI272" s="123" t="s">
        <v>8</v>
      </c>
    </row>
    <row r="273" spans="1:61" s="110" customFormat="1" ht="11.25" customHeight="1">
      <c r="A273" s="123" t="s">
        <v>470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5"/>
        <v>1896</v>
      </c>
      <c r="F273" s="125">
        <f>ROUND(E273*Valores!$C$2,2)</f>
        <v>111712.89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38013.38</v>
      </c>
      <c r="N273" s="125">
        <f t="shared" si="47"/>
        <v>0</v>
      </c>
      <c r="O273" s="125">
        <f>Valores!$C$7*B273</f>
        <v>47952.72</v>
      </c>
      <c r="P273" s="125">
        <f>ROUND(IF(B273&lt;15,(Valores!$E$5*B273),Valores!$D$5),2)</f>
        <v>30120.06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25258.800000000003</v>
      </c>
      <c r="S273" s="125">
        <f>Valores!$C$18*B273</f>
        <v>15081.84</v>
      </c>
      <c r="T273" s="125">
        <f t="shared" si="52"/>
        <v>15081.84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IF(Valores!$C$98*B273&gt;Valores!$C$97,Valores!$C$97,Valores!$C$98*B273)</f>
        <v>46041.840000000004</v>
      </c>
      <c r="AA273" s="125">
        <f>IF((Valores!$C$28)*B273&gt;Valores!$F$28,Valores!$F$28,(Valores!$C$28)*B273)</f>
        <v>1184.8799999999999</v>
      </c>
      <c r="AB273" s="214">
        <v>0</v>
      </c>
      <c r="AC273" s="125">
        <f t="shared" si="48"/>
        <v>0</v>
      </c>
      <c r="AD273" s="125">
        <f>IF(Valores!$C$29*B273&gt;Valores!$F$29,Valores!$F$29,Valores!$C$29*B273)</f>
        <v>986.64</v>
      </c>
      <c r="AE273" s="192">
        <v>0</v>
      </c>
      <c r="AF273" s="125">
        <f>ROUND(AE273*Valores!$C$2,2)</f>
        <v>0</v>
      </c>
      <c r="AG273" s="125">
        <f>SUM(F273,H273,J273,L273,M273,N273,O273,P273,Q273,R273,T273,U273,V273,X273,Y273,Z273,AA273,AC273,AD273,AF273,AH273)*Valores!$C$69</f>
        <v>43716.322380000005</v>
      </c>
      <c r="AH273" s="125">
        <f>IF($F$4="NO",IF(Valores!$D$63*'Escala Docente'!B273&gt;Valores!$F$63,Valores!$F$63,Valores!$D$63*'Escala Docente'!B273),IF(Valores!$D$63*'Escala Docente'!B273&gt;Valores!$F$63,Valores!$F$63,Valores!$D$63*'Escala Docente'!B273)/2)+0.05</f>
        <v>22533.17</v>
      </c>
      <c r="AI273" s="125">
        <f t="shared" si="41"/>
        <v>382602.54238000006</v>
      </c>
      <c r="AJ273" s="125">
        <f>IF(Valores!$C$32*B273&gt;Valores!$F$32,Valores!$F$32,Valores!$C$32*B273)</f>
        <v>0</v>
      </c>
      <c r="AK273" s="125">
        <f>IF(Valores!$C$91*B273&gt;Valores!$C$90,Valores!$C$90,Valores!$C$91*B273)</f>
        <v>0</v>
      </c>
      <c r="AL273" s="125">
        <f>IF(Valores!C$39*B273&gt;Valores!F$38,Valores!F$38,Valores!C$39*B273)</f>
        <v>0</v>
      </c>
      <c r="AM273" s="125">
        <f>IF($F$3="NO",0,IF(Valores!$C$62*B273&gt;Valores!$F$62,Valores!$F$62,Valores!$C$62*B273))</f>
        <v>0</v>
      </c>
      <c r="AN273" s="125">
        <f t="shared" si="49"/>
        <v>0</v>
      </c>
      <c r="AO273" s="125">
        <f>AI273*Valores!$C$71</f>
        <v>-42086.27966180001</v>
      </c>
      <c r="AP273" s="125">
        <f>AI273*Valores!$C$72</f>
        <v>-7652.050847600001</v>
      </c>
      <c r="AQ273" s="125">
        <f>AI273*-Valores!$C$73</f>
        <v>0</v>
      </c>
      <c r="AR273" s="125">
        <f>AI273*Valores!$C$74</f>
        <v>-21043.139830900003</v>
      </c>
      <c r="AS273" s="125">
        <f>Valores!$C$101</f>
        <v>-1270</v>
      </c>
      <c r="AT273" s="125">
        <f>IF($F$5=0,Valores!$C$102,(Valores!$C$102+$F$5*(Valores!$C$102)))</f>
        <v>-3700</v>
      </c>
      <c r="AU273" s="125">
        <f t="shared" si="51"/>
        <v>306851.07203970006</v>
      </c>
      <c r="AV273" s="125">
        <f t="shared" si="46"/>
        <v>-42086.27966180001</v>
      </c>
      <c r="AW273" s="125">
        <f t="shared" si="53"/>
        <v>-7652.050847600001</v>
      </c>
      <c r="AX273" s="125">
        <f>AI273*Valores!$C$75</f>
        <v>-10330.26864426</v>
      </c>
      <c r="AY273" s="125">
        <f>AI273*Valores!$C$76</f>
        <v>-1147.8076271400002</v>
      </c>
      <c r="AZ273" s="125">
        <f t="shared" si="50"/>
        <v>321386.13559920003</v>
      </c>
      <c r="BA273" s="125">
        <f>AI273*Valores!$C$78</f>
        <v>61216.40678080001</v>
      </c>
      <c r="BB273" s="125">
        <f>AI273*Valores!$C$79</f>
        <v>26782.177966600007</v>
      </c>
      <c r="BC273" s="125">
        <f>AI273*Valores!$C$80</f>
        <v>3826.0254238000007</v>
      </c>
      <c r="BD273" s="125">
        <f>AI273*Valores!$C$82</f>
        <v>13391.088983300004</v>
      </c>
      <c r="BE273" s="125">
        <f>AI273*Valores!$C$84</f>
        <v>20660.53728852</v>
      </c>
      <c r="BF273" s="125">
        <f>AI273*Valores!$C$83</f>
        <v>2295.6152542800005</v>
      </c>
      <c r="BG273" s="126"/>
      <c r="BH273" s="126">
        <f t="shared" si="44"/>
        <v>24</v>
      </c>
      <c r="BI273" s="123" t="s">
        <v>8</v>
      </c>
    </row>
    <row r="274" spans="1:61" s="110" customFormat="1" ht="11.25" customHeight="1">
      <c r="A274" s="123" t="s">
        <v>470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5"/>
        <v>1896</v>
      </c>
      <c r="F274" s="125">
        <f>ROUND(E274*Valores!$C$2,2)</f>
        <v>111712.89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38013.38</v>
      </c>
      <c r="N274" s="125">
        <f t="shared" si="47"/>
        <v>0</v>
      </c>
      <c r="O274" s="125">
        <f>Valores!$C$7*B274</f>
        <v>47952.72</v>
      </c>
      <c r="P274" s="125">
        <f>ROUND(IF(B274&lt;15,(Valores!$E$5*B274),Valores!$D$5),2)</f>
        <v>30120.06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25258.800000000003</v>
      </c>
      <c r="S274" s="125">
        <f>Valores!$C$18*B274</f>
        <v>15081.84</v>
      </c>
      <c r="T274" s="125">
        <f t="shared" si="52"/>
        <v>15081.84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IF(Valores!$C$98*B274&gt;Valores!$C$97,Valores!$C$97,Valores!$C$98*B274)</f>
        <v>46041.840000000004</v>
      </c>
      <c r="AA274" s="125">
        <f>IF((Valores!$C$28)*B274&gt;Valores!$F$28,Valores!$F$28,(Valores!$C$28)*B274)</f>
        <v>1184.8799999999999</v>
      </c>
      <c r="AB274" s="214">
        <v>0</v>
      </c>
      <c r="AC274" s="125">
        <f t="shared" si="48"/>
        <v>0</v>
      </c>
      <c r="AD274" s="125">
        <f>IF(Valores!$C$29*B274&gt;Valores!$F$29,Valores!$F$29,Valores!$C$29*B274)</f>
        <v>986.64</v>
      </c>
      <c r="AE274" s="192">
        <v>94</v>
      </c>
      <c r="AF274" s="125">
        <f>ROUND(AE274*Valores!$C$2,2)</f>
        <v>5538.51</v>
      </c>
      <c r="AG274" s="125">
        <f>SUM(F274,H274,J274,L274,M274,N274,O274,P274,Q274,R274,T274,U274,V274,X274,Y274,Z274,AA274,AC274,AD274,AF274,AH274)*Valores!$C$69</f>
        <v>44430.79017000001</v>
      </c>
      <c r="AH274" s="125">
        <f>IF($F$4="NO",IF(Valores!$D$63*'Escala Docente'!B274&gt;Valores!$F$63,Valores!$F$63,Valores!$D$63*'Escala Docente'!B274),IF(Valores!$D$63*'Escala Docente'!B274&gt;Valores!$F$63,Valores!$F$63,Valores!$D$63*'Escala Docente'!B274)/2)+0.05</f>
        <v>22533.17</v>
      </c>
      <c r="AI274" s="125">
        <f t="shared" si="41"/>
        <v>388855.52017000003</v>
      </c>
      <c r="AJ274" s="125">
        <f>IF(Valores!$C$32*B274&gt;Valores!$F$32,Valores!$F$32,Valores!$C$32*B274)</f>
        <v>0</v>
      </c>
      <c r="AK274" s="125">
        <f>IF(Valores!$C$91*B274&gt;Valores!$C$90,Valores!$C$90,Valores!$C$91*B274)</f>
        <v>0</v>
      </c>
      <c r="AL274" s="125">
        <f>IF(Valores!C$39*B274&gt;Valores!F$38,Valores!F$38,Valores!C$39*B274)</f>
        <v>0</v>
      </c>
      <c r="AM274" s="125">
        <f>IF($F$3="NO",0,IF(Valores!$C$62*B274&gt;Valores!$F$62,Valores!$F$62,Valores!$C$62*B274))</f>
        <v>0</v>
      </c>
      <c r="AN274" s="125">
        <f t="shared" si="49"/>
        <v>0</v>
      </c>
      <c r="AO274" s="125">
        <f>AI274*Valores!$C$71</f>
        <v>-42774.1072187</v>
      </c>
      <c r="AP274" s="125">
        <f>AI274*Valores!$C$72</f>
        <v>-7777.110403400001</v>
      </c>
      <c r="AQ274" s="125">
        <f>AI274*-Valores!$C$73</f>
        <v>0</v>
      </c>
      <c r="AR274" s="125">
        <f>AI274*Valores!$C$74</f>
        <v>-21387.05360935</v>
      </c>
      <c r="AS274" s="125">
        <f>Valores!$C$101</f>
        <v>-1270</v>
      </c>
      <c r="AT274" s="125">
        <f>IF($F$5=0,Valores!$C$102,(Valores!$C$102+$F$5*(Valores!$C$102)))</f>
        <v>-3700</v>
      </c>
      <c r="AU274" s="125">
        <f t="shared" si="51"/>
        <v>311947.24893855</v>
      </c>
      <c r="AV274" s="125">
        <f t="shared" si="46"/>
        <v>-42774.1072187</v>
      </c>
      <c r="AW274" s="125">
        <f t="shared" si="53"/>
        <v>-7777.110403400001</v>
      </c>
      <c r="AX274" s="125">
        <f>AI274*Valores!$C$75</f>
        <v>-10499.09904459</v>
      </c>
      <c r="AY274" s="125">
        <f>AI274*Valores!$C$76</f>
        <v>-1166.56656051</v>
      </c>
      <c r="AZ274" s="125">
        <f t="shared" si="50"/>
        <v>326638.6369428</v>
      </c>
      <c r="BA274" s="125">
        <f>AI274*Valores!$C$78</f>
        <v>62216.88322720001</v>
      </c>
      <c r="BB274" s="125">
        <f>AI274*Valores!$C$79</f>
        <v>27219.886411900006</v>
      </c>
      <c r="BC274" s="125">
        <f>AI274*Valores!$C$80</f>
        <v>3888.5552017000005</v>
      </c>
      <c r="BD274" s="125">
        <f>AI274*Valores!$C$82</f>
        <v>13609.943205950003</v>
      </c>
      <c r="BE274" s="125">
        <f>AI274*Valores!$C$84</f>
        <v>20998.19808918</v>
      </c>
      <c r="BF274" s="125">
        <f>AI274*Valores!$C$83</f>
        <v>2333.13312102</v>
      </c>
      <c r="BG274" s="126"/>
      <c r="BH274" s="126">
        <f t="shared" si="44"/>
        <v>24</v>
      </c>
      <c r="BI274" s="123" t="s">
        <v>8</v>
      </c>
    </row>
    <row r="275" spans="1:61" s="110" customFormat="1" ht="11.25" customHeight="1">
      <c r="A275" s="123" t="s">
        <v>470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5"/>
        <v>1975</v>
      </c>
      <c r="F275" s="125">
        <f>ROUND(E275*Valores!$C$2,2)</f>
        <v>116367.59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39597.27</v>
      </c>
      <c r="N275" s="125">
        <f t="shared" si="47"/>
        <v>0</v>
      </c>
      <c r="O275" s="125">
        <f>Valores!$C$7*B275</f>
        <v>49950.75</v>
      </c>
      <c r="P275" s="125">
        <f>ROUND(IF(B275&lt;15,(Valores!$E$5*B275),Valores!$D$5),2)</f>
        <v>30120.06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26311.25</v>
      </c>
      <c r="S275" s="125">
        <f>Valores!$C$18*B275</f>
        <v>15710.25</v>
      </c>
      <c r="T275" s="125">
        <f t="shared" si="52"/>
        <v>15710.25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IF(Valores!$C$98*B275&gt;Valores!$C$97,Valores!$C$97,Valores!$C$98*B275)</f>
        <v>47960.25</v>
      </c>
      <c r="AA275" s="125">
        <f>IF((Valores!$C$28)*B275&gt;Valores!$F$28,Valores!$F$28,(Valores!$C$28)*B275)</f>
        <v>1234.25</v>
      </c>
      <c r="AB275" s="214">
        <v>0</v>
      </c>
      <c r="AC275" s="125">
        <f t="shared" si="48"/>
        <v>0</v>
      </c>
      <c r="AD275" s="125">
        <f>IF(Valores!$C$29*B275&gt;Valores!$F$29,Valores!$F$29,Valores!$C$29*B275)</f>
        <v>1027.75</v>
      </c>
      <c r="AE275" s="192">
        <v>0</v>
      </c>
      <c r="AF275" s="125">
        <f>ROUND(AE275*Valores!$C$2,2)</f>
        <v>0</v>
      </c>
      <c r="AG275" s="125">
        <f>SUM(F275,H275,J275,L275,M275,N275,O275,P275,Q275,R275,T275,U275,V275,X275,Y275,Z275,AA275,AC275,AD275,AF275,AH275)*Valores!$C$69</f>
        <v>45375.93963</v>
      </c>
      <c r="AH275" s="125">
        <f>IF($F$4="NO",IF(Valores!$D$63*'Escala Docente'!B275&gt;Valores!$F$63,Valores!$F$63,Valores!$D$63*'Escala Docente'!B275),IF(Valores!$D$63*'Escala Docente'!B275&gt;Valores!$F$63,Valores!$F$63,Valores!$D$63*'Escala Docente'!B275)/2)+0.05</f>
        <v>23472.05</v>
      </c>
      <c r="AI275" s="125">
        <f t="shared" si="41"/>
        <v>397127.40962999995</v>
      </c>
      <c r="AJ275" s="125">
        <f>IF(Valores!$C$32*B275&gt;Valores!$F$32,Valores!$F$32,Valores!$C$32*B275)</f>
        <v>0</v>
      </c>
      <c r="AK275" s="125">
        <f>IF(Valores!$C$91*B275&gt;Valores!$C$90,Valores!$C$90,Valores!$C$91*B275)</f>
        <v>0</v>
      </c>
      <c r="AL275" s="125">
        <f>IF(Valores!C$39*B275&gt;Valores!F$38,Valores!F$38,Valores!C$39*B275)</f>
        <v>0</v>
      </c>
      <c r="AM275" s="125">
        <f>IF($F$3="NO",0,IF(Valores!$C$62*B275&gt;Valores!$F$62,Valores!$F$62,Valores!$C$62*B275))</f>
        <v>0</v>
      </c>
      <c r="AN275" s="125">
        <f t="shared" si="49"/>
        <v>0</v>
      </c>
      <c r="AO275" s="125">
        <f>AI275*Valores!$C$71</f>
        <v>-43684.01505929999</v>
      </c>
      <c r="AP275" s="125">
        <f>AI275*Valores!$C$72</f>
        <v>-7942.548192599999</v>
      </c>
      <c r="AQ275" s="125">
        <f>AI275*-Valores!$C$73</f>
        <v>0</v>
      </c>
      <c r="AR275" s="125">
        <f>AI275*Valores!$C$74</f>
        <v>-21842.007529649996</v>
      </c>
      <c r="AS275" s="125">
        <f>Valores!$C$101</f>
        <v>-1270</v>
      </c>
      <c r="AT275" s="125">
        <f>IF($F$5=0,Valores!$C$102,(Valores!$C$102+$F$5*(Valores!$C$102)))</f>
        <v>-3700</v>
      </c>
      <c r="AU275" s="125">
        <f t="shared" si="51"/>
        <v>318688.83884845</v>
      </c>
      <c r="AV275" s="125">
        <f t="shared" si="46"/>
        <v>-43684.01505929999</v>
      </c>
      <c r="AW275" s="125">
        <f t="shared" si="53"/>
        <v>-7942.548192599999</v>
      </c>
      <c r="AX275" s="125">
        <f>AI275*Valores!$C$75</f>
        <v>-10722.440060009998</v>
      </c>
      <c r="AY275" s="125">
        <f>AI275*Valores!$C$76</f>
        <v>-1191.3822288899999</v>
      </c>
      <c r="AZ275" s="125">
        <f t="shared" si="50"/>
        <v>333587.02408919996</v>
      </c>
      <c r="BA275" s="125">
        <f>AI275*Valores!$C$78</f>
        <v>63540.385540799994</v>
      </c>
      <c r="BB275" s="125">
        <f>AI275*Valores!$C$79</f>
        <v>27798.918674099998</v>
      </c>
      <c r="BC275" s="125">
        <f>AI275*Valores!$C$80</f>
        <v>3971.2740962999997</v>
      </c>
      <c r="BD275" s="125">
        <f>AI275*Valores!$C$82</f>
        <v>13899.459337049999</v>
      </c>
      <c r="BE275" s="125">
        <f>AI275*Valores!$C$84</f>
        <v>21444.880120019996</v>
      </c>
      <c r="BF275" s="125">
        <f>AI275*Valores!$C$83</f>
        <v>2382.7644577799997</v>
      </c>
      <c r="BG275" s="126"/>
      <c r="BH275" s="126">
        <f t="shared" si="44"/>
        <v>25</v>
      </c>
      <c r="BI275" s="123" t="s">
        <v>4</v>
      </c>
    </row>
    <row r="276" spans="1:61" s="110" customFormat="1" ht="11.25" customHeight="1">
      <c r="A276" s="123" t="s">
        <v>470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5"/>
        <v>1975</v>
      </c>
      <c r="F276" s="125">
        <f>ROUND(E276*Valores!$C$2,2)</f>
        <v>116367.59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39597.27</v>
      </c>
      <c r="N276" s="125">
        <f t="shared" si="47"/>
        <v>0</v>
      </c>
      <c r="O276" s="125">
        <f>Valores!$C$7*B276</f>
        <v>49950.75</v>
      </c>
      <c r="P276" s="125">
        <f>ROUND(IF(B276&lt;15,(Valores!$E$5*B276),Valores!$D$5),2)</f>
        <v>30120.06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26311.25</v>
      </c>
      <c r="S276" s="125">
        <f>Valores!$C$18*B276</f>
        <v>15710.25</v>
      </c>
      <c r="T276" s="125">
        <f t="shared" si="52"/>
        <v>15710.25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IF(Valores!$C$98*B276&gt;Valores!$C$97,Valores!$C$97,Valores!$C$98*B276)</f>
        <v>47960.25</v>
      </c>
      <c r="AA276" s="125">
        <f>IF((Valores!$C$28)*B276&gt;Valores!$F$28,Valores!$F$28,(Valores!$C$28)*B276)</f>
        <v>1234.25</v>
      </c>
      <c r="AB276" s="214">
        <v>0</v>
      </c>
      <c r="AC276" s="125">
        <f t="shared" si="48"/>
        <v>0</v>
      </c>
      <c r="AD276" s="125">
        <f>IF(Valores!$C$29*B276&gt;Valores!$F$29,Valores!$F$29,Valores!$C$29*B276)</f>
        <v>1027.75</v>
      </c>
      <c r="AE276" s="192">
        <v>94</v>
      </c>
      <c r="AF276" s="125">
        <f>ROUND(AE276*Valores!$C$2,2)</f>
        <v>5538.51</v>
      </c>
      <c r="AG276" s="125">
        <f>SUM(F276,H276,J276,L276,M276,N276,O276,P276,Q276,R276,T276,U276,V276,X276,Y276,Z276,AA276,AC276,AD276,AF276,AH276)*Valores!$C$69</f>
        <v>46090.407419999996</v>
      </c>
      <c r="AH276" s="125">
        <f>IF($F$4="NO",IF(Valores!$D$63*'Escala Docente'!B276&gt;Valores!$F$63,Valores!$F$63,Valores!$D$63*'Escala Docente'!B276),IF(Valores!$D$63*'Escala Docente'!B276&gt;Valores!$F$63,Valores!$F$63,Valores!$D$63*'Escala Docente'!B276)/2)+0.05</f>
        <v>23472.05</v>
      </c>
      <c r="AI276" s="125">
        <f t="shared" si="41"/>
        <v>403380.38742</v>
      </c>
      <c r="AJ276" s="125">
        <f>IF(Valores!$C$32*B276&gt;Valores!$F$32,Valores!$F$32,Valores!$C$32*B276)</f>
        <v>0</v>
      </c>
      <c r="AK276" s="125">
        <f>IF(Valores!$C$91*B276&gt;Valores!$C$90,Valores!$C$90,Valores!$C$91*B276)</f>
        <v>0</v>
      </c>
      <c r="AL276" s="125">
        <f>IF(Valores!C$39*B276&gt;Valores!F$38,Valores!F$38,Valores!C$39*B276)</f>
        <v>0</v>
      </c>
      <c r="AM276" s="125">
        <f>IF($F$3="NO",0,IF(Valores!$C$62*B276&gt;Valores!$F$62,Valores!$F$62,Valores!$C$62*B276))</f>
        <v>0</v>
      </c>
      <c r="AN276" s="125">
        <f t="shared" si="49"/>
        <v>0</v>
      </c>
      <c r="AO276" s="125">
        <f>AI276*Valores!$C$71</f>
        <v>-44371.842616199996</v>
      </c>
      <c r="AP276" s="125">
        <f>AI276*Valores!$C$72</f>
        <v>-8067.6077484</v>
      </c>
      <c r="AQ276" s="125">
        <f>AI276*-Valores!$C$73</f>
        <v>0</v>
      </c>
      <c r="AR276" s="125">
        <f>AI276*Valores!$C$74</f>
        <v>-22185.921308099998</v>
      </c>
      <c r="AS276" s="125">
        <f>Valores!$C$101</f>
        <v>-1270</v>
      </c>
      <c r="AT276" s="125">
        <f>IF($F$5=0,Valores!$C$102,(Valores!$C$102+$F$5*(Valores!$C$102)))</f>
        <v>-3700</v>
      </c>
      <c r="AU276" s="125">
        <f t="shared" si="51"/>
        <v>323785.0157473</v>
      </c>
      <c r="AV276" s="125">
        <f t="shared" si="46"/>
        <v>-44371.842616199996</v>
      </c>
      <c r="AW276" s="125">
        <f t="shared" si="53"/>
        <v>-8067.6077484</v>
      </c>
      <c r="AX276" s="125">
        <f>AI276*Valores!$C$75</f>
        <v>-10891.27046034</v>
      </c>
      <c r="AY276" s="125">
        <f>AI276*Valores!$C$76</f>
        <v>-1210.1411622599999</v>
      </c>
      <c r="AZ276" s="125">
        <f t="shared" si="50"/>
        <v>338839.5254328</v>
      </c>
      <c r="BA276" s="125">
        <f>AI276*Valores!$C$78</f>
        <v>64540.8619872</v>
      </c>
      <c r="BB276" s="125">
        <f>AI276*Valores!$C$79</f>
        <v>28236.6271194</v>
      </c>
      <c r="BC276" s="125">
        <f>AI276*Valores!$C$80</f>
        <v>4033.8038742</v>
      </c>
      <c r="BD276" s="125">
        <f>AI276*Valores!$C$82</f>
        <v>14118.3135597</v>
      </c>
      <c r="BE276" s="125">
        <f>AI276*Valores!$C$84</f>
        <v>21782.54092068</v>
      </c>
      <c r="BF276" s="125">
        <f>AI276*Valores!$C$83</f>
        <v>2420.2823245199997</v>
      </c>
      <c r="BG276" s="126"/>
      <c r="BH276" s="126">
        <f t="shared" si="44"/>
        <v>25</v>
      </c>
      <c r="BI276" s="123" t="s">
        <v>4</v>
      </c>
    </row>
    <row r="277" spans="1:61" s="110" customFormat="1" ht="11.25" customHeight="1">
      <c r="A277" s="123" t="s">
        <v>470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5"/>
        <v>2054</v>
      </c>
      <c r="F277" s="125">
        <f>ROUND(E277*Valores!$C$2,2)</f>
        <v>121022.3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41181.17</v>
      </c>
      <c r="N277" s="125">
        <f t="shared" si="47"/>
        <v>0</v>
      </c>
      <c r="O277" s="125">
        <f>Valores!$C$7*B277</f>
        <v>51948.78</v>
      </c>
      <c r="P277" s="125">
        <f>ROUND(IF(B277&lt;15,(Valores!$E$5*B277),Valores!$D$5),2)</f>
        <v>30120.06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27363.7</v>
      </c>
      <c r="S277" s="125">
        <f>Valores!$C$18*B277</f>
        <v>16338.66</v>
      </c>
      <c r="T277" s="125">
        <f t="shared" si="52"/>
        <v>16338.66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IF(Valores!$C$98*B277&gt;Valores!$C$97,Valores!$C$97,Valores!$C$98*B277)</f>
        <v>49878.66</v>
      </c>
      <c r="AA277" s="125">
        <f>IF((Valores!$C$28)*B277&gt;Valores!$F$28,Valores!$F$28,(Valores!$C$28)*B277)</f>
        <v>1283.62</v>
      </c>
      <c r="AB277" s="214">
        <v>0</v>
      </c>
      <c r="AC277" s="125">
        <f t="shared" si="48"/>
        <v>0</v>
      </c>
      <c r="AD277" s="125">
        <f>IF(Valores!$C$29*B277&gt;Valores!$F$29,Valores!$F$29,Valores!$C$29*B277)</f>
        <v>1068.86</v>
      </c>
      <c r="AE277" s="192">
        <v>0</v>
      </c>
      <c r="AF277" s="125">
        <f>ROUND(AE277*Valores!$C$2,2)</f>
        <v>0</v>
      </c>
      <c r="AG277" s="125">
        <f>SUM(F277,H277,J277,L277,M277,N277,O277,P277,Q277,R277,T277,U277,V277,X277,Y277,Z277,AA277,AC277,AD277,AF277,AH277)*Valores!$C$69</f>
        <v>47035.55945999999</v>
      </c>
      <c r="AH277" s="125">
        <f>IF($F$4="NO",IF(Valores!$D$63*'Escala Docente'!B277&gt;Valores!$F$63,Valores!$F$63,Valores!$D$63*'Escala Docente'!B277),IF(Valores!$D$63*'Escala Docente'!B277&gt;Valores!$F$63,Valores!$F$63,Valores!$D$63*'Escala Docente'!B277)/2)+0.05</f>
        <v>24410.93</v>
      </c>
      <c r="AI277" s="125">
        <f t="shared" si="41"/>
        <v>411652.29945999995</v>
      </c>
      <c r="AJ277" s="125">
        <f>IF(Valores!$C$32*B277&gt;Valores!$F$32,Valores!$F$32,Valores!$C$32*B277)</f>
        <v>0</v>
      </c>
      <c r="AK277" s="125">
        <f>IF(Valores!$C$91*B277&gt;Valores!$C$90,Valores!$C$90,Valores!$C$91*B277)</f>
        <v>0</v>
      </c>
      <c r="AL277" s="125">
        <f>IF(Valores!C$39*B277&gt;Valores!F$38,Valores!F$38,Valores!C$39*B277)</f>
        <v>0</v>
      </c>
      <c r="AM277" s="125">
        <f>IF($F$3="NO",0,IF(Valores!$C$62*B277&gt;Valores!$F$62,Valores!$F$62,Valores!$C$62*B277))</f>
        <v>0</v>
      </c>
      <c r="AN277" s="125">
        <f t="shared" si="49"/>
        <v>0</v>
      </c>
      <c r="AO277" s="125">
        <f>AI277*Valores!$C$71</f>
        <v>-45281.752940599996</v>
      </c>
      <c r="AP277" s="125">
        <f>AI277*Valores!$C$72</f>
        <v>-8233.0459892</v>
      </c>
      <c r="AQ277" s="125">
        <f>AI277*-Valores!$C$73</f>
        <v>0</v>
      </c>
      <c r="AR277" s="125">
        <f>AI277*Valores!$C$74</f>
        <v>-22640.876470299998</v>
      </c>
      <c r="AS277" s="125">
        <f>Valores!$C$101</f>
        <v>-1270</v>
      </c>
      <c r="AT277" s="125">
        <f>IF($F$5=0,Valores!$C$102,(Valores!$C$102+$F$5*(Valores!$C$102)))</f>
        <v>-3700</v>
      </c>
      <c r="AU277" s="125">
        <f t="shared" si="51"/>
        <v>330526.62405989994</v>
      </c>
      <c r="AV277" s="125">
        <f t="shared" si="46"/>
        <v>-45281.752940599996</v>
      </c>
      <c r="AW277" s="125">
        <f t="shared" si="53"/>
        <v>-8233.0459892</v>
      </c>
      <c r="AX277" s="125">
        <f>AI277*Valores!$C$75</f>
        <v>-11114.612085419998</v>
      </c>
      <c r="AY277" s="125">
        <f>AI277*Valores!$C$76</f>
        <v>-1234.95689838</v>
      </c>
      <c r="AZ277" s="125">
        <f t="shared" si="50"/>
        <v>345787.93154639995</v>
      </c>
      <c r="BA277" s="125">
        <f>AI277*Valores!$C$78</f>
        <v>65864.3679136</v>
      </c>
      <c r="BB277" s="125">
        <f>AI277*Valores!$C$79</f>
        <v>28815.6609622</v>
      </c>
      <c r="BC277" s="125">
        <f>AI277*Valores!$C$80</f>
        <v>4116.5229946</v>
      </c>
      <c r="BD277" s="125">
        <f>AI277*Valores!$C$82</f>
        <v>14407.8304811</v>
      </c>
      <c r="BE277" s="125">
        <f>AI277*Valores!$C$84</f>
        <v>22229.224170839996</v>
      </c>
      <c r="BF277" s="125">
        <f>AI277*Valores!$C$83</f>
        <v>2469.91379676</v>
      </c>
      <c r="BG277" s="126"/>
      <c r="BH277" s="126">
        <f t="shared" si="44"/>
        <v>26</v>
      </c>
      <c r="BI277" s="123" t="s">
        <v>4</v>
      </c>
    </row>
    <row r="278" spans="1:61" s="110" customFormat="1" ht="11.25" customHeight="1">
      <c r="A278" s="123" t="s">
        <v>470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5"/>
        <v>2054</v>
      </c>
      <c r="F278" s="125">
        <f>ROUND(E278*Valores!$C$2,2)</f>
        <v>121022.3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41181.17</v>
      </c>
      <c r="N278" s="125">
        <f t="shared" si="47"/>
        <v>0</v>
      </c>
      <c r="O278" s="125">
        <f>Valores!$C$7*B278</f>
        <v>51948.78</v>
      </c>
      <c r="P278" s="125">
        <f>ROUND(IF(B278&lt;15,(Valores!$E$5*B278),Valores!$D$5),2)</f>
        <v>30120.06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27363.7</v>
      </c>
      <c r="S278" s="125">
        <f>Valores!$C$18*B278</f>
        <v>16338.66</v>
      </c>
      <c r="T278" s="125">
        <f t="shared" si="52"/>
        <v>16338.66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IF(Valores!$C$98*B278&gt;Valores!$C$97,Valores!$C$97,Valores!$C$98*B278)</f>
        <v>49878.66</v>
      </c>
      <c r="AA278" s="125">
        <f>IF((Valores!$C$28)*B278&gt;Valores!$F$28,Valores!$F$28,(Valores!$C$28)*B278)</f>
        <v>1283.62</v>
      </c>
      <c r="AB278" s="214">
        <v>0</v>
      </c>
      <c r="AC278" s="125">
        <f t="shared" si="48"/>
        <v>0</v>
      </c>
      <c r="AD278" s="125">
        <f>IF(Valores!$C$29*B278&gt;Valores!$F$29,Valores!$F$29,Valores!$C$29*B278)</f>
        <v>1068.86</v>
      </c>
      <c r="AE278" s="192">
        <v>94</v>
      </c>
      <c r="AF278" s="125">
        <f>ROUND(AE278*Valores!$C$2,2)</f>
        <v>5538.51</v>
      </c>
      <c r="AG278" s="125">
        <f>SUM(F278,H278,J278,L278,M278,N278,O278,P278,Q278,R278,T278,U278,V278,X278,Y278,Z278,AA278,AC278,AD278,AF278,AH278)*Valores!$C$69</f>
        <v>47750.02724999999</v>
      </c>
      <c r="AH278" s="125">
        <f>IF($F$4="NO",IF(Valores!$D$63*'Escala Docente'!B278&gt;Valores!$F$63,Valores!$F$63,Valores!$D$63*'Escala Docente'!B278),IF(Valores!$D$63*'Escala Docente'!B278&gt;Valores!$F$63,Valores!$F$63,Valores!$D$63*'Escala Docente'!B278)/2)+0.05</f>
        <v>24410.93</v>
      </c>
      <c r="AI278" s="125">
        <f t="shared" si="41"/>
        <v>417905.2772499999</v>
      </c>
      <c r="AJ278" s="125">
        <f>IF(Valores!$C$32*B278&gt;Valores!$F$32,Valores!$F$32,Valores!$C$32*B278)</f>
        <v>0</v>
      </c>
      <c r="AK278" s="125">
        <f>IF(Valores!$C$91*B278&gt;Valores!$C$90,Valores!$C$90,Valores!$C$91*B278)</f>
        <v>0</v>
      </c>
      <c r="AL278" s="125">
        <f>IF(Valores!C$39*B278&gt;Valores!F$38,Valores!F$38,Valores!C$39*B278)</f>
        <v>0</v>
      </c>
      <c r="AM278" s="125">
        <f>IF($F$3="NO",0,IF(Valores!$C$62*B278&gt;Valores!$F$62,Valores!$F$62,Valores!$C$62*B278))</f>
        <v>0</v>
      </c>
      <c r="AN278" s="125">
        <f t="shared" si="49"/>
        <v>0</v>
      </c>
      <c r="AO278" s="125">
        <f>AI278*Valores!$C$71</f>
        <v>-45969.58049749999</v>
      </c>
      <c r="AP278" s="125">
        <f>AI278*Valores!$C$72</f>
        <v>-8358.105544999999</v>
      </c>
      <c r="AQ278" s="125">
        <f>AI278*-Valores!$C$73</f>
        <v>0</v>
      </c>
      <c r="AR278" s="125">
        <f>AI278*Valores!$C$74</f>
        <v>-22984.790248749996</v>
      </c>
      <c r="AS278" s="125">
        <f>Valores!$C$101</f>
        <v>-1270</v>
      </c>
      <c r="AT278" s="125">
        <f>IF($F$5=0,Valores!$C$102,(Valores!$C$102+$F$5*(Valores!$C$102)))</f>
        <v>-3700</v>
      </c>
      <c r="AU278" s="125">
        <f t="shared" si="51"/>
        <v>335622.80095874995</v>
      </c>
      <c r="AV278" s="125">
        <f t="shared" si="46"/>
        <v>-45969.58049749999</v>
      </c>
      <c r="AW278" s="125">
        <f t="shared" si="53"/>
        <v>-8358.105544999999</v>
      </c>
      <c r="AX278" s="125">
        <f>AI278*Valores!$C$75</f>
        <v>-11283.442485749998</v>
      </c>
      <c r="AY278" s="125">
        <f>AI278*Valores!$C$76</f>
        <v>-1253.7158317499998</v>
      </c>
      <c r="AZ278" s="125">
        <f t="shared" si="50"/>
        <v>351040.43288999994</v>
      </c>
      <c r="BA278" s="125">
        <f>AI278*Valores!$C$78</f>
        <v>66864.84435999999</v>
      </c>
      <c r="BB278" s="125">
        <f>AI278*Valores!$C$79</f>
        <v>29253.3694075</v>
      </c>
      <c r="BC278" s="125">
        <f>AI278*Valores!$C$80</f>
        <v>4179.052772499999</v>
      </c>
      <c r="BD278" s="125">
        <f>AI278*Valores!$C$82</f>
        <v>14626.68470375</v>
      </c>
      <c r="BE278" s="125">
        <f>AI278*Valores!$C$84</f>
        <v>22566.884971499996</v>
      </c>
      <c r="BF278" s="125">
        <f>AI278*Valores!$C$83</f>
        <v>2507.4316634999996</v>
      </c>
      <c r="BG278" s="126"/>
      <c r="BH278" s="126">
        <f t="shared" si="44"/>
        <v>26</v>
      </c>
      <c r="BI278" s="123" t="s">
        <v>4</v>
      </c>
    </row>
    <row r="279" spans="1:61" s="110" customFormat="1" ht="11.25" customHeight="1">
      <c r="A279" s="123" t="s">
        <v>470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5"/>
        <v>2133</v>
      </c>
      <c r="F279" s="125">
        <f>ROUND(E279*Valores!$C$2,2)</f>
        <v>125677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42765.06</v>
      </c>
      <c r="N279" s="125">
        <f t="shared" si="47"/>
        <v>0</v>
      </c>
      <c r="O279" s="125">
        <f>Valores!$C$7*B279</f>
        <v>53946.81</v>
      </c>
      <c r="P279" s="125">
        <f>ROUND(IF(B279&lt;15,(Valores!$E$5*B279),Valores!$D$5),2)</f>
        <v>30120.06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28416.15</v>
      </c>
      <c r="S279" s="125">
        <f>Valores!$C$18*B279</f>
        <v>16967.07</v>
      </c>
      <c r="T279" s="125">
        <f t="shared" si="52"/>
        <v>16967.07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IF(Valores!$C$98*B279&gt;Valores!$C$97,Valores!$C$97,Valores!$C$98*B279)</f>
        <v>51797.07</v>
      </c>
      <c r="AA279" s="125">
        <f>IF((Valores!$C$28)*B279&gt;Valores!$F$28,Valores!$F$28,(Valores!$C$28)*B279)</f>
        <v>1332.99</v>
      </c>
      <c r="AB279" s="214">
        <v>0</v>
      </c>
      <c r="AC279" s="125">
        <f t="shared" si="48"/>
        <v>0</v>
      </c>
      <c r="AD279" s="125">
        <f>IF(Valores!$C$29*B279&gt;Valores!$F$29,Valores!$F$29,Valores!$C$29*B279)</f>
        <v>1109.97</v>
      </c>
      <c r="AE279" s="192">
        <v>0</v>
      </c>
      <c r="AF279" s="125">
        <f>ROUND(AE279*Valores!$C$2,2)</f>
        <v>0</v>
      </c>
      <c r="AG279" s="125">
        <f>SUM(F279,H279,J279,L279,M279,N279,O279,P279,Q279,R279,T279,U279,V279,X279,Y279,Z279,AA279,AC279,AD279,AF279,AH279)*Valores!$C$69</f>
        <v>48695.178</v>
      </c>
      <c r="AH279" s="125">
        <f>IF($F$4="NO",IF(Valores!$D$63*'Escala Docente'!B279&gt;Valores!$F$63,Valores!$F$63,Valores!$D$63*'Escala Docente'!B279),IF(Valores!$D$63*'Escala Docente'!B279&gt;Valores!$F$63,Valores!$F$63,Valores!$D$63*'Escala Docente'!B279)/2)+0.06</f>
        <v>25349.82</v>
      </c>
      <c r="AI279" s="125">
        <f t="shared" si="41"/>
        <v>426177.178</v>
      </c>
      <c r="AJ279" s="125">
        <f>IF(Valores!$C$32*B279&gt;Valores!$F$32,Valores!$F$32,Valores!$C$32*B279)</f>
        <v>0</v>
      </c>
      <c r="AK279" s="125">
        <f>IF(Valores!$C$91*B279&gt;Valores!$C$90,Valores!$C$90,Valores!$C$91*B279)</f>
        <v>0</v>
      </c>
      <c r="AL279" s="125">
        <f>IF(Valores!C$39*B279&gt;Valores!F$38,Valores!F$38,Valores!C$39*B279)</f>
        <v>0</v>
      </c>
      <c r="AM279" s="125">
        <f>IF($F$3="NO",0,IF(Valores!$C$62*B279&gt;Valores!$F$62,Valores!$F$62,Valores!$C$62*B279))</f>
        <v>0</v>
      </c>
      <c r="AN279" s="125">
        <f t="shared" si="49"/>
        <v>0</v>
      </c>
      <c r="AO279" s="125">
        <f>AI279*Valores!$C$71</f>
        <v>-46879.48958</v>
      </c>
      <c r="AP279" s="125">
        <f>AI279*Valores!$C$72</f>
        <v>-8523.54356</v>
      </c>
      <c r="AQ279" s="125">
        <f>AI279*-Valores!$C$73</f>
        <v>0</v>
      </c>
      <c r="AR279" s="125">
        <f>AI279*Valores!$C$74</f>
        <v>-23439.74479</v>
      </c>
      <c r="AS279" s="125">
        <f>Valores!$C$101</f>
        <v>-1270</v>
      </c>
      <c r="AT279" s="125">
        <f>IF($F$5=0,Valores!$C$102,(Valores!$C$102+$F$5*(Valores!$C$102)))</f>
        <v>-3700</v>
      </c>
      <c r="AU279" s="125">
        <f t="shared" si="51"/>
        <v>342364.40007000003</v>
      </c>
      <c r="AV279" s="125">
        <f t="shared" si="46"/>
        <v>-46879.48958</v>
      </c>
      <c r="AW279" s="125">
        <f t="shared" si="53"/>
        <v>-8523.54356</v>
      </c>
      <c r="AX279" s="125">
        <f>AI279*Valores!$C$75</f>
        <v>-11506.783806</v>
      </c>
      <c r="AY279" s="125">
        <f>AI279*Valores!$C$76</f>
        <v>-1278.531534</v>
      </c>
      <c r="AZ279" s="125">
        <f t="shared" si="50"/>
        <v>357988.82952</v>
      </c>
      <c r="BA279" s="125">
        <f>AI279*Valores!$C$78</f>
        <v>68188.34848</v>
      </c>
      <c r="BB279" s="125">
        <f>AI279*Valores!$C$79</f>
        <v>29832.402460000005</v>
      </c>
      <c r="BC279" s="125">
        <f>AI279*Valores!$C$80</f>
        <v>4261.77178</v>
      </c>
      <c r="BD279" s="125">
        <f>AI279*Valores!$C$82</f>
        <v>14916.201230000002</v>
      </c>
      <c r="BE279" s="125">
        <f>AI279*Valores!$C$84</f>
        <v>23013.567612</v>
      </c>
      <c r="BF279" s="125">
        <f>AI279*Valores!$C$83</f>
        <v>2557.063068</v>
      </c>
      <c r="BG279" s="126"/>
      <c r="BH279" s="126">
        <f t="shared" si="44"/>
        <v>27</v>
      </c>
      <c r="BI279" s="123" t="s">
        <v>8</v>
      </c>
    </row>
    <row r="280" spans="1:61" s="110" customFormat="1" ht="11.25" customHeight="1">
      <c r="A280" s="123" t="s">
        <v>470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5"/>
        <v>2133</v>
      </c>
      <c r="F280" s="125">
        <f>ROUND(E280*Valores!$C$2,2)</f>
        <v>125677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42765.06</v>
      </c>
      <c r="N280" s="125">
        <f t="shared" si="47"/>
        <v>0</v>
      </c>
      <c r="O280" s="125">
        <f>Valores!$C$7*B280</f>
        <v>53946.81</v>
      </c>
      <c r="P280" s="125">
        <f>ROUND(IF(B280&lt;15,(Valores!$E$5*B280),Valores!$D$5),2)</f>
        <v>30120.06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28416.15</v>
      </c>
      <c r="S280" s="125">
        <f>Valores!$C$18*B280</f>
        <v>16967.07</v>
      </c>
      <c r="T280" s="125">
        <f t="shared" si="52"/>
        <v>16967.07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IF(Valores!$C$98*B280&gt;Valores!$C$97,Valores!$C$97,Valores!$C$98*B280)</f>
        <v>51797.07</v>
      </c>
      <c r="AA280" s="125">
        <f>IF((Valores!$C$28)*B280&gt;Valores!$F$28,Valores!$F$28,(Valores!$C$28)*B280)</f>
        <v>1332.99</v>
      </c>
      <c r="AB280" s="214">
        <v>0</v>
      </c>
      <c r="AC280" s="125">
        <f t="shared" si="48"/>
        <v>0</v>
      </c>
      <c r="AD280" s="125">
        <f>IF(Valores!$C$29*B280&gt;Valores!$F$29,Valores!$F$29,Valores!$C$29*B280)</f>
        <v>1109.97</v>
      </c>
      <c r="AE280" s="192">
        <v>94</v>
      </c>
      <c r="AF280" s="125">
        <f>ROUND(AE280*Valores!$C$2,2)</f>
        <v>5538.51</v>
      </c>
      <c r="AG280" s="125">
        <f>SUM(F280,H280,J280,L280,M280,N280,O280,P280,Q280,R280,T280,U280,V280,X280,Y280,Z280,AA280,AC280,AD280,AF280,AH280)*Valores!$C$69</f>
        <v>49409.64579</v>
      </c>
      <c r="AH280" s="125">
        <f>IF($F$4="NO",IF(Valores!$D$63*'Escala Docente'!B280&gt;Valores!$F$63,Valores!$F$63,Valores!$D$63*'Escala Docente'!B280),IF(Valores!$D$63*'Escala Docente'!B280&gt;Valores!$F$63,Valores!$F$63,Valores!$D$63*'Escala Docente'!B280)/2)+0.06</f>
        <v>25349.82</v>
      </c>
      <c r="AI280" s="125">
        <f t="shared" si="41"/>
        <v>432430.15579</v>
      </c>
      <c r="AJ280" s="125">
        <f>IF(Valores!$C$32*B280&gt;Valores!$F$32,Valores!$F$32,Valores!$C$32*B280)</f>
        <v>0</v>
      </c>
      <c r="AK280" s="125">
        <f>IF(Valores!$C$91*B280&gt;Valores!$C$90,Valores!$C$90,Valores!$C$91*B280)</f>
        <v>0</v>
      </c>
      <c r="AL280" s="125">
        <f>IF(Valores!C$39*B280&gt;Valores!F$38,Valores!F$38,Valores!C$39*B280)</f>
        <v>0</v>
      </c>
      <c r="AM280" s="125">
        <f>IF($F$3="NO",0,IF(Valores!$C$62*B280&gt;Valores!$F$62,Valores!$F$62,Valores!$C$62*B280))</f>
        <v>0</v>
      </c>
      <c r="AN280" s="125">
        <f t="shared" si="49"/>
        <v>0</v>
      </c>
      <c r="AO280" s="125">
        <f>AI280*Valores!$C$71</f>
        <v>-47567.3171369</v>
      </c>
      <c r="AP280" s="125">
        <f>AI280*Valores!$C$72</f>
        <v>-8648.6031158</v>
      </c>
      <c r="AQ280" s="125">
        <f>AI280*-Valores!$C$73</f>
        <v>0</v>
      </c>
      <c r="AR280" s="125">
        <f>AI280*Valores!$C$74</f>
        <v>-23783.65856845</v>
      </c>
      <c r="AS280" s="125">
        <f>Valores!$C$101</f>
        <v>-1270</v>
      </c>
      <c r="AT280" s="125">
        <f>IF($F$5=0,Valores!$C$102,(Valores!$C$102+$F$5*(Valores!$C$102)))</f>
        <v>-3700</v>
      </c>
      <c r="AU280" s="125">
        <f t="shared" si="51"/>
        <v>347460.57696885</v>
      </c>
      <c r="AV280" s="125">
        <f t="shared" si="46"/>
        <v>-47567.3171369</v>
      </c>
      <c r="AW280" s="125">
        <f t="shared" si="53"/>
        <v>-8648.6031158</v>
      </c>
      <c r="AX280" s="125">
        <f>AI280*Valores!$C$75</f>
        <v>-11675.61420633</v>
      </c>
      <c r="AY280" s="125">
        <f>AI280*Valores!$C$76</f>
        <v>-1297.29046737</v>
      </c>
      <c r="AZ280" s="125">
        <f t="shared" si="50"/>
        <v>363241.3308636</v>
      </c>
      <c r="BA280" s="125">
        <f>AI280*Valores!$C$78</f>
        <v>69188.8249264</v>
      </c>
      <c r="BB280" s="125">
        <f>AI280*Valores!$C$79</f>
        <v>30270.110905300004</v>
      </c>
      <c r="BC280" s="125">
        <f>AI280*Valores!$C$80</f>
        <v>4324.3015579</v>
      </c>
      <c r="BD280" s="125">
        <f>AI280*Valores!$C$82</f>
        <v>15135.055452650002</v>
      </c>
      <c r="BE280" s="125">
        <f>AI280*Valores!$C$84</f>
        <v>23351.22841266</v>
      </c>
      <c r="BF280" s="125">
        <f>AI280*Valores!$C$83</f>
        <v>2594.58093474</v>
      </c>
      <c r="BG280" s="126"/>
      <c r="BH280" s="126">
        <f t="shared" si="44"/>
        <v>27</v>
      </c>
      <c r="BI280" s="123" t="s">
        <v>8</v>
      </c>
    </row>
    <row r="281" spans="1:61" s="110" customFormat="1" ht="11.25" customHeight="1">
      <c r="A281" s="123" t="s">
        <v>470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5"/>
        <v>2212</v>
      </c>
      <c r="F281" s="125">
        <f>ROUND(E281*Valores!$C$2,2)</f>
        <v>130331.7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44348.95</v>
      </c>
      <c r="N281" s="125">
        <f t="shared" si="47"/>
        <v>0</v>
      </c>
      <c r="O281" s="125">
        <f>Valores!$C$7*B281</f>
        <v>55944.84</v>
      </c>
      <c r="P281" s="125">
        <f>ROUND(IF(B281&lt;15,(Valores!$E$5*B281),Valores!$D$5),2)</f>
        <v>30120.06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29468.600000000002</v>
      </c>
      <c r="S281" s="125">
        <f>Valores!$C$18*B281</f>
        <v>17595.48</v>
      </c>
      <c r="T281" s="125">
        <f t="shared" si="52"/>
        <v>17595.48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IF(Valores!$C$98*B281&gt;Valores!$C$97,Valores!$C$97,Valores!$C$98*B281)</f>
        <v>53715.48</v>
      </c>
      <c r="AA281" s="125">
        <f>IF((Valores!$C$28)*B281&gt;Valores!$F$28,Valores!$F$28,(Valores!$C$28)*B281)</f>
        <v>1382.36</v>
      </c>
      <c r="AB281" s="214">
        <v>0</v>
      </c>
      <c r="AC281" s="125">
        <f t="shared" si="48"/>
        <v>0</v>
      </c>
      <c r="AD281" s="125">
        <f>IF(Valores!$C$29*B281&gt;Valores!$F$29,Valores!$F$29,Valores!$C$29*B281)</f>
        <v>1151.08</v>
      </c>
      <c r="AE281" s="192">
        <v>0</v>
      </c>
      <c r="AF281" s="125">
        <f>ROUND(AE281*Valores!$C$2,2)</f>
        <v>0</v>
      </c>
      <c r="AG281" s="125">
        <f>SUM(F281,H281,J281,L281,M281,N281,O281,P281,Q281,R281,T281,U281,V281,X281,Y281,Z281,AA281,AC281,AD281,AF281,AH281)*Valores!$C$69</f>
        <v>50354.795249999996</v>
      </c>
      <c r="AH281" s="125">
        <f>IF($F$4="NO",IF(Valores!$D$63*'Escala Docente'!B281&gt;Valores!$F$63,Valores!$F$63,Valores!$D$63*'Escala Docente'!B281),IF(Valores!$D$63*'Escala Docente'!B281&gt;Valores!$F$63,Valores!$F$63,Valores!$D$63*'Escala Docente'!B281)/2)+0.06</f>
        <v>26288.7</v>
      </c>
      <c r="AI281" s="125">
        <f t="shared" si="41"/>
        <v>440702.0452499999</v>
      </c>
      <c r="AJ281" s="125">
        <f>IF(Valores!$C$32*B281&gt;Valores!$F$32,Valores!$F$32,Valores!$C$32*B281)</f>
        <v>0</v>
      </c>
      <c r="AK281" s="125">
        <f>IF(Valores!$C$91*B281&gt;Valores!$C$90,Valores!$C$90,Valores!$C$91*B281)</f>
        <v>0</v>
      </c>
      <c r="AL281" s="125">
        <f>IF(Valores!C$39*B281&gt;Valores!F$38,Valores!F$38,Valores!C$39*B281)</f>
        <v>0</v>
      </c>
      <c r="AM281" s="125">
        <f>IF($F$3="NO",0,IF(Valores!$C$62*B281&gt;Valores!$F$62,Valores!$F$62,Valores!$C$62*B281))</f>
        <v>0</v>
      </c>
      <c r="AN281" s="125">
        <f t="shared" si="49"/>
        <v>0</v>
      </c>
      <c r="AO281" s="125">
        <f>AI281*Valores!$C$71</f>
        <v>-48477.22497749999</v>
      </c>
      <c r="AP281" s="125">
        <f>AI281*Valores!$C$72</f>
        <v>-8814.040904999998</v>
      </c>
      <c r="AQ281" s="125">
        <f>AI281*-Valores!$C$73</f>
        <v>0</v>
      </c>
      <c r="AR281" s="125">
        <f>AI281*Valores!$C$74</f>
        <v>-24238.612488749994</v>
      </c>
      <c r="AS281" s="125">
        <f>Valores!$C$101</f>
        <v>-1270</v>
      </c>
      <c r="AT281" s="125">
        <f>IF($F$5=0,Valores!$C$102,(Valores!$C$102+$F$5*(Valores!$C$102)))</f>
        <v>-3700</v>
      </c>
      <c r="AU281" s="125">
        <f t="shared" si="51"/>
        <v>354202.16687874997</v>
      </c>
      <c r="AV281" s="125">
        <f t="shared" si="46"/>
        <v>-48477.22497749999</v>
      </c>
      <c r="AW281" s="125">
        <f t="shared" si="53"/>
        <v>-8814.040904999998</v>
      </c>
      <c r="AX281" s="125">
        <f>AI281*Valores!$C$75</f>
        <v>-11898.955221749997</v>
      </c>
      <c r="AY281" s="125">
        <f>AI281*Valores!$C$76</f>
        <v>-1322.1061357499998</v>
      </c>
      <c r="AZ281" s="125">
        <f t="shared" si="50"/>
        <v>370189.71800999995</v>
      </c>
      <c r="BA281" s="125">
        <f>AI281*Valores!$C$78</f>
        <v>70512.32723999998</v>
      </c>
      <c r="BB281" s="125">
        <f>AI281*Valores!$C$79</f>
        <v>30849.143167499995</v>
      </c>
      <c r="BC281" s="125">
        <f>AI281*Valores!$C$80</f>
        <v>4407.020452499999</v>
      </c>
      <c r="BD281" s="125">
        <f>AI281*Valores!$C$82</f>
        <v>15424.571583749997</v>
      </c>
      <c r="BE281" s="125">
        <f>AI281*Valores!$C$84</f>
        <v>23797.910443499994</v>
      </c>
      <c r="BF281" s="125">
        <f>AI281*Valores!$C$83</f>
        <v>2644.2122714999996</v>
      </c>
      <c r="BG281" s="126"/>
      <c r="BH281" s="126">
        <f t="shared" si="44"/>
        <v>28</v>
      </c>
      <c r="BI281" s="123" t="s">
        <v>4</v>
      </c>
    </row>
    <row r="282" spans="1:61" s="110" customFormat="1" ht="11.25" customHeight="1">
      <c r="A282" s="123" t="s">
        <v>470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5"/>
        <v>2212</v>
      </c>
      <c r="F282" s="125">
        <f>ROUND(E282*Valores!$C$2,2)</f>
        <v>130331.7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44348.95</v>
      </c>
      <c r="N282" s="125">
        <f t="shared" si="47"/>
        <v>0</v>
      </c>
      <c r="O282" s="125">
        <f>Valores!$C$7*B282</f>
        <v>55944.84</v>
      </c>
      <c r="P282" s="125">
        <f>ROUND(IF(B282&lt;15,(Valores!$E$5*B282),Valores!$D$5),2)</f>
        <v>30120.06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29468.600000000002</v>
      </c>
      <c r="S282" s="125">
        <f>Valores!$C$18*B282</f>
        <v>17595.48</v>
      </c>
      <c r="T282" s="125">
        <f t="shared" si="52"/>
        <v>17595.48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IF(Valores!$C$98*B282&gt;Valores!$C$97,Valores!$C$97,Valores!$C$98*B282)</f>
        <v>53715.48</v>
      </c>
      <c r="AA282" s="125">
        <f>IF((Valores!$C$28)*B282&gt;Valores!$F$28,Valores!$F$28,(Valores!$C$28)*B282)</f>
        <v>1382.36</v>
      </c>
      <c r="AB282" s="214">
        <v>0</v>
      </c>
      <c r="AC282" s="125">
        <f t="shared" si="48"/>
        <v>0</v>
      </c>
      <c r="AD282" s="125">
        <f>IF(Valores!$C$29*B282&gt;Valores!$F$29,Valores!$F$29,Valores!$C$29*B282)</f>
        <v>1151.08</v>
      </c>
      <c r="AE282" s="192">
        <v>94</v>
      </c>
      <c r="AF282" s="125">
        <f>ROUND(AE282*Valores!$C$2,2)</f>
        <v>5538.51</v>
      </c>
      <c r="AG282" s="125">
        <f>SUM(F282,H282,J282,L282,M282,N282,O282,P282,Q282,R282,T282,U282,V282,X282,Y282,Z282,AA282,AC282,AD282,AF282,AH282)*Valores!$C$69</f>
        <v>51069.26304</v>
      </c>
      <c r="AH282" s="125">
        <f>IF($F$4="NO",IF(Valores!$D$63*'Escala Docente'!B282&gt;Valores!$F$63,Valores!$F$63,Valores!$D$63*'Escala Docente'!B282),IF(Valores!$D$63*'Escala Docente'!B282&gt;Valores!$F$63,Valores!$F$63,Valores!$D$63*'Escala Docente'!B282)/2)+0.06</f>
        <v>26288.7</v>
      </c>
      <c r="AI282" s="125">
        <f t="shared" si="41"/>
        <v>446955.02303999994</v>
      </c>
      <c r="AJ282" s="125">
        <f>IF(Valores!$C$32*B282&gt;Valores!$F$32,Valores!$F$32,Valores!$C$32*B282)</f>
        <v>0</v>
      </c>
      <c r="AK282" s="125">
        <f>IF(Valores!$C$91*B282&gt;Valores!$C$90,Valores!$C$90,Valores!$C$91*B282)</f>
        <v>0</v>
      </c>
      <c r="AL282" s="125">
        <f>IF(Valores!C$39*B282&gt;Valores!F$38,Valores!F$38,Valores!C$39*B282)</f>
        <v>0</v>
      </c>
      <c r="AM282" s="125">
        <f>IF($F$3="NO",0,IF(Valores!$C$62*B282&gt;Valores!$F$62,Valores!$F$62,Valores!$C$62*B282))</f>
        <v>0</v>
      </c>
      <c r="AN282" s="125">
        <f t="shared" si="49"/>
        <v>0</v>
      </c>
      <c r="AO282" s="125">
        <f>AI282*Valores!$C$71</f>
        <v>-49165.05253439999</v>
      </c>
      <c r="AP282" s="125">
        <f>AI282*Valores!$C$72</f>
        <v>-8939.100460799998</v>
      </c>
      <c r="AQ282" s="125">
        <f>AI282*-Valores!$C$73</f>
        <v>0</v>
      </c>
      <c r="AR282" s="125">
        <f>AI282*Valores!$C$74</f>
        <v>-24582.526267199995</v>
      </c>
      <c r="AS282" s="125">
        <f>Valores!$C$101</f>
        <v>-1270</v>
      </c>
      <c r="AT282" s="125">
        <f>IF($F$5=0,Valores!$C$102,(Valores!$C$102+$F$5*(Valores!$C$102)))</f>
        <v>-3700</v>
      </c>
      <c r="AU282" s="125">
        <f t="shared" si="51"/>
        <v>359298.3437776</v>
      </c>
      <c r="AV282" s="125">
        <f t="shared" si="46"/>
        <v>-49165.05253439999</v>
      </c>
      <c r="AW282" s="125">
        <f t="shared" si="53"/>
        <v>-8939.100460799998</v>
      </c>
      <c r="AX282" s="125">
        <f>AI282*Valores!$C$75</f>
        <v>-12067.785622079999</v>
      </c>
      <c r="AY282" s="125">
        <f>AI282*Valores!$C$76</f>
        <v>-1340.8650691199998</v>
      </c>
      <c r="AZ282" s="125">
        <f t="shared" si="50"/>
        <v>375442.21935359994</v>
      </c>
      <c r="BA282" s="125">
        <f>AI282*Valores!$C$78</f>
        <v>71512.80368639999</v>
      </c>
      <c r="BB282" s="125">
        <f>AI282*Valores!$C$79</f>
        <v>31286.851612799997</v>
      </c>
      <c r="BC282" s="125">
        <f>AI282*Valores!$C$80</f>
        <v>4469.550230399999</v>
      </c>
      <c r="BD282" s="125">
        <f>AI282*Valores!$C$82</f>
        <v>15643.425806399999</v>
      </c>
      <c r="BE282" s="125">
        <f>AI282*Valores!$C$84</f>
        <v>24135.571244159997</v>
      </c>
      <c r="BF282" s="125">
        <f>AI282*Valores!$C$83</f>
        <v>2681.7301382399996</v>
      </c>
      <c r="BG282" s="126"/>
      <c r="BH282" s="126">
        <f t="shared" si="44"/>
        <v>28</v>
      </c>
      <c r="BI282" s="123" t="s">
        <v>4</v>
      </c>
    </row>
    <row r="283" spans="1:61" s="110" customFormat="1" ht="11.25" customHeight="1">
      <c r="A283" s="123" t="s">
        <v>470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5"/>
        <v>2291</v>
      </c>
      <c r="F283" s="125">
        <f>ROUND(E283*Valores!$C$2,2)</f>
        <v>134986.41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45932.84</v>
      </c>
      <c r="N283" s="125">
        <f t="shared" si="47"/>
        <v>0</v>
      </c>
      <c r="O283" s="125">
        <f>Valores!$C$7*B283</f>
        <v>57942.87</v>
      </c>
      <c r="P283" s="125">
        <f>ROUND(IF(B283&lt;15,(Valores!$E$5*B283),Valores!$D$5),2)</f>
        <v>30120.06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30521.050000000003</v>
      </c>
      <c r="S283" s="125">
        <f>Valores!$C$18*B283</f>
        <v>18223.89</v>
      </c>
      <c r="T283" s="125">
        <f t="shared" si="52"/>
        <v>18223.89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IF(Valores!$C$98*B283&gt;Valores!$C$97,Valores!$C$97,Valores!$C$98*B283)</f>
        <v>55633.89</v>
      </c>
      <c r="AA283" s="125">
        <f>IF((Valores!$C$28)*B283&gt;Valores!$F$28,Valores!$F$28,(Valores!$C$28)*B283)</f>
        <v>1431.73</v>
      </c>
      <c r="AB283" s="214">
        <v>0</v>
      </c>
      <c r="AC283" s="125">
        <f t="shared" si="48"/>
        <v>0</v>
      </c>
      <c r="AD283" s="125">
        <f>IF(Valores!$C$29*B283&gt;Valores!$F$29,Valores!$F$29,Valores!$C$29*B283)</f>
        <v>1192.19</v>
      </c>
      <c r="AE283" s="192">
        <v>0</v>
      </c>
      <c r="AF283" s="125">
        <f>ROUND(AE283*Valores!$C$2,2)</f>
        <v>0</v>
      </c>
      <c r="AG283" s="125">
        <f>SUM(F283,H283,J283,L283,M283,N283,O283,P283,Q283,R283,T283,U283,V283,X283,Y283,Z283,AA283,AC283,AD283,AF283,AH283)*Valores!$C$69</f>
        <v>52014.413790000006</v>
      </c>
      <c r="AH283" s="125">
        <f>IF($F$4="NO",IF(Valores!$D$63*'Escala Docente'!B283&gt;Valores!$F$63,Valores!$F$63,Valores!$D$63*'Escala Docente'!B283),IF(Valores!$D$63*'Escala Docente'!B283&gt;Valores!$F$63,Valores!$F$63,Valores!$D$63*'Escala Docente'!B283)/2)+0.06</f>
        <v>27227.58</v>
      </c>
      <c r="AI283" s="125">
        <f t="shared" si="41"/>
        <v>455226.92379000003</v>
      </c>
      <c r="AJ283" s="125">
        <f>IF(Valores!$C$32*B283&gt;Valores!$F$32,Valores!$F$32,Valores!$C$32*B283)</f>
        <v>0</v>
      </c>
      <c r="AK283" s="125">
        <f>IF(Valores!$C$91*B283&gt;Valores!$C$90,Valores!$C$90,Valores!$C$91*B283)</f>
        <v>0</v>
      </c>
      <c r="AL283" s="125">
        <f>IF(Valores!C$39*B283&gt;Valores!F$38,Valores!F$38,Valores!C$39*B283)</f>
        <v>0</v>
      </c>
      <c r="AM283" s="125">
        <f>IF($F$3="NO",0,IF(Valores!$C$62*B283&gt;Valores!$F$62,Valores!$F$62,Valores!$C$62*B283))</f>
        <v>0</v>
      </c>
      <c r="AN283" s="125">
        <f t="shared" si="49"/>
        <v>0</v>
      </c>
      <c r="AO283" s="125">
        <f>AI283*Valores!$C$71</f>
        <v>-50074.9616169</v>
      </c>
      <c r="AP283" s="125">
        <f>AI283*Valores!$C$72</f>
        <v>-9104.5384758</v>
      </c>
      <c r="AQ283" s="125">
        <f>AI283*-Valores!$C$73</f>
        <v>0</v>
      </c>
      <c r="AR283" s="125">
        <f>AI283*Valores!$C$74</f>
        <v>-25037.48080845</v>
      </c>
      <c r="AS283" s="125">
        <f>Valores!$C$101</f>
        <v>-1270</v>
      </c>
      <c r="AT283" s="125">
        <f>IF($F$5=0,Valores!$C$102,(Valores!$C$102+$F$5*(Valores!$C$102)))</f>
        <v>-3700</v>
      </c>
      <c r="AU283" s="125">
        <f t="shared" si="51"/>
        <v>366039.94288885</v>
      </c>
      <c r="AV283" s="125">
        <f t="shared" si="46"/>
        <v>-50074.9616169</v>
      </c>
      <c r="AW283" s="125">
        <f t="shared" si="53"/>
        <v>-9104.5384758</v>
      </c>
      <c r="AX283" s="125">
        <f>AI283*Valores!$C$75</f>
        <v>-12291.12694233</v>
      </c>
      <c r="AY283" s="125">
        <f>AI283*Valores!$C$76</f>
        <v>-1365.6807713700002</v>
      </c>
      <c r="AZ283" s="125">
        <f t="shared" si="50"/>
        <v>382390.61598360003</v>
      </c>
      <c r="BA283" s="125">
        <f>AI283*Valores!$C$78</f>
        <v>72836.3078064</v>
      </c>
      <c r="BB283" s="125">
        <f>AI283*Valores!$C$79</f>
        <v>31865.884665300004</v>
      </c>
      <c r="BC283" s="125">
        <f>AI283*Valores!$C$80</f>
        <v>4552.2692379</v>
      </c>
      <c r="BD283" s="125">
        <f>AI283*Valores!$C$82</f>
        <v>15932.942332650002</v>
      </c>
      <c r="BE283" s="125">
        <f>AI283*Valores!$C$84</f>
        <v>24582.25388466</v>
      </c>
      <c r="BF283" s="125">
        <f>AI283*Valores!$C$83</f>
        <v>2731.3615427400005</v>
      </c>
      <c r="BG283" s="126"/>
      <c r="BH283" s="126">
        <f t="shared" si="44"/>
        <v>29</v>
      </c>
      <c r="BI283" s="123" t="s">
        <v>8</v>
      </c>
    </row>
    <row r="284" spans="1:61" s="110" customFormat="1" ht="11.25" customHeight="1">
      <c r="A284" s="123" t="s">
        <v>470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5"/>
        <v>2291</v>
      </c>
      <c r="F284" s="125">
        <f>ROUND(E284*Valores!$C$2,2)</f>
        <v>134986.41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45932.84</v>
      </c>
      <c r="N284" s="125">
        <f t="shared" si="47"/>
        <v>0</v>
      </c>
      <c r="O284" s="125">
        <f>Valores!$C$7*B284</f>
        <v>57942.87</v>
      </c>
      <c r="P284" s="125">
        <f>ROUND(IF(B284&lt;15,(Valores!$E$5*B284),Valores!$D$5),2)</f>
        <v>30120.06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30521.050000000003</v>
      </c>
      <c r="S284" s="125">
        <f>Valores!$C$18*B284</f>
        <v>18223.89</v>
      </c>
      <c r="T284" s="125">
        <f t="shared" si="52"/>
        <v>18223.89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IF(Valores!$C$98*B284&gt;Valores!$C$97,Valores!$C$97,Valores!$C$98*B284)</f>
        <v>55633.89</v>
      </c>
      <c r="AA284" s="125">
        <f>IF((Valores!$C$28)*B284&gt;Valores!$F$28,Valores!$F$28,(Valores!$C$28)*B284)</f>
        <v>1431.73</v>
      </c>
      <c r="AB284" s="214">
        <v>0</v>
      </c>
      <c r="AC284" s="125">
        <f t="shared" si="48"/>
        <v>0</v>
      </c>
      <c r="AD284" s="125">
        <f>IF(Valores!$C$29*B284&gt;Valores!$F$29,Valores!$F$29,Valores!$C$29*B284)</f>
        <v>1192.19</v>
      </c>
      <c r="AE284" s="192">
        <v>94</v>
      </c>
      <c r="AF284" s="125">
        <f>ROUND(AE284*Valores!$C$2,2)</f>
        <v>5538.51</v>
      </c>
      <c r="AG284" s="125">
        <f>SUM(F284,H284,J284,L284,M284,N284,O284,P284,Q284,R284,T284,U284,V284,X284,Y284,Z284,AA284,AC284,AD284,AF284,AH284)*Valores!$C$69</f>
        <v>52728.88158</v>
      </c>
      <c r="AH284" s="125">
        <f>IF($F$4="NO",IF(Valores!$D$63*'Escala Docente'!B284&gt;Valores!$F$63,Valores!$F$63,Valores!$D$63*'Escala Docente'!B284),IF(Valores!$D$63*'Escala Docente'!B284&gt;Valores!$F$63,Valores!$F$63,Valores!$D$63*'Escala Docente'!B284)/2)+0.06</f>
        <v>27227.58</v>
      </c>
      <c r="AI284" s="125">
        <f t="shared" si="41"/>
        <v>461479.90158</v>
      </c>
      <c r="AJ284" s="125">
        <f>IF(Valores!$C$32*B284&gt;Valores!$F$32,Valores!$F$32,Valores!$C$32*B284)</f>
        <v>0</v>
      </c>
      <c r="AK284" s="125">
        <f>IF(Valores!$C$91*B284&gt;Valores!$C$90,Valores!$C$90,Valores!$C$91*B284)</f>
        <v>0</v>
      </c>
      <c r="AL284" s="125">
        <f>IF(Valores!C$39*B284&gt;Valores!F$38,Valores!F$38,Valores!C$39*B284)</f>
        <v>0</v>
      </c>
      <c r="AM284" s="125">
        <f>IF($F$3="NO",0,IF(Valores!$C$62*B284&gt;Valores!$F$62,Valores!$F$62,Valores!$C$62*B284))</f>
        <v>0</v>
      </c>
      <c r="AN284" s="125">
        <f t="shared" si="49"/>
        <v>0</v>
      </c>
      <c r="AO284" s="125">
        <f>AI284*Valores!$C$71</f>
        <v>-50762.7891738</v>
      </c>
      <c r="AP284" s="125">
        <f>AI284*Valores!$C$72</f>
        <v>-9229.5980316</v>
      </c>
      <c r="AQ284" s="125">
        <f>AI284*-Valores!$C$73</f>
        <v>0</v>
      </c>
      <c r="AR284" s="125">
        <f>AI284*Valores!$C$74</f>
        <v>-25381.3945869</v>
      </c>
      <c r="AS284" s="125">
        <f>Valores!$C$101</f>
        <v>-1270</v>
      </c>
      <c r="AT284" s="125">
        <f>IF($F$5=0,Valores!$C$102,(Valores!$C$102+$F$5*(Valores!$C$102)))</f>
        <v>-3700</v>
      </c>
      <c r="AU284" s="125">
        <f t="shared" si="51"/>
        <v>371136.1197877</v>
      </c>
      <c r="AV284" s="125">
        <f t="shared" si="46"/>
        <v>-50762.7891738</v>
      </c>
      <c r="AW284" s="125">
        <f t="shared" si="53"/>
        <v>-9229.5980316</v>
      </c>
      <c r="AX284" s="125">
        <f>AI284*Valores!$C$75</f>
        <v>-12459.95734266</v>
      </c>
      <c r="AY284" s="125">
        <f>AI284*Valores!$C$76</f>
        <v>-1384.43970474</v>
      </c>
      <c r="AZ284" s="125">
        <f t="shared" si="50"/>
        <v>387643.1173272</v>
      </c>
      <c r="BA284" s="125">
        <f>AI284*Valores!$C$78</f>
        <v>73836.7842528</v>
      </c>
      <c r="BB284" s="125">
        <f>AI284*Valores!$C$79</f>
        <v>32303.593110600003</v>
      </c>
      <c r="BC284" s="125">
        <f>AI284*Valores!$C$80</f>
        <v>4614.7990158</v>
      </c>
      <c r="BD284" s="125">
        <f>AI284*Valores!$C$82</f>
        <v>16151.796555300001</v>
      </c>
      <c r="BE284" s="125">
        <f>AI284*Valores!$C$84</f>
        <v>24919.91468532</v>
      </c>
      <c r="BF284" s="125">
        <f>AI284*Valores!$C$83</f>
        <v>2768.87940948</v>
      </c>
      <c r="BG284" s="126"/>
      <c r="BH284" s="126">
        <f t="shared" si="44"/>
        <v>29</v>
      </c>
      <c r="BI284" s="123" t="s">
        <v>8</v>
      </c>
    </row>
    <row r="285" spans="1:61" s="110" customFormat="1" ht="11.25" customHeight="1">
      <c r="A285" s="123" t="s">
        <v>470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5"/>
        <v>2370</v>
      </c>
      <c r="F285" s="125">
        <f>ROUND(E285*Valores!$C$2,2)</f>
        <v>139641.11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47516.73</v>
      </c>
      <c r="N285" s="125">
        <f t="shared" si="47"/>
        <v>0</v>
      </c>
      <c r="O285" s="125">
        <f>Valores!$C$7*B285</f>
        <v>59940.9</v>
      </c>
      <c r="P285" s="125">
        <f>ROUND(IF(B285&lt;15,(Valores!$E$5*B285),Valores!$D$5),2)</f>
        <v>30120.06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31573.5</v>
      </c>
      <c r="S285" s="125">
        <f>Valores!$C$18*B285</f>
        <v>18852.3</v>
      </c>
      <c r="T285" s="125">
        <f t="shared" si="52"/>
        <v>18852.3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IF(Valores!$C$98*B285&gt;Valores!$C$97,Valores!$C$97,Valores!$C$98*B285)</f>
        <v>57552.3</v>
      </c>
      <c r="AA285" s="125">
        <f>IF((Valores!$C$28)*B285&gt;Valores!$F$28,Valores!$F$28,(Valores!$C$28)*B285)</f>
        <v>1481.1</v>
      </c>
      <c r="AB285" s="214">
        <v>0</v>
      </c>
      <c r="AC285" s="125">
        <f t="shared" si="48"/>
        <v>0</v>
      </c>
      <c r="AD285" s="125">
        <f>IF(Valores!$C$29*B285&gt;Valores!$F$29,Valores!$F$29,Valores!$C$29*B285)</f>
        <v>1231.85</v>
      </c>
      <c r="AE285" s="192">
        <v>0</v>
      </c>
      <c r="AF285" s="125">
        <f>ROUND(AE285*Valores!$C$2,2)</f>
        <v>0</v>
      </c>
      <c r="AG285" s="125">
        <f>SUM(F285,H285,J285,L285,M285,N285,O285,P285,Q285,R285,T285,U285,V285,X285,Y285,Z285,AA285,AC285,AD285,AF285,AH285)*Valores!$C$69</f>
        <v>53673.843989999994</v>
      </c>
      <c r="AH285" s="125">
        <f>IF($F$4="NO",IF(Valores!$D$63*'Escala Docente'!B285&gt;Valores!$F$63,Valores!$F$63,Valores!$D$63*'Escala Docente'!B285),IF(Valores!$D$63*'Escala Docente'!B285&gt;Valores!$F$63,Valores!$F$63,Valores!$D$63*'Escala Docente'!B285)/2)+0.06</f>
        <v>28166.460000000003</v>
      </c>
      <c r="AI285" s="125">
        <f aca="true" t="shared" si="54" ref="AI285:AI326">SUM(F285,H285,J285,L285,M285,N285,O285,P285,Q285,R285,T285,U285,V285,X285,Y285,Z285,AA285,AC285,AD285,AF285,AG285,AH285)</f>
        <v>469750.15398999996</v>
      </c>
      <c r="AJ285" s="125">
        <f>IF(Valores!$C$32*B285&gt;Valores!$F$32,Valores!$F$32,Valores!$C$32*B285)</f>
        <v>0</v>
      </c>
      <c r="AK285" s="125">
        <f>IF(Valores!$C$91*B285&gt;Valores!$C$90,Valores!$C$90,Valores!$C$91*B285)</f>
        <v>0</v>
      </c>
      <c r="AL285" s="125">
        <f>IF(Valores!C$39*B285&gt;Valores!F$38,Valores!F$38,Valores!C$39*B285)</f>
        <v>0</v>
      </c>
      <c r="AM285" s="125">
        <f>IF($F$3="NO",0,IF(Valores!$C$62*B285&gt;Valores!$F$62,Valores!$F$62,Valores!$C$62*B285))</f>
        <v>0</v>
      </c>
      <c r="AN285" s="125">
        <f t="shared" si="49"/>
        <v>0</v>
      </c>
      <c r="AO285" s="125">
        <f>AI285*Valores!$C$71</f>
        <v>-51672.51693889999</v>
      </c>
      <c r="AP285" s="125">
        <f>AI285*Valores!$C$72</f>
        <v>-9395.003079799999</v>
      </c>
      <c r="AQ285" s="125">
        <f>AI285*-Valores!$C$73</f>
        <v>0</v>
      </c>
      <c r="AR285" s="125">
        <f>AI285*Valores!$C$74</f>
        <v>-25836.258469449996</v>
      </c>
      <c r="AS285" s="125">
        <f>Valores!$C$101</f>
        <v>-1270</v>
      </c>
      <c r="AT285" s="125">
        <f>IF($F$5=0,Valores!$C$102,(Valores!$C$102+$F$5*(Valores!$C$102)))</f>
        <v>-3700</v>
      </c>
      <c r="AU285" s="125">
        <f t="shared" si="51"/>
        <v>377876.37550185</v>
      </c>
      <c r="AV285" s="125">
        <f t="shared" si="46"/>
        <v>-51672.51693889999</v>
      </c>
      <c r="AW285" s="125">
        <f t="shared" si="53"/>
        <v>-9395.003079799999</v>
      </c>
      <c r="AX285" s="125">
        <f>AI285*Valores!$C$75</f>
        <v>-12683.254157729998</v>
      </c>
      <c r="AY285" s="125">
        <f>AI285*Valores!$C$76</f>
        <v>-1409.2504619699998</v>
      </c>
      <c r="AZ285" s="125">
        <f t="shared" si="50"/>
        <v>394590.12935159996</v>
      </c>
      <c r="BA285" s="125">
        <f>AI285*Valores!$C$78</f>
        <v>75160.02463839999</v>
      </c>
      <c r="BB285" s="125">
        <f>AI285*Valores!$C$79</f>
        <v>32882.5107793</v>
      </c>
      <c r="BC285" s="125">
        <f>AI285*Valores!$C$80</f>
        <v>4697.501539899999</v>
      </c>
      <c r="BD285" s="125">
        <f>AI285*Valores!$C$82</f>
        <v>16441.25538965</v>
      </c>
      <c r="BE285" s="125">
        <f>AI285*Valores!$C$84</f>
        <v>25366.508315459996</v>
      </c>
      <c r="BF285" s="125">
        <f>AI285*Valores!$C$83</f>
        <v>2818.5009239399997</v>
      </c>
      <c r="BG285" s="126"/>
      <c r="BH285" s="126">
        <f t="shared" si="44"/>
        <v>30</v>
      </c>
      <c r="BI285" s="123" t="s">
        <v>4</v>
      </c>
    </row>
    <row r="286" spans="1:61" s="110" customFormat="1" ht="11.25" customHeight="1">
      <c r="A286" s="123" t="s">
        <v>470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5"/>
        <v>2370</v>
      </c>
      <c r="F286" s="125">
        <f>ROUND(E286*Valores!$C$2,2)</f>
        <v>139641.11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47516.73</v>
      </c>
      <c r="N286" s="125">
        <f t="shared" si="47"/>
        <v>0</v>
      </c>
      <c r="O286" s="125">
        <f>Valores!$C$7*B286</f>
        <v>59940.9</v>
      </c>
      <c r="P286" s="125">
        <f>ROUND(IF(B286&lt;15,(Valores!$E$5*B286),Valores!$D$5),2)</f>
        <v>30120.06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31573.5</v>
      </c>
      <c r="S286" s="125">
        <f>Valores!$C$18*B286</f>
        <v>18852.3</v>
      </c>
      <c r="T286" s="125">
        <f t="shared" si="52"/>
        <v>18852.3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IF(Valores!$C$98*B286&gt;Valores!$C$97,Valores!$C$97,Valores!$C$98*B286)</f>
        <v>57552.3</v>
      </c>
      <c r="AA286" s="125">
        <f>IF((Valores!$C$28)*B286&gt;Valores!$F$28,Valores!$F$28,(Valores!$C$28)*B286)</f>
        <v>1481.1</v>
      </c>
      <c r="AB286" s="214">
        <v>0</v>
      </c>
      <c r="AC286" s="125">
        <f t="shared" si="48"/>
        <v>0</v>
      </c>
      <c r="AD286" s="125">
        <f>IF(Valores!$C$29*B286&gt;Valores!$F$29,Valores!$F$29,Valores!$C$29*B286)</f>
        <v>1231.85</v>
      </c>
      <c r="AE286" s="192">
        <v>94</v>
      </c>
      <c r="AF286" s="125">
        <f>ROUND(AE286*Valores!$C$2,2)</f>
        <v>5538.51</v>
      </c>
      <c r="AG286" s="125">
        <f>SUM(F286,H286,J286,L286,M286,N286,O286,P286,Q286,R286,T286,U286,V286,X286,Y286,Z286,AA286,AC286,AD286,AF286,AH286)*Valores!$C$69</f>
        <v>54388.311779999996</v>
      </c>
      <c r="AH286" s="125">
        <f>IF($F$4="NO",IF(Valores!$D$63*'Escala Docente'!B286&gt;Valores!$F$63,Valores!$F$63,Valores!$D$63*'Escala Docente'!B286),IF(Valores!$D$63*'Escala Docente'!B286&gt;Valores!$F$63,Valores!$F$63,Valores!$D$63*'Escala Docente'!B286)/2)+0.06</f>
        <v>28166.460000000003</v>
      </c>
      <c r="AI286" s="125">
        <f t="shared" si="54"/>
        <v>476003.13177999994</v>
      </c>
      <c r="AJ286" s="125">
        <f>IF(Valores!$C$32*B286&gt;Valores!$F$32,Valores!$F$32,Valores!$C$32*B286)</f>
        <v>0</v>
      </c>
      <c r="AK286" s="125">
        <f>IF(Valores!$C$91*B286&gt;Valores!$C$90,Valores!$C$90,Valores!$C$91*B286)</f>
        <v>0</v>
      </c>
      <c r="AL286" s="125">
        <f>IF(Valores!C$39*B286&gt;Valores!F$38,Valores!F$38,Valores!C$39*B286)</f>
        <v>0</v>
      </c>
      <c r="AM286" s="125">
        <f>IF($F$3="NO",0,IF(Valores!$C$62*B286&gt;Valores!$F$62,Valores!$F$62,Valores!$C$62*B286))</f>
        <v>0</v>
      </c>
      <c r="AN286" s="125">
        <f t="shared" si="49"/>
        <v>0</v>
      </c>
      <c r="AO286" s="125">
        <f>AI286*Valores!$C$71</f>
        <v>-52360.3444958</v>
      </c>
      <c r="AP286" s="125">
        <f>AI286*Valores!$C$72</f>
        <v>-9520.0626356</v>
      </c>
      <c r="AQ286" s="125">
        <f>AI286*-Valores!$C$73</f>
        <v>0</v>
      </c>
      <c r="AR286" s="125">
        <f>AI286*Valores!$C$74</f>
        <v>-26180.1722479</v>
      </c>
      <c r="AS286" s="125">
        <f>Valores!$C$101</f>
        <v>-1270</v>
      </c>
      <c r="AT286" s="125">
        <f>IF($F$5=0,Valores!$C$102,(Valores!$C$102+$F$5*(Valores!$C$102)))</f>
        <v>-3700</v>
      </c>
      <c r="AU286" s="125">
        <f t="shared" si="51"/>
        <v>382972.55240069993</v>
      </c>
      <c r="AV286" s="125">
        <f t="shared" si="46"/>
        <v>-52360.3444958</v>
      </c>
      <c r="AW286" s="125">
        <f t="shared" si="53"/>
        <v>-9520.0626356</v>
      </c>
      <c r="AX286" s="125">
        <f>AI286*Valores!$C$75</f>
        <v>-12852.084558059998</v>
      </c>
      <c r="AY286" s="125">
        <f>AI286*Valores!$C$76</f>
        <v>-1428.0093953399999</v>
      </c>
      <c r="AZ286" s="125">
        <f t="shared" si="50"/>
        <v>399842.63069519994</v>
      </c>
      <c r="BA286" s="125">
        <f>AI286*Valores!$C$78</f>
        <v>76160.5010848</v>
      </c>
      <c r="BB286" s="125">
        <f>AI286*Valores!$C$79</f>
        <v>33320.2192246</v>
      </c>
      <c r="BC286" s="125">
        <f>AI286*Valores!$C$80</f>
        <v>4760.0313178</v>
      </c>
      <c r="BD286" s="125">
        <f>AI286*Valores!$C$82</f>
        <v>16660.1096123</v>
      </c>
      <c r="BE286" s="125">
        <f>AI286*Valores!$C$84</f>
        <v>25704.169116119996</v>
      </c>
      <c r="BF286" s="125">
        <f>AI286*Valores!$C$83</f>
        <v>2856.0187906799997</v>
      </c>
      <c r="BG286" s="126"/>
      <c r="BH286" s="126">
        <f t="shared" si="44"/>
        <v>30</v>
      </c>
      <c r="BI286" s="123" t="s">
        <v>4</v>
      </c>
    </row>
    <row r="287" spans="1:61" s="110" customFormat="1" ht="11.25" customHeight="1">
      <c r="A287" s="123" t="s">
        <v>470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5"/>
        <v>2449</v>
      </c>
      <c r="F287" s="125">
        <f>ROUND(E287*Valores!$C$2,2)</f>
        <v>144295.81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49100.62</v>
      </c>
      <c r="N287" s="125">
        <f t="shared" si="47"/>
        <v>0</v>
      </c>
      <c r="O287" s="125">
        <f>Valores!$C$7*B287</f>
        <v>61938.93</v>
      </c>
      <c r="P287" s="125">
        <f>ROUND(IF(B287&lt;15,(Valores!$E$5*B287),Valores!$D$5),2)</f>
        <v>30120.06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32625.95</v>
      </c>
      <c r="S287" s="125">
        <f>Valores!$C$18*B287</f>
        <v>19480.71</v>
      </c>
      <c r="T287" s="125">
        <f t="shared" si="52"/>
        <v>19480.71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IF(Valores!$C$98*B287&gt;Valores!$C$97,Valores!$C$97,Valores!$C$98*B287)</f>
        <v>59470.71</v>
      </c>
      <c r="AA287" s="125">
        <f>IF((Valores!$C$28)*B287&gt;Valores!$F$28,Valores!$F$28,(Valores!$C$28)*B287)</f>
        <v>1530.47</v>
      </c>
      <c r="AB287" s="214">
        <v>0</v>
      </c>
      <c r="AC287" s="125">
        <f t="shared" si="48"/>
        <v>0</v>
      </c>
      <c r="AD287" s="125">
        <f>IF(Valores!$C$29*B287&gt;Valores!$F$29,Valores!$F$29,Valores!$C$29*B287)</f>
        <v>1231.85</v>
      </c>
      <c r="AE287" s="192">
        <v>0</v>
      </c>
      <c r="AF287" s="125">
        <f>ROUND(AE287*Valores!$C$2,2)</f>
        <v>0</v>
      </c>
      <c r="AG287" s="125">
        <f>SUM(F287,H287,J287,L287,M287,N287,O287,P287,Q287,R287,T287,U287,V287,X287,Y287,Z287,AA287,AC287,AD287,AF287,AH287)*Valores!$C$69</f>
        <v>55207.04253</v>
      </c>
      <c r="AH287" s="125">
        <f>IF($F$4="NO",IF(Valores!$D$63*'Escala Docente'!B287&gt;Valores!$F$63,Valores!$F$63,Valores!$D$63*'Escala Docente'!B287),IF(Valores!$D$63*'Escala Docente'!B287&gt;Valores!$F$63,Valores!$F$63,Valores!$D$63*'Escala Docente'!B287)/2)</f>
        <v>28166.46</v>
      </c>
      <c r="AI287" s="125">
        <f t="shared" si="54"/>
        <v>483168.61253</v>
      </c>
      <c r="AJ287" s="125">
        <f>IF(Valores!$C$32*B287&gt;Valores!$F$32,Valores!$F$32,Valores!$C$32*B287)</f>
        <v>0</v>
      </c>
      <c r="AK287" s="125">
        <f>IF(Valores!$C$91*B287&gt;Valores!$C$90,Valores!$C$90,Valores!$C$91*B287)</f>
        <v>0</v>
      </c>
      <c r="AL287" s="125">
        <f>IF(Valores!C$39*B287&gt;Valores!F$38,Valores!F$38,Valores!C$39*B287)</f>
        <v>0</v>
      </c>
      <c r="AM287" s="125">
        <f>IF($F$3="NO",0,IF(Valores!$C$62*B287&gt;Valores!$F$62,Valores!$F$62,Valores!$C$62*B287))</f>
        <v>0</v>
      </c>
      <c r="AN287" s="125">
        <f t="shared" si="49"/>
        <v>0</v>
      </c>
      <c r="AO287" s="125">
        <f>AI287*Valores!$C$71</f>
        <v>-53148.5473783</v>
      </c>
      <c r="AP287" s="125">
        <f>AI287*Valores!$C$72</f>
        <v>-9663.3722506</v>
      </c>
      <c r="AQ287" s="125">
        <f>AI287*-Valores!$C$73</f>
        <v>0</v>
      </c>
      <c r="AR287" s="125">
        <f>AI287*Valores!$C$74</f>
        <v>-26574.27368915</v>
      </c>
      <c r="AS287" s="125">
        <f>Valores!$C$101</f>
        <v>-1270</v>
      </c>
      <c r="AT287" s="125">
        <f>IF($F$5=0,Valores!$C$102,(Valores!$C$102+$F$5*(Valores!$C$102)))</f>
        <v>-3700</v>
      </c>
      <c r="AU287" s="125">
        <f t="shared" si="51"/>
        <v>388812.41921195</v>
      </c>
      <c r="AV287" s="125">
        <f t="shared" si="46"/>
        <v>-53148.5473783</v>
      </c>
      <c r="AW287" s="125">
        <f t="shared" si="53"/>
        <v>-9663.3722506</v>
      </c>
      <c r="AX287" s="125">
        <f>AI287*Valores!$C$75</f>
        <v>-13045.55253831</v>
      </c>
      <c r="AY287" s="125">
        <f>AI287*Valores!$C$76</f>
        <v>-1449.50583759</v>
      </c>
      <c r="AZ287" s="125">
        <f t="shared" si="50"/>
        <v>405861.6345252</v>
      </c>
      <c r="BA287" s="125">
        <f>AI287*Valores!$C$78</f>
        <v>77306.9780048</v>
      </c>
      <c r="BB287" s="125">
        <f>AI287*Valores!$C$79</f>
        <v>33821.8028771</v>
      </c>
      <c r="BC287" s="125">
        <f>AI287*Valores!$C$80</f>
        <v>4831.6861253</v>
      </c>
      <c r="BD287" s="125">
        <f>AI287*Valores!$C$82</f>
        <v>16910.90143855</v>
      </c>
      <c r="BE287" s="125">
        <f>AI287*Valores!$C$84</f>
        <v>26091.10507662</v>
      </c>
      <c r="BF287" s="125">
        <f>AI287*Valores!$C$83</f>
        <v>2899.01167518</v>
      </c>
      <c r="BG287" s="126"/>
      <c r="BH287" s="126">
        <f aca="true" t="shared" si="55" ref="BH287:BH299">1*B287</f>
        <v>31</v>
      </c>
      <c r="BI287" s="123" t="s">
        <v>8</v>
      </c>
    </row>
    <row r="288" spans="1:61" s="110" customFormat="1" ht="11.25" customHeight="1">
      <c r="A288" s="123" t="s">
        <v>470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5"/>
        <v>2449</v>
      </c>
      <c r="F288" s="125">
        <f>ROUND(E288*Valores!$C$2,2)</f>
        <v>144295.81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49100.62</v>
      </c>
      <c r="N288" s="125">
        <f t="shared" si="47"/>
        <v>0</v>
      </c>
      <c r="O288" s="125">
        <f>Valores!$C$7*B288</f>
        <v>61938.93</v>
      </c>
      <c r="P288" s="125">
        <f>ROUND(IF(B288&lt;15,(Valores!$E$5*B288),Valores!$D$5),2)</f>
        <v>30120.06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32625.95</v>
      </c>
      <c r="S288" s="125">
        <f>Valores!$C$18*B288</f>
        <v>19480.71</v>
      </c>
      <c r="T288" s="125">
        <f t="shared" si="52"/>
        <v>19480.71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IF(Valores!$C$98*B288&gt;Valores!$C$97,Valores!$C$97,Valores!$C$98*B288)</f>
        <v>59470.71</v>
      </c>
      <c r="AA288" s="125">
        <f>IF((Valores!$C$28)*B288&gt;Valores!$F$28,Valores!$F$28,(Valores!$C$28)*B288)</f>
        <v>1530.47</v>
      </c>
      <c r="AB288" s="214">
        <v>0</v>
      </c>
      <c r="AC288" s="125">
        <f t="shared" si="48"/>
        <v>0</v>
      </c>
      <c r="AD288" s="125">
        <f>IF(Valores!$C$29*B288&gt;Valores!$F$29,Valores!$F$29,Valores!$C$29*B288)</f>
        <v>1231.85</v>
      </c>
      <c r="AE288" s="192">
        <v>94</v>
      </c>
      <c r="AF288" s="125">
        <f>ROUND(AE288*Valores!$C$2,2)</f>
        <v>5538.51</v>
      </c>
      <c r="AG288" s="125">
        <f>SUM(F288,H288,J288,L288,M288,N288,O288,P288,Q288,R288,T288,U288,V288,X288,Y288,Z288,AA288,AC288,AD288,AF288,AH288)*Valores!$C$69</f>
        <v>55921.51032</v>
      </c>
      <c r="AH288" s="125">
        <f>IF($F$4="NO",IF(Valores!$D$63*'Escala Docente'!B288&gt;Valores!$F$63,Valores!$F$63,Valores!$D$63*'Escala Docente'!B288),IF(Valores!$D$63*'Escala Docente'!B288&gt;Valores!$F$63,Valores!$F$63,Valores!$D$63*'Escala Docente'!B288)/2)</f>
        <v>28166.46</v>
      </c>
      <c r="AI288" s="125">
        <f t="shared" si="54"/>
        <v>489421.59032</v>
      </c>
      <c r="AJ288" s="125">
        <f>IF(Valores!$C$32*B288&gt;Valores!$F$32,Valores!$F$32,Valores!$C$32*B288)</f>
        <v>0</v>
      </c>
      <c r="AK288" s="125">
        <f>IF(Valores!$C$91*B288&gt;Valores!$C$90,Valores!$C$90,Valores!$C$91*B288)</f>
        <v>0</v>
      </c>
      <c r="AL288" s="125">
        <f>IF(Valores!C$39*B288&gt;Valores!F$38,Valores!F$38,Valores!C$39*B288)</f>
        <v>0</v>
      </c>
      <c r="AM288" s="125">
        <f>IF($F$3="NO",0,IF(Valores!$C$62*B288&gt;Valores!$F$62,Valores!$F$62,Valores!$C$62*B288))</f>
        <v>0</v>
      </c>
      <c r="AN288" s="125">
        <f t="shared" si="49"/>
        <v>0</v>
      </c>
      <c r="AO288" s="125">
        <f>AI288*Valores!$C$71</f>
        <v>-53836.3749352</v>
      </c>
      <c r="AP288" s="125">
        <f>AI288*Valores!$C$72</f>
        <v>-9788.4318064</v>
      </c>
      <c r="AQ288" s="125">
        <f>AI288*-Valores!$C$73</f>
        <v>0</v>
      </c>
      <c r="AR288" s="125">
        <f>AI288*Valores!$C$74</f>
        <v>-26918.1874676</v>
      </c>
      <c r="AS288" s="125">
        <f>Valores!$C$101</f>
        <v>-1270</v>
      </c>
      <c r="AT288" s="125">
        <f>IF($F$5=0,Valores!$C$102,(Valores!$C$102+$F$5*(Valores!$C$102)))</f>
        <v>-3700</v>
      </c>
      <c r="AU288" s="125">
        <f t="shared" si="51"/>
        <v>393908.59611080005</v>
      </c>
      <c r="AV288" s="125">
        <f t="shared" si="46"/>
        <v>-53836.3749352</v>
      </c>
      <c r="AW288" s="125">
        <f t="shared" si="53"/>
        <v>-9788.4318064</v>
      </c>
      <c r="AX288" s="125">
        <f>AI288*Valores!$C$75</f>
        <v>-13214.382938640001</v>
      </c>
      <c r="AY288" s="125">
        <f>AI288*Valores!$C$76</f>
        <v>-1468.26477096</v>
      </c>
      <c r="AZ288" s="125">
        <f t="shared" si="50"/>
        <v>411114.1358688</v>
      </c>
      <c r="BA288" s="125">
        <f>AI288*Valores!$C$78</f>
        <v>78307.4544512</v>
      </c>
      <c r="BB288" s="125">
        <f>AI288*Valores!$C$79</f>
        <v>34259.5113224</v>
      </c>
      <c r="BC288" s="125">
        <f>AI288*Valores!$C$80</f>
        <v>4894.2159032</v>
      </c>
      <c r="BD288" s="125">
        <f>AI288*Valores!$C$82</f>
        <v>17129.7556612</v>
      </c>
      <c r="BE288" s="125">
        <f>AI288*Valores!$C$84</f>
        <v>26428.765877280002</v>
      </c>
      <c r="BF288" s="125">
        <f>AI288*Valores!$C$83</f>
        <v>2936.52954192</v>
      </c>
      <c r="BG288" s="126"/>
      <c r="BH288" s="126">
        <f t="shared" si="55"/>
        <v>31</v>
      </c>
      <c r="BI288" s="123" t="s">
        <v>8</v>
      </c>
    </row>
    <row r="289" spans="1:61" s="110" customFormat="1" ht="11.25" customHeight="1">
      <c r="A289" s="123" t="s">
        <v>470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5"/>
        <v>2528</v>
      </c>
      <c r="F289" s="125">
        <f>ROUND(E289*Valores!$C$2,2)</f>
        <v>148950.52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50684.51</v>
      </c>
      <c r="N289" s="125">
        <f t="shared" si="47"/>
        <v>0</v>
      </c>
      <c r="O289" s="125">
        <f>Valores!$C$7*B289</f>
        <v>63936.96</v>
      </c>
      <c r="P289" s="125">
        <f>ROUND(IF(B289&lt;15,(Valores!$E$5*B289),Valores!$D$5),2)</f>
        <v>30120.06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33678.4</v>
      </c>
      <c r="S289" s="125">
        <f>Valores!$C$18*B289</f>
        <v>20109.12</v>
      </c>
      <c r="T289" s="125">
        <f t="shared" si="52"/>
        <v>20109.12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IF(Valores!$C$98*B289&gt;Valores!$C$97,Valores!$C$97,Valores!$C$98*B289)</f>
        <v>61389.12</v>
      </c>
      <c r="AA289" s="125">
        <f>IF((Valores!$C$28)*B289&gt;Valores!$F$28,Valores!$F$28,(Valores!$C$28)*B289)</f>
        <v>1579.84</v>
      </c>
      <c r="AB289" s="214">
        <v>0</v>
      </c>
      <c r="AC289" s="125">
        <f t="shared" si="48"/>
        <v>0</v>
      </c>
      <c r="AD289" s="125">
        <f>IF(Valores!$C$29*B289&gt;Valores!$F$29,Valores!$F$29,Valores!$C$29*B289)</f>
        <v>1231.85</v>
      </c>
      <c r="AE289" s="192">
        <v>0</v>
      </c>
      <c r="AF289" s="125">
        <f>ROUND(AE289*Valores!$C$2,2)</f>
        <v>0</v>
      </c>
      <c r="AG289" s="125">
        <f>SUM(F289,H289,J289,L289,M289,N289,O289,P289,Q289,R289,T289,U289,V289,X289,Y289,Z289,AA289,AC289,AD289,AF289,AH289)*Valores!$C$69</f>
        <v>56740.242360000004</v>
      </c>
      <c r="AH289" s="125">
        <f>IF($F$4="NO",IF(Valores!$D$63*'Escala Docente'!B289&gt;Valores!$F$63,Valores!$F$63,Valores!$D$63*'Escala Docente'!B289),IF(Valores!$D$63*'Escala Docente'!B289&gt;Valores!$F$63,Valores!$F$63,Valores!$D$63*'Escala Docente'!B289)/2)</f>
        <v>28166.46</v>
      </c>
      <c r="AI289" s="125">
        <f t="shared" si="54"/>
        <v>496587.08236000006</v>
      </c>
      <c r="AJ289" s="125">
        <f>IF(Valores!$C$32*B289&gt;Valores!$F$32,Valores!$F$32,Valores!$C$32*B289)</f>
        <v>0</v>
      </c>
      <c r="AK289" s="125">
        <f>IF(Valores!$C$91*B289&gt;Valores!$C$90,Valores!$C$90,Valores!$C$91*B289)</f>
        <v>0</v>
      </c>
      <c r="AL289" s="125">
        <f>IF(Valores!C$39*B289&gt;Valores!F$38,Valores!F$38,Valores!C$39*B289)</f>
        <v>0</v>
      </c>
      <c r="AM289" s="125">
        <f>IF($F$3="NO",0,IF(Valores!$C$62*B289&gt;Valores!$F$62,Valores!$F$62,Valores!$C$62*B289))</f>
        <v>0</v>
      </c>
      <c r="AN289" s="125">
        <f t="shared" si="49"/>
        <v>0</v>
      </c>
      <c r="AO289" s="125">
        <f>AI289*Valores!$C$71</f>
        <v>-54624.57905960001</v>
      </c>
      <c r="AP289" s="125">
        <f>AI289*Valores!$C$72</f>
        <v>-9931.741647200002</v>
      </c>
      <c r="AQ289" s="125">
        <f>AI289*-Valores!$C$73</f>
        <v>0</v>
      </c>
      <c r="AR289" s="125">
        <f>AI289*Valores!$C$74</f>
        <v>-27312.289529800004</v>
      </c>
      <c r="AS289" s="125">
        <f>Valores!$C$101</f>
        <v>-1270</v>
      </c>
      <c r="AT289" s="125">
        <f>IF($F$5=0,Valores!$C$102,(Valores!$C$102+$F$5*(Valores!$C$102)))</f>
        <v>-3700</v>
      </c>
      <c r="AU289" s="125">
        <f t="shared" si="51"/>
        <v>399748.4721234001</v>
      </c>
      <c r="AV289" s="125">
        <f t="shared" si="46"/>
        <v>-54624.57905960001</v>
      </c>
      <c r="AW289" s="125">
        <f t="shared" si="53"/>
        <v>-9931.741647200002</v>
      </c>
      <c r="AX289" s="125">
        <f>AI289*Valores!$C$75</f>
        <v>-13407.851223720001</v>
      </c>
      <c r="AY289" s="125">
        <f>AI289*Valores!$C$76</f>
        <v>-1489.7612470800002</v>
      </c>
      <c r="AZ289" s="125">
        <f t="shared" si="50"/>
        <v>417133.1491824001</v>
      </c>
      <c r="BA289" s="125">
        <f>AI289*Valores!$C$78</f>
        <v>79453.93317760002</v>
      </c>
      <c r="BB289" s="125">
        <f>AI289*Valores!$C$79</f>
        <v>34761.09576520001</v>
      </c>
      <c r="BC289" s="125">
        <f>AI289*Valores!$C$80</f>
        <v>4965.870823600001</v>
      </c>
      <c r="BD289" s="125">
        <f>AI289*Valores!$C$82</f>
        <v>17380.547882600004</v>
      </c>
      <c r="BE289" s="125">
        <f>AI289*Valores!$C$84</f>
        <v>26815.702447440002</v>
      </c>
      <c r="BF289" s="125">
        <f>AI289*Valores!$C$83</f>
        <v>2979.5224941600004</v>
      </c>
      <c r="BG289" s="126"/>
      <c r="BH289" s="126">
        <f t="shared" si="55"/>
        <v>32</v>
      </c>
      <c r="BI289" s="123" t="s">
        <v>8</v>
      </c>
    </row>
    <row r="290" spans="1:61" s="110" customFormat="1" ht="11.25" customHeight="1">
      <c r="A290" s="123" t="s">
        <v>470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5"/>
        <v>2528</v>
      </c>
      <c r="F290" s="125">
        <f>ROUND(E290*Valores!$C$2,2)</f>
        <v>148950.52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50684.51</v>
      </c>
      <c r="N290" s="125">
        <f t="shared" si="47"/>
        <v>0</v>
      </c>
      <c r="O290" s="125">
        <f>Valores!$C$7*B290</f>
        <v>63936.96</v>
      </c>
      <c r="P290" s="125">
        <f>ROUND(IF(B290&lt;15,(Valores!$E$5*B290),Valores!$D$5),2)</f>
        <v>30120.06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33678.4</v>
      </c>
      <c r="S290" s="125">
        <f>Valores!$C$18*B290</f>
        <v>20109.12</v>
      </c>
      <c r="T290" s="125">
        <f t="shared" si="52"/>
        <v>20109.12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IF(Valores!$C$98*B290&gt;Valores!$C$97,Valores!$C$97,Valores!$C$98*B290)</f>
        <v>61389.12</v>
      </c>
      <c r="AA290" s="125">
        <f>IF((Valores!$C$28)*B290&gt;Valores!$F$28,Valores!$F$28,(Valores!$C$28)*B290)</f>
        <v>1579.84</v>
      </c>
      <c r="AB290" s="214">
        <v>0</v>
      </c>
      <c r="AC290" s="125">
        <f t="shared" si="48"/>
        <v>0</v>
      </c>
      <c r="AD290" s="125">
        <f>IF(Valores!$C$29*B290&gt;Valores!$F$29,Valores!$F$29,Valores!$C$29*B290)</f>
        <v>1231.85</v>
      </c>
      <c r="AE290" s="192">
        <v>94</v>
      </c>
      <c r="AF290" s="125">
        <f>ROUND(AE290*Valores!$C$2,2)</f>
        <v>5538.51</v>
      </c>
      <c r="AG290" s="125">
        <f>SUM(F290,H290,J290,L290,M290,N290,O290,P290,Q290,R290,T290,U290,V290,X290,Y290,Z290,AA290,AC290,AD290,AF290,AH290)*Valores!$C$69</f>
        <v>57454.710150000006</v>
      </c>
      <c r="AH290" s="125">
        <f>IF($F$4="NO",IF(Valores!$D$63*'Escala Docente'!B290&gt;Valores!$F$63,Valores!$F$63,Valores!$D$63*'Escala Docente'!B290),IF(Valores!$D$63*'Escala Docente'!B290&gt;Valores!$F$63,Valores!$F$63,Valores!$D$63*'Escala Docente'!B290)/2)</f>
        <v>28166.46</v>
      </c>
      <c r="AI290" s="125">
        <f t="shared" si="54"/>
        <v>502840.06015000003</v>
      </c>
      <c r="AJ290" s="125">
        <f>IF(Valores!$C$32*B290&gt;Valores!$F$32,Valores!$F$32,Valores!$C$32*B290)</f>
        <v>0</v>
      </c>
      <c r="AK290" s="125">
        <f>IF(Valores!$C$91*B290&gt;Valores!$C$90,Valores!$C$90,Valores!$C$91*B290)</f>
        <v>0</v>
      </c>
      <c r="AL290" s="125">
        <f>IF(Valores!C$39*B290&gt;Valores!F$38,Valores!F$38,Valores!C$39*B290)</f>
        <v>0</v>
      </c>
      <c r="AM290" s="125">
        <f>IF($F$3="NO",0,IF(Valores!$C$62*B290&gt;Valores!$F$62,Valores!$F$62,Valores!$C$62*B290))</f>
        <v>0</v>
      </c>
      <c r="AN290" s="125">
        <f t="shared" si="49"/>
        <v>0</v>
      </c>
      <c r="AO290" s="125">
        <f>AI290*Valores!$C$71</f>
        <v>-55312.406616500004</v>
      </c>
      <c r="AP290" s="125">
        <f>AI290*Valores!$C$72</f>
        <v>-10056.801203</v>
      </c>
      <c r="AQ290" s="125">
        <f>AI290*-Valores!$C$73</f>
        <v>0</v>
      </c>
      <c r="AR290" s="125">
        <f>AI290*Valores!$C$74</f>
        <v>-27656.203308250002</v>
      </c>
      <c r="AS290" s="125">
        <f>Valores!$C$101</f>
        <v>-1270</v>
      </c>
      <c r="AT290" s="125">
        <f>IF($F$5=0,Valores!$C$102,(Valores!$C$102+$F$5*(Valores!$C$102)))</f>
        <v>-3700</v>
      </c>
      <c r="AU290" s="125">
        <f t="shared" si="51"/>
        <v>404844.64902225</v>
      </c>
      <c r="AV290" s="125">
        <f t="shared" si="46"/>
        <v>-55312.406616500004</v>
      </c>
      <c r="AW290" s="125">
        <f t="shared" si="53"/>
        <v>-10056.801203</v>
      </c>
      <c r="AX290" s="125">
        <f>AI290*Valores!$C$75</f>
        <v>-13576.681624050001</v>
      </c>
      <c r="AY290" s="125">
        <f>AI290*Valores!$C$76</f>
        <v>-1508.5201804500002</v>
      </c>
      <c r="AZ290" s="125">
        <f t="shared" si="50"/>
        <v>422385.650526</v>
      </c>
      <c r="BA290" s="125">
        <f>AI290*Valores!$C$78</f>
        <v>80454.409624</v>
      </c>
      <c r="BB290" s="125">
        <f>AI290*Valores!$C$79</f>
        <v>35198.804210500006</v>
      </c>
      <c r="BC290" s="125">
        <f>AI290*Valores!$C$80</f>
        <v>5028.4006015</v>
      </c>
      <c r="BD290" s="125">
        <f>AI290*Valores!$C$82</f>
        <v>17599.402105250003</v>
      </c>
      <c r="BE290" s="125">
        <f>AI290*Valores!$C$84</f>
        <v>27153.363248100002</v>
      </c>
      <c r="BF290" s="125">
        <f>AI290*Valores!$C$83</f>
        <v>3017.0403609000005</v>
      </c>
      <c r="BG290" s="126"/>
      <c r="BH290" s="126">
        <f t="shared" si="55"/>
        <v>32</v>
      </c>
      <c r="BI290" s="123" t="s">
        <v>8</v>
      </c>
    </row>
    <row r="291" spans="1:61" s="110" customFormat="1" ht="11.25" customHeight="1">
      <c r="A291" s="123" t="s">
        <v>470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6" ref="E291:E298">79*B291</f>
        <v>2607</v>
      </c>
      <c r="F291" s="125">
        <f>ROUND(E291*Valores!$C$2,2)</f>
        <v>153605.22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52268.4</v>
      </c>
      <c r="N291" s="125">
        <f t="shared" si="47"/>
        <v>0</v>
      </c>
      <c r="O291" s="125">
        <f>Valores!$C$7*B291</f>
        <v>65934.99</v>
      </c>
      <c r="P291" s="125">
        <f>ROUND(IF(B291&lt;15,(Valores!$E$5*B291),Valores!$D$5),2)</f>
        <v>30120.06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34730.85</v>
      </c>
      <c r="S291" s="125">
        <f>Valores!$C$18*B291</f>
        <v>20737.53</v>
      </c>
      <c r="T291" s="125">
        <f t="shared" si="52"/>
        <v>20737.53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IF(Valores!$C$98*B291&gt;Valores!$C$97,Valores!$C$97,Valores!$C$98*B291)</f>
        <v>63307.530000000006</v>
      </c>
      <c r="AA291" s="125">
        <f>IF((Valores!$C$28)*B291&gt;Valores!$F$28,Valores!$F$28,(Valores!$C$28)*B291)</f>
        <v>1629.2099999999998</v>
      </c>
      <c r="AB291" s="214">
        <v>0</v>
      </c>
      <c r="AC291" s="125">
        <f t="shared" si="48"/>
        <v>0</v>
      </c>
      <c r="AD291" s="125">
        <f>IF(Valores!$C$29*B291&gt;Valores!$F$29,Valores!$F$29,Valores!$C$29*B291)</f>
        <v>1231.85</v>
      </c>
      <c r="AE291" s="192">
        <v>0</v>
      </c>
      <c r="AF291" s="125">
        <f>ROUND(AE291*Valores!$C$2,2)</f>
        <v>0</v>
      </c>
      <c r="AG291" s="125">
        <f>SUM(F291,H291,J291,L291,M291,N291,O291,P291,Q291,R291,T291,U291,V291,X291,Y291,Z291,AA291,AC291,AD291,AF291,AH291)*Valores!$C$69</f>
        <v>58273.4409</v>
      </c>
      <c r="AH291" s="125">
        <f>IF($F$4="NO",IF(Valores!$D$63*'Escala Docente'!B291&gt;Valores!$F$63,Valores!$F$63,Valores!$D$63*'Escala Docente'!B291),IF(Valores!$D$63*'Escala Docente'!B291&gt;Valores!$F$63,Valores!$F$63,Valores!$D$63*'Escala Docente'!B291)/2)</f>
        <v>28166.46</v>
      </c>
      <c r="AI291" s="125">
        <f t="shared" si="54"/>
        <v>510005.54089999996</v>
      </c>
      <c r="AJ291" s="125">
        <f>IF(Valores!$C$32*B291&gt;Valores!$F$32,Valores!$F$32,Valores!$C$32*B291)</f>
        <v>0</v>
      </c>
      <c r="AK291" s="125">
        <f>IF(Valores!$C$91*B291&gt;Valores!$C$90,Valores!$C$90,Valores!$C$91*B291)</f>
        <v>0</v>
      </c>
      <c r="AL291" s="125">
        <f>IF(Valores!C$39*B291&gt;Valores!F$38,Valores!F$38,Valores!C$39*B291)</f>
        <v>0</v>
      </c>
      <c r="AM291" s="125">
        <f>IF($F$3="NO",0,IF(Valores!$C$62*B291&gt;Valores!$F$62,Valores!$F$62,Valores!$C$62*B291))</f>
        <v>0</v>
      </c>
      <c r="AN291" s="125">
        <f t="shared" si="49"/>
        <v>0</v>
      </c>
      <c r="AO291" s="125">
        <f>AI291*Valores!$C$71</f>
        <v>-56100.609499</v>
      </c>
      <c r="AP291" s="125">
        <f>AI291*Valores!$C$72</f>
        <v>-10200.110818</v>
      </c>
      <c r="AQ291" s="125">
        <f>AI291*-Valores!$C$73</f>
        <v>0</v>
      </c>
      <c r="AR291" s="125">
        <f>AI291*Valores!$C$74</f>
        <v>-28050.3047495</v>
      </c>
      <c r="AS291" s="125">
        <f>Valores!$C$101</f>
        <v>-1270</v>
      </c>
      <c r="AT291" s="125">
        <f>IF($F$5=0,Valores!$C$102,(Valores!$C$102+$F$5*(Valores!$C$102)))</f>
        <v>-3700</v>
      </c>
      <c r="AU291" s="125">
        <f t="shared" si="51"/>
        <v>410684.51583349996</v>
      </c>
      <c r="AV291" s="125">
        <f t="shared" si="46"/>
        <v>-56100.609499</v>
      </c>
      <c r="AW291" s="125">
        <f t="shared" si="53"/>
        <v>-10200.110818</v>
      </c>
      <c r="AX291" s="125">
        <f>AI291*Valores!$C$75</f>
        <v>-13770.149604299999</v>
      </c>
      <c r="AY291" s="125">
        <f>AI291*Valores!$C$76</f>
        <v>-1530.0166227</v>
      </c>
      <c r="AZ291" s="125">
        <f t="shared" si="50"/>
        <v>428404.65435599996</v>
      </c>
      <c r="BA291" s="125">
        <f>AI291*Valores!$C$78</f>
        <v>81600.886544</v>
      </c>
      <c r="BB291" s="125">
        <f>AI291*Valores!$C$79</f>
        <v>35700.387863</v>
      </c>
      <c r="BC291" s="125">
        <f>AI291*Valores!$C$80</f>
        <v>5100.055409</v>
      </c>
      <c r="BD291" s="125">
        <f>AI291*Valores!$C$82</f>
        <v>17850.1939315</v>
      </c>
      <c r="BE291" s="125">
        <f>AI291*Valores!$C$84</f>
        <v>27540.299208599998</v>
      </c>
      <c r="BF291" s="125">
        <f>AI291*Valores!$C$83</f>
        <v>3060.0332454</v>
      </c>
      <c r="BG291" s="126"/>
      <c r="BH291" s="126">
        <f t="shared" si="55"/>
        <v>33</v>
      </c>
      <c r="BI291" s="123" t="s">
        <v>8</v>
      </c>
    </row>
    <row r="292" spans="1:61" s="110" customFormat="1" ht="11.25" customHeight="1">
      <c r="A292" s="123" t="s">
        <v>470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6"/>
        <v>2607</v>
      </c>
      <c r="F292" s="125">
        <f>ROUND(E292*Valores!$C$2,2)</f>
        <v>153605.22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52268.4</v>
      </c>
      <c r="N292" s="125">
        <f t="shared" si="47"/>
        <v>0</v>
      </c>
      <c r="O292" s="125">
        <f>Valores!$C$7*B292</f>
        <v>65934.99</v>
      </c>
      <c r="P292" s="125">
        <f>ROUND(IF(B292&lt;15,(Valores!$E$5*B292),Valores!$D$5),2)</f>
        <v>30120.06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34730.85</v>
      </c>
      <c r="S292" s="125">
        <f>Valores!$C$18*B292</f>
        <v>20737.53</v>
      </c>
      <c r="T292" s="125">
        <f t="shared" si="52"/>
        <v>20737.53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IF(Valores!$C$98*B292&gt;Valores!$C$97,Valores!$C$97,Valores!$C$98*B292)</f>
        <v>63307.530000000006</v>
      </c>
      <c r="AA292" s="125">
        <f>IF((Valores!$C$28)*B292&gt;Valores!$F$28,Valores!$F$28,(Valores!$C$28)*B292)</f>
        <v>1629.2099999999998</v>
      </c>
      <c r="AB292" s="214">
        <v>0</v>
      </c>
      <c r="AC292" s="125">
        <f t="shared" si="48"/>
        <v>0</v>
      </c>
      <c r="AD292" s="125">
        <f>IF(Valores!$C$29*B292&gt;Valores!$F$29,Valores!$F$29,Valores!$C$29*B292)</f>
        <v>1231.85</v>
      </c>
      <c r="AE292" s="192">
        <v>94</v>
      </c>
      <c r="AF292" s="125">
        <f>ROUND(AE292*Valores!$C$2,2)</f>
        <v>5538.51</v>
      </c>
      <c r="AG292" s="125">
        <f>SUM(F292,H292,J292,L292,M292,N292,O292,P292,Q292,R292,T292,U292,V292,X292,Y292,Z292,AA292,AC292,AD292,AF292,AH292)*Valores!$C$69</f>
        <v>58987.90869</v>
      </c>
      <c r="AH292" s="125">
        <f>IF($F$4="NO",IF(Valores!$D$63*'Escala Docente'!B292&gt;Valores!$F$63,Valores!$F$63,Valores!$D$63*'Escala Docente'!B292),IF(Valores!$D$63*'Escala Docente'!B292&gt;Valores!$F$63,Valores!$F$63,Valores!$D$63*'Escala Docente'!B292)/2)</f>
        <v>28166.46</v>
      </c>
      <c r="AI292" s="125">
        <f t="shared" si="54"/>
        <v>516258.51869</v>
      </c>
      <c r="AJ292" s="125">
        <f>IF(Valores!$C$32*B292&gt;Valores!$F$32,Valores!$F$32,Valores!$C$32*B292)</f>
        <v>0</v>
      </c>
      <c r="AK292" s="125">
        <f>IF(Valores!$C$91*B292&gt;Valores!$C$90,Valores!$C$90,Valores!$C$91*B292)</f>
        <v>0</v>
      </c>
      <c r="AL292" s="125">
        <f>IF(Valores!C$39*B292&gt;Valores!F$38,Valores!F$38,Valores!C$39*B292)</f>
        <v>0</v>
      </c>
      <c r="AM292" s="125">
        <f>IF($F$3="NO",0,IF(Valores!$C$62*B292&gt;Valores!$F$62,Valores!$F$62,Valores!$C$62*B292))</f>
        <v>0</v>
      </c>
      <c r="AN292" s="125">
        <f t="shared" si="49"/>
        <v>0</v>
      </c>
      <c r="AO292" s="125">
        <f>AI292*Valores!$C$71</f>
        <v>-56788.4370559</v>
      </c>
      <c r="AP292" s="125">
        <f>AI292*Valores!$C$72</f>
        <v>-10325.1703738</v>
      </c>
      <c r="AQ292" s="125">
        <f>AI292*-Valores!$C$73</f>
        <v>0</v>
      </c>
      <c r="AR292" s="125">
        <f>AI292*Valores!$C$74</f>
        <v>-28394.21852795</v>
      </c>
      <c r="AS292" s="125">
        <f>Valores!$C$101</f>
        <v>-1270</v>
      </c>
      <c r="AT292" s="125">
        <f>IF($F$5=0,Valores!$C$102,(Valores!$C$102+$F$5*(Valores!$C$102)))</f>
        <v>-3700</v>
      </c>
      <c r="AU292" s="125">
        <f t="shared" si="51"/>
        <v>415780.69273234997</v>
      </c>
      <c r="AV292" s="125">
        <f t="shared" si="46"/>
        <v>-56788.4370559</v>
      </c>
      <c r="AW292" s="125">
        <f t="shared" si="53"/>
        <v>-10325.1703738</v>
      </c>
      <c r="AX292" s="125">
        <f>AI292*Valores!$C$75</f>
        <v>-13938.98000463</v>
      </c>
      <c r="AY292" s="125">
        <f>AI292*Valores!$C$76</f>
        <v>-1548.77555607</v>
      </c>
      <c r="AZ292" s="125">
        <f t="shared" si="50"/>
        <v>433657.1556996</v>
      </c>
      <c r="BA292" s="125">
        <f>AI292*Valores!$C$78</f>
        <v>82601.3629904</v>
      </c>
      <c r="BB292" s="125">
        <f>AI292*Valores!$C$79</f>
        <v>36138.0963083</v>
      </c>
      <c r="BC292" s="125">
        <f>AI292*Valores!$C$80</f>
        <v>5162.5851869</v>
      </c>
      <c r="BD292" s="125">
        <f>AI292*Valores!$C$82</f>
        <v>18069.04815415</v>
      </c>
      <c r="BE292" s="125">
        <f>AI292*Valores!$C$84</f>
        <v>27877.96000926</v>
      </c>
      <c r="BF292" s="125">
        <f>AI292*Valores!$C$83</f>
        <v>3097.55111214</v>
      </c>
      <c r="BG292" s="123"/>
      <c r="BH292" s="126">
        <f t="shared" si="55"/>
        <v>33</v>
      </c>
      <c r="BI292" s="123" t="s">
        <v>8</v>
      </c>
    </row>
    <row r="293" spans="1:61" s="110" customFormat="1" ht="11.25" customHeight="1">
      <c r="A293" s="123" t="s">
        <v>470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6"/>
        <v>2686</v>
      </c>
      <c r="F293" s="125">
        <f>ROUND(E293*Valores!$C$2,2)</f>
        <v>158259.93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53852.29</v>
      </c>
      <c r="N293" s="125">
        <f t="shared" si="47"/>
        <v>0</v>
      </c>
      <c r="O293" s="125">
        <f>Valores!$C$7*B293</f>
        <v>67933.02</v>
      </c>
      <c r="P293" s="125">
        <f>ROUND(IF(B293&lt;15,(Valores!$E$5*B293),Valores!$D$5),2)</f>
        <v>30120.06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35783.3</v>
      </c>
      <c r="S293" s="125">
        <f>Valores!$C$18*B293</f>
        <v>21365.94</v>
      </c>
      <c r="T293" s="125">
        <f t="shared" si="52"/>
        <v>21365.94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IF(Valores!$C$98*B293&gt;Valores!$C$97,Valores!$C$97,Valores!$C$98*B293)</f>
        <v>65225.94</v>
      </c>
      <c r="AA293" s="125">
        <f>IF((Valores!$C$28)*B293&gt;Valores!$F$28,Valores!$F$28,(Valores!$C$28)*B293)</f>
        <v>1678.58</v>
      </c>
      <c r="AB293" s="214">
        <v>0</v>
      </c>
      <c r="AC293" s="125">
        <f t="shared" si="48"/>
        <v>0</v>
      </c>
      <c r="AD293" s="125">
        <f>IF(Valores!$C$29*B293&gt;Valores!$F$29,Valores!$F$29,Valores!$C$29*B293)</f>
        <v>1231.85</v>
      </c>
      <c r="AE293" s="192">
        <v>0</v>
      </c>
      <c r="AF293" s="125">
        <f>ROUND(AE293*Valores!$C$2,2)</f>
        <v>0</v>
      </c>
      <c r="AG293" s="125">
        <f>SUM(F293,H293,J293,L293,M293,N293,O293,P293,Q293,R293,T293,U293,V293,X293,Y293,Z293,AA293,AC293,AD293,AF293,AH293)*Valores!$C$69</f>
        <v>59806.64073</v>
      </c>
      <c r="AH293" s="125">
        <f>IF($F$4="NO",IF(Valores!$D$63*'Escala Docente'!B293&gt;Valores!$F$63,Valores!$F$63,Valores!$D$63*'Escala Docente'!B293),IF(Valores!$D$63*'Escala Docente'!B293&gt;Valores!$F$63,Valores!$F$63,Valores!$D$63*'Escala Docente'!B293)/2)</f>
        <v>28166.46</v>
      </c>
      <c r="AI293" s="125">
        <f t="shared" si="54"/>
        <v>523424.01073</v>
      </c>
      <c r="AJ293" s="125">
        <f>IF(Valores!$C$32*B293&gt;Valores!$F$32,Valores!$F$32,Valores!$C$32*B293)</f>
        <v>0</v>
      </c>
      <c r="AK293" s="125">
        <f>IF(Valores!$C$91*B293&gt;Valores!$C$90,Valores!$C$90,Valores!$C$91*B293)</f>
        <v>0</v>
      </c>
      <c r="AL293" s="125">
        <f>IF(Valores!C$39*B293&gt;Valores!F$38,Valores!F$38,Valores!C$39*B293)</f>
        <v>0</v>
      </c>
      <c r="AM293" s="125">
        <f>IF($F$3="NO",0,IF(Valores!$C$62*B293&gt;Valores!$F$62,Valores!$F$62,Valores!$C$62*B293))</f>
        <v>0</v>
      </c>
      <c r="AN293" s="125">
        <f t="shared" si="49"/>
        <v>0</v>
      </c>
      <c r="AO293" s="125">
        <f>AI293*Valores!$C$71</f>
        <v>-57576.6411803</v>
      </c>
      <c r="AP293" s="125">
        <f>AI293*Valores!$C$72</f>
        <v>-10468.4802146</v>
      </c>
      <c r="AQ293" s="125">
        <f>AI293*-Valores!$C$73</f>
        <v>0</v>
      </c>
      <c r="AR293" s="125">
        <f>AI293*Valores!$C$74</f>
        <v>-28788.32059015</v>
      </c>
      <c r="AS293" s="125">
        <f>Valores!$C$101</f>
        <v>-1270</v>
      </c>
      <c r="AT293" s="125">
        <f>IF($F$5=0,Valores!$C$102,(Valores!$C$102+$F$5*(Valores!$C$102)))</f>
        <v>-3700</v>
      </c>
      <c r="AU293" s="125">
        <f t="shared" si="51"/>
        <v>421620.56874495</v>
      </c>
      <c r="AV293" s="125">
        <f t="shared" si="46"/>
        <v>-57576.6411803</v>
      </c>
      <c r="AW293" s="125">
        <f t="shared" si="53"/>
        <v>-10468.4802146</v>
      </c>
      <c r="AX293" s="125">
        <f>AI293*Valores!$C$75</f>
        <v>-14132.448289709999</v>
      </c>
      <c r="AY293" s="125">
        <f>AI293*Valores!$C$76</f>
        <v>-1570.27203219</v>
      </c>
      <c r="AZ293" s="125">
        <f t="shared" si="50"/>
        <v>439676.1690132</v>
      </c>
      <c r="BA293" s="125">
        <f>AI293*Valores!$C$78</f>
        <v>83747.8417168</v>
      </c>
      <c r="BB293" s="125">
        <f>AI293*Valores!$C$79</f>
        <v>36639.6807511</v>
      </c>
      <c r="BC293" s="125">
        <f>AI293*Valores!$C$80</f>
        <v>5234.2401073</v>
      </c>
      <c r="BD293" s="125">
        <f>AI293*Valores!$C$82</f>
        <v>18319.84037555</v>
      </c>
      <c r="BE293" s="125">
        <f>AI293*Valores!$C$84</f>
        <v>28264.896579419998</v>
      </c>
      <c r="BF293" s="125">
        <f>AI293*Valores!$C$83</f>
        <v>3140.54406438</v>
      </c>
      <c r="BG293" s="126"/>
      <c r="BH293" s="126">
        <f t="shared" si="55"/>
        <v>34</v>
      </c>
      <c r="BI293" s="123" t="s">
        <v>8</v>
      </c>
    </row>
    <row r="294" spans="1:61" s="110" customFormat="1" ht="11.25" customHeight="1">
      <c r="A294" s="123" t="s">
        <v>470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6"/>
        <v>2686</v>
      </c>
      <c r="F294" s="125">
        <f>ROUND(E294*Valores!$C$2,2)</f>
        <v>158259.93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53852.29</v>
      </c>
      <c r="N294" s="125">
        <f t="shared" si="47"/>
        <v>0</v>
      </c>
      <c r="O294" s="125">
        <f>Valores!$C$7*B294</f>
        <v>67933.02</v>
      </c>
      <c r="P294" s="125">
        <f>ROUND(IF(B294&lt;15,(Valores!$E$5*B294),Valores!$D$5),2)</f>
        <v>30120.06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35783.3</v>
      </c>
      <c r="S294" s="125">
        <f>Valores!$C$18*B294</f>
        <v>21365.94</v>
      </c>
      <c r="T294" s="125">
        <f t="shared" si="52"/>
        <v>21365.94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IF(Valores!$C$98*B294&gt;Valores!$C$97,Valores!$C$97,Valores!$C$98*B294)</f>
        <v>65225.94</v>
      </c>
      <c r="AA294" s="125">
        <f>IF((Valores!$C$28)*B294&gt;Valores!$F$28,Valores!$F$28,(Valores!$C$28)*B294)</f>
        <v>1678.58</v>
      </c>
      <c r="AB294" s="214">
        <v>0</v>
      </c>
      <c r="AC294" s="125">
        <f t="shared" si="48"/>
        <v>0</v>
      </c>
      <c r="AD294" s="125">
        <f>IF(Valores!$C$29*B294&gt;Valores!$F$29,Valores!$F$29,Valores!$C$29*B294)</f>
        <v>1231.85</v>
      </c>
      <c r="AE294" s="192">
        <v>94</v>
      </c>
      <c r="AF294" s="125">
        <f>ROUND(AE294*Valores!$C$2,2)</f>
        <v>5538.51</v>
      </c>
      <c r="AG294" s="125">
        <f>SUM(F294,H294,J294,L294,M294,N294,O294,P294,Q294,R294,T294,U294,V294,X294,Y294,Z294,AA294,AC294,AD294,AF294,AH294)*Valores!$C$69</f>
        <v>60521.10852</v>
      </c>
      <c r="AH294" s="125">
        <f>IF($F$4="NO",IF(Valores!$D$63*'Escala Docente'!B294&gt;Valores!$F$63,Valores!$F$63,Valores!$D$63*'Escala Docente'!B294),IF(Valores!$D$63*'Escala Docente'!B294&gt;Valores!$F$63,Valores!$F$63,Valores!$D$63*'Escala Docente'!B294)/2)</f>
        <v>28166.46</v>
      </c>
      <c r="AI294" s="125">
        <f t="shared" si="54"/>
        <v>529676.98852</v>
      </c>
      <c r="AJ294" s="125">
        <f>IF(Valores!$C$32*B294&gt;Valores!$F$32,Valores!$F$32,Valores!$C$32*B294)</f>
        <v>0</v>
      </c>
      <c r="AK294" s="125">
        <f>IF(Valores!$C$91*B294&gt;Valores!$C$90,Valores!$C$90,Valores!$C$91*B294)</f>
        <v>0</v>
      </c>
      <c r="AL294" s="125">
        <f>IF(Valores!C$39*B294&gt;Valores!F$38,Valores!F$38,Valores!C$39*B294)</f>
        <v>0</v>
      </c>
      <c r="AM294" s="125">
        <f>IF($F$3="NO",0,IF(Valores!$C$62*B294&gt;Valores!$F$62,Valores!$F$62,Valores!$C$62*B294))</f>
        <v>0</v>
      </c>
      <c r="AN294" s="125">
        <f t="shared" si="49"/>
        <v>0</v>
      </c>
      <c r="AO294" s="125">
        <f>AI294*Valores!$C$71</f>
        <v>-58264.468737200004</v>
      </c>
      <c r="AP294" s="125">
        <f>AI294*Valores!$C$72</f>
        <v>-10593.5397704</v>
      </c>
      <c r="AQ294" s="125">
        <f>AI294*-Valores!$C$73</f>
        <v>0</v>
      </c>
      <c r="AR294" s="125">
        <f>AI294*Valores!$C$74</f>
        <v>-29132.234368600002</v>
      </c>
      <c r="AS294" s="125">
        <f>Valores!$C$101</f>
        <v>-1270</v>
      </c>
      <c r="AT294" s="125">
        <f>IF($F$5=0,Valores!$C$102,(Valores!$C$102+$F$5*(Valores!$C$102)))</f>
        <v>-3700</v>
      </c>
      <c r="AU294" s="125">
        <f t="shared" si="51"/>
        <v>426716.7456438</v>
      </c>
      <c r="AV294" s="125">
        <f t="shared" si="46"/>
        <v>-58264.468737200004</v>
      </c>
      <c r="AW294" s="125">
        <f t="shared" si="53"/>
        <v>-10593.5397704</v>
      </c>
      <c r="AX294" s="125">
        <f>AI294*Valores!$C$75</f>
        <v>-14301.27869004</v>
      </c>
      <c r="AY294" s="125">
        <f>AI294*Valores!$C$76</f>
        <v>-1589.0309655600001</v>
      </c>
      <c r="AZ294" s="125">
        <f t="shared" si="50"/>
        <v>444928.6703568</v>
      </c>
      <c r="BA294" s="125">
        <f>AI294*Valores!$C$78</f>
        <v>84748.3181632</v>
      </c>
      <c r="BB294" s="125">
        <f>AI294*Valores!$C$79</f>
        <v>37077.38919640001</v>
      </c>
      <c r="BC294" s="125">
        <f>AI294*Valores!$C$80</f>
        <v>5296.7698852</v>
      </c>
      <c r="BD294" s="125">
        <f>AI294*Valores!$C$82</f>
        <v>18538.694598200003</v>
      </c>
      <c r="BE294" s="125">
        <f>AI294*Valores!$C$84</f>
        <v>28602.55738008</v>
      </c>
      <c r="BF294" s="125">
        <f>AI294*Valores!$C$83</f>
        <v>3178.0619311200003</v>
      </c>
      <c r="BG294" s="126"/>
      <c r="BH294" s="126">
        <f t="shared" si="55"/>
        <v>34</v>
      </c>
      <c r="BI294" s="123" t="s">
        <v>8</v>
      </c>
    </row>
    <row r="295" spans="1:61" s="110" customFormat="1" ht="11.25" customHeight="1">
      <c r="A295" s="123" t="s">
        <v>470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6"/>
        <v>2765</v>
      </c>
      <c r="F295" s="125">
        <f>ROUND(E295*Valores!$C$2,2)</f>
        <v>162914.63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55371.25</v>
      </c>
      <c r="N295" s="125">
        <f t="shared" si="47"/>
        <v>0</v>
      </c>
      <c r="O295" s="125">
        <f>Valores!$C$7*B295</f>
        <v>69931.05</v>
      </c>
      <c r="P295" s="125">
        <f>ROUND(IF(B295&lt;15,(Valores!$E$5*B295),Valores!$D$5),2)</f>
        <v>30120.06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36576.018816</v>
      </c>
      <c r="S295" s="125">
        <f>Valores!$C$18*B295</f>
        <v>21994.35</v>
      </c>
      <c r="T295" s="125">
        <f t="shared" si="52"/>
        <v>21994.35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IF(Valores!$C$98*B295&gt;Valores!$C$97,Valores!$C$97,Valores!$C$98*B295)</f>
        <v>67144.35</v>
      </c>
      <c r="AA295" s="125">
        <f>IF((Valores!$C$28)*B295&gt;Valores!$F$28,Valores!$F$28,(Valores!$C$28)*B295)</f>
        <v>1727.9499999999998</v>
      </c>
      <c r="AB295" s="214">
        <v>0</v>
      </c>
      <c r="AC295" s="125">
        <f t="shared" si="48"/>
        <v>0</v>
      </c>
      <c r="AD295" s="125">
        <f>IF(Valores!$C$29*B295&gt;Valores!$F$29,Valores!$F$29,Valores!$C$29*B295)</f>
        <v>1231.85</v>
      </c>
      <c r="AE295" s="192">
        <v>0</v>
      </c>
      <c r="AF295" s="125">
        <f>ROUND(AE295*Valores!$C$2,2)</f>
        <v>0</v>
      </c>
      <c r="AG295" s="125">
        <f>SUM(F295,H295,J295,L295,M295,N295,O295,P295,Q295,R295,T295,U295,V295,X295,Y295,Z295,AA295,AC295,AD295,AF295,AH295)*Valores!$C$69</f>
        <v>61297.957977264006</v>
      </c>
      <c r="AH295" s="125">
        <f>IF($F$4="NO",IF(Valores!$D$63*'Escala Docente'!B295&gt;Valores!$F$63,Valores!$F$63,Valores!$D$63*'Escala Docente'!B295),IF(Valores!$D$63*'Escala Docente'!B295&gt;Valores!$F$63,Valores!$F$63,Valores!$D$63*'Escala Docente'!B295)/2)</f>
        <v>28166.46</v>
      </c>
      <c r="AI295" s="125">
        <f t="shared" si="54"/>
        <v>536475.926793264</v>
      </c>
      <c r="AJ295" s="125">
        <f>IF(Valores!$C$32*B295&gt;Valores!$F$32,Valores!$F$32,Valores!$C$32*B295)</f>
        <v>0</v>
      </c>
      <c r="AK295" s="125">
        <f>IF(Valores!$C$91*B295&gt;Valores!$C$90,Valores!$C$90,Valores!$C$91*B295)</f>
        <v>0</v>
      </c>
      <c r="AL295" s="125">
        <f>IF(Valores!C$39*B295&gt;Valores!F$38,Valores!F$38,Valores!C$39*B295)</f>
        <v>0</v>
      </c>
      <c r="AM295" s="125">
        <f>IF($F$3="NO",0,IF(Valores!$C$62*B295&gt;Valores!$F$62,Valores!$F$62,Valores!$C$62*B295))</f>
        <v>0</v>
      </c>
      <c r="AN295" s="125">
        <f t="shared" si="49"/>
        <v>0</v>
      </c>
      <c r="AO295" s="125">
        <f>AI295*Valores!$C$71</f>
        <v>-59012.35194725904</v>
      </c>
      <c r="AP295" s="125">
        <f>AI295*Valores!$C$72</f>
        <v>-10729.51853586528</v>
      </c>
      <c r="AQ295" s="125">
        <f>AI295*-Valores!$C$73</f>
        <v>0</v>
      </c>
      <c r="AR295" s="125">
        <f>AI295*Valores!$C$74</f>
        <v>-29506.17597362952</v>
      </c>
      <c r="AS295" s="125">
        <f>Valores!$C$101</f>
        <v>-1270</v>
      </c>
      <c r="AT295" s="125">
        <f>IF($F$5=0,Valores!$C$102,(Valores!$C$102+$F$5*(Valores!$C$102)))</f>
        <v>-3700</v>
      </c>
      <c r="AU295" s="125">
        <f t="shared" si="51"/>
        <v>432257.88033651013</v>
      </c>
      <c r="AV295" s="125">
        <f t="shared" si="46"/>
        <v>-59012.35194725904</v>
      </c>
      <c r="AW295" s="125">
        <f t="shared" si="53"/>
        <v>-10729.51853586528</v>
      </c>
      <c r="AX295" s="125">
        <f>AI295*Valores!$C$75</f>
        <v>-14484.850023418128</v>
      </c>
      <c r="AY295" s="125">
        <f>AI295*Valores!$C$76</f>
        <v>-1609.427780379792</v>
      </c>
      <c r="AZ295" s="125">
        <f t="shared" si="50"/>
        <v>450639.77850634174</v>
      </c>
      <c r="BA295" s="125">
        <f>AI295*Valores!$C$78</f>
        <v>85836.14828692224</v>
      </c>
      <c r="BB295" s="125">
        <f>AI295*Valores!$C$79</f>
        <v>37553.314875528486</v>
      </c>
      <c r="BC295" s="125">
        <f>AI295*Valores!$C$80</f>
        <v>5364.75926793264</v>
      </c>
      <c r="BD295" s="125">
        <f>AI295*Valores!$C$82</f>
        <v>18776.657437764243</v>
      </c>
      <c r="BE295" s="125">
        <f>AI295*Valores!$C$84</f>
        <v>28969.700046836257</v>
      </c>
      <c r="BF295" s="125">
        <f>AI295*Valores!$C$83</f>
        <v>3218.855560759584</v>
      </c>
      <c r="BG295" s="126"/>
      <c r="BH295" s="126">
        <f t="shared" si="55"/>
        <v>35</v>
      </c>
      <c r="BI295" s="123" t="s">
        <v>8</v>
      </c>
    </row>
    <row r="296" spans="1:61" s="110" customFormat="1" ht="11.25" customHeight="1">
      <c r="A296" s="123" t="s">
        <v>470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6"/>
        <v>2765</v>
      </c>
      <c r="F296" s="125">
        <f>ROUND(E296*Valores!$C$2,2)</f>
        <v>162914.63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55371.25</v>
      </c>
      <c r="N296" s="125">
        <f t="shared" si="47"/>
        <v>0</v>
      </c>
      <c r="O296" s="125">
        <f>Valores!$C$7*B296</f>
        <v>69931.05</v>
      </c>
      <c r="P296" s="125">
        <f>ROUND(IF(B296&lt;15,(Valores!$E$5*B296),Valores!$D$5),2)</f>
        <v>30120.06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36576.018816</v>
      </c>
      <c r="S296" s="125">
        <f>Valores!$C$18*B296</f>
        <v>21994.35</v>
      </c>
      <c r="T296" s="125">
        <f t="shared" si="52"/>
        <v>21994.35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IF(Valores!$C$98*B296&gt;Valores!$C$97,Valores!$C$97,Valores!$C$98*B296)</f>
        <v>67144.35</v>
      </c>
      <c r="AA296" s="125">
        <f>IF((Valores!$C$28)*B296&gt;Valores!$F$28,Valores!$F$28,(Valores!$C$28)*B296)</f>
        <v>1727.9499999999998</v>
      </c>
      <c r="AB296" s="214">
        <v>0</v>
      </c>
      <c r="AC296" s="125">
        <f t="shared" si="48"/>
        <v>0</v>
      </c>
      <c r="AD296" s="125">
        <f>IF(Valores!$C$29*B296&gt;Valores!$F$29,Valores!$F$29,Valores!$C$29*B296)</f>
        <v>1231.85</v>
      </c>
      <c r="AE296" s="192">
        <v>94</v>
      </c>
      <c r="AF296" s="125">
        <f>ROUND(AE296*Valores!$C$2,2)</f>
        <v>5538.51</v>
      </c>
      <c r="AG296" s="125">
        <f>SUM(F296,H296,J296,L296,M296,N296,O296,P296,Q296,R296,T296,U296,V296,X296,Y296,Z296,AA296,AC296,AD296,AF296,AH296)*Valores!$C$69</f>
        <v>62012.42576726401</v>
      </c>
      <c r="AH296" s="125">
        <f>IF($F$4="NO",IF(Valores!$D$63*'Escala Docente'!B296&gt;Valores!$F$63,Valores!$F$63,Valores!$D$63*'Escala Docente'!B296),IF(Valores!$D$63*'Escala Docente'!B296&gt;Valores!$F$63,Valores!$F$63,Valores!$D$63*'Escala Docente'!B296)/2)</f>
        <v>28166.46</v>
      </c>
      <c r="AI296" s="125">
        <f t="shared" si="54"/>
        <v>542728.904583264</v>
      </c>
      <c r="AJ296" s="125">
        <f>IF(Valores!$C$32*B296&gt;Valores!$F$32,Valores!$F$32,Valores!$C$32*B296)</f>
        <v>0</v>
      </c>
      <c r="AK296" s="125">
        <f>IF(Valores!$C$91*B296&gt;Valores!$C$90,Valores!$C$90,Valores!$C$91*B296)</f>
        <v>0</v>
      </c>
      <c r="AL296" s="125">
        <f>IF(Valores!C$39*B296&gt;Valores!F$38,Valores!F$38,Valores!C$39*B296)</f>
        <v>0</v>
      </c>
      <c r="AM296" s="125">
        <f>IF($F$3="NO",0,IF(Valores!$C$62*B296&gt;Valores!$F$62,Valores!$F$62,Valores!$C$62*B296))</f>
        <v>0</v>
      </c>
      <c r="AN296" s="125">
        <f t="shared" si="49"/>
        <v>0</v>
      </c>
      <c r="AO296" s="125">
        <f>AI296*Valores!$C$71</f>
        <v>-59700.179504159045</v>
      </c>
      <c r="AP296" s="125">
        <f>AI296*Valores!$C$72</f>
        <v>-10854.57809166528</v>
      </c>
      <c r="AQ296" s="125">
        <f>AI296*-Valores!$C$73</f>
        <v>0</v>
      </c>
      <c r="AR296" s="125">
        <f>AI296*Valores!$C$74</f>
        <v>-29850.089752079522</v>
      </c>
      <c r="AS296" s="125">
        <f>Valores!$C$101</f>
        <v>-1270</v>
      </c>
      <c r="AT296" s="125">
        <f>IF($F$5=0,Valores!$C$102,(Valores!$C$102+$F$5*(Valores!$C$102)))</f>
        <v>-3700</v>
      </c>
      <c r="AU296" s="125">
        <f t="shared" si="51"/>
        <v>437354.05723536015</v>
      </c>
      <c r="AV296" s="125">
        <f t="shared" si="46"/>
        <v>-59700.179504159045</v>
      </c>
      <c r="AW296" s="125">
        <f t="shared" si="53"/>
        <v>-10854.57809166528</v>
      </c>
      <c r="AX296" s="125">
        <f>AI296*Valores!$C$75</f>
        <v>-14653.680423748128</v>
      </c>
      <c r="AY296" s="125">
        <f>AI296*Valores!$C$76</f>
        <v>-1628.186713749792</v>
      </c>
      <c r="AZ296" s="125">
        <f t="shared" si="50"/>
        <v>455892.2798499418</v>
      </c>
      <c r="BA296" s="125">
        <f>AI296*Valores!$C$78</f>
        <v>86836.62473332224</v>
      </c>
      <c r="BB296" s="125">
        <f>AI296*Valores!$C$79</f>
        <v>37991.023320828484</v>
      </c>
      <c r="BC296" s="125">
        <f>AI296*Valores!$C$80</f>
        <v>5427.28904583264</v>
      </c>
      <c r="BD296" s="125">
        <f>AI296*Valores!$C$82</f>
        <v>18995.511660414242</v>
      </c>
      <c r="BE296" s="125">
        <f>AI296*Valores!$C$84</f>
        <v>29307.360847496257</v>
      </c>
      <c r="BF296" s="125">
        <f>AI296*Valores!$C$83</f>
        <v>3256.373427499584</v>
      </c>
      <c r="BG296" s="126"/>
      <c r="BH296" s="126">
        <f t="shared" si="55"/>
        <v>35</v>
      </c>
      <c r="BI296" s="123" t="s">
        <v>8</v>
      </c>
    </row>
    <row r="297" spans="1:61" s="110" customFormat="1" ht="11.25" customHeight="1">
      <c r="A297" s="123" t="s">
        <v>470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6"/>
        <v>2844</v>
      </c>
      <c r="F297" s="125">
        <f>ROUND(E297*Valores!$C$2,2)</f>
        <v>167569.33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56692.03</v>
      </c>
      <c r="N297" s="125">
        <f t="shared" si="47"/>
        <v>0</v>
      </c>
      <c r="O297" s="125">
        <f>Valores!$C$7*B297</f>
        <v>71929.08</v>
      </c>
      <c r="P297" s="125">
        <f>ROUND(IF(B297&lt;15,(Valores!$E$5*B297),Valores!$D$5),2)</f>
        <v>30120.06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36576.018816</v>
      </c>
      <c r="S297" s="125">
        <f>Valores!$C$18*B297</f>
        <v>22622.76</v>
      </c>
      <c r="T297" s="125">
        <f t="shared" si="52"/>
        <v>22622.76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IF(Valores!$C$98*B297&gt;Valores!$C$97,Valores!$C$97,Valores!$C$98*B297)</f>
        <v>69062.76000000001</v>
      </c>
      <c r="AA297" s="125">
        <f>IF((Valores!$C$28)*B297&gt;Valores!$F$28,Valores!$F$28,(Valores!$C$28)*B297)</f>
        <v>1777.32</v>
      </c>
      <c r="AB297" s="214">
        <v>0</v>
      </c>
      <c r="AC297" s="125">
        <f t="shared" si="48"/>
        <v>0</v>
      </c>
      <c r="AD297" s="125">
        <f>IF(Valores!$C$29*B297&gt;Valores!$F$29,Valores!$F$29,Valores!$C$29*B297)</f>
        <v>1231.85</v>
      </c>
      <c r="AE297" s="192">
        <v>0</v>
      </c>
      <c r="AF297" s="125">
        <f>ROUND(AE297*Valores!$C$2,2)</f>
        <v>0</v>
      </c>
      <c r="AG297" s="125">
        <f>SUM(F297,H297,J297,L297,M297,N297,O297,P297,Q297,R297,T297,U297,V297,X297,Y297,Z297,AA297,AC297,AD297,AF297,AH297)*Valores!$C$69</f>
        <v>62661.44927726401</v>
      </c>
      <c r="AH297" s="125">
        <f>IF($F$4="NO",IF(Valores!$D$63*'Escala Docente'!B297&gt;Valores!$F$63,Valores!$F$63,Valores!$D$63*'Escala Docente'!B297),IF(Valores!$D$63*'Escala Docente'!B297&gt;Valores!$F$63,Valores!$F$63,Valores!$D$63*'Escala Docente'!B297)/2)</f>
        <v>28166.46</v>
      </c>
      <c r="AI297" s="125">
        <f t="shared" si="54"/>
        <v>548409.118093264</v>
      </c>
      <c r="AJ297" s="125">
        <f>IF(Valores!$C$32*B297&gt;Valores!$F$32,Valores!$F$32,Valores!$C$32*B297)</f>
        <v>0</v>
      </c>
      <c r="AK297" s="125">
        <f>IF(Valores!$C$91*B297&gt;Valores!$C$90,Valores!$C$90,Valores!$C$91*B297)</f>
        <v>0</v>
      </c>
      <c r="AL297" s="125">
        <f>IF(Valores!C$39*B297&gt;Valores!F$38,Valores!F$38,Valores!C$39*B297)</f>
        <v>0</v>
      </c>
      <c r="AM297" s="125">
        <f>IF($F$3="NO",0,IF(Valores!$C$62*B297&gt;Valores!$F$62,Valores!$F$62,Valores!$C$62*B297))</f>
        <v>0</v>
      </c>
      <c r="AN297" s="125">
        <f t="shared" si="49"/>
        <v>0</v>
      </c>
      <c r="AO297" s="125">
        <f>AI297*Valores!$C$71</f>
        <v>-60325.00299025905</v>
      </c>
      <c r="AP297" s="125">
        <f>AI297*Valores!$C$72</f>
        <v>-10968.182361865282</v>
      </c>
      <c r="AQ297" s="125">
        <f>AI297*-Valores!$C$73</f>
        <v>0</v>
      </c>
      <c r="AR297" s="125">
        <f>AI297*Valores!$C$74</f>
        <v>-30162.501495129523</v>
      </c>
      <c r="AS297" s="125">
        <f>Valores!$C$101</f>
        <v>-1270</v>
      </c>
      <c r="AT297" s="125">
        <f>IF($F$5=0,Valores!$C$102,(Valores!$C$102+$F$5*(Valores!$C$102)))</f>
        <v>-3700</v>
      </c>
      <c r="AU297" s="125">
        <f t="shared" si="51"/>
        <v>441983.43124601024</v>
      </c>
      <c r="AV297" s="125">
        <f t="shared" si="46"/>
        <v>-60325.00299025905</v>
      </c>
      <c r="AW297" s="125">
        <f t="shared" si="53"/>
        <v>-10968.182361865282</v>
      </c>
      <c r="AX297" s="125">
        <f>AI297*Valores!$C$75</f>
        <v>-14807.046188518128</v>
      </c>
      <c r="AY297" s="125">
        <f>AI297*Valores!$C$76</f>
        <v>-1645.2273542797923</v>
      </c>
      <c r="AZ297" s="125">
        <f t="shared" si="50"/>
        <v>460663.6591983418</v>
      </c>
      <c r="BA297" s="125">
        <f>AI297*Valores!$C$78</f>
        <v>87745.45889492225</v>
      </c>
      <c r="BB297" s="125">
        <f>AI297*Valores!$C$79</f>
        <v>38388.63826652849</v>
      </c>
      <c r="BC297" s="125">
        <f>AI297*Valores!$C$80</f>
        <v>5484.091180932641</v>
      </c>
      <c r="BD297" s="125">
        <f>AI297*Valores!$C$82</f>
        <v>19194.319133264245</v>
      </c>
      <c r="BE297" s="125">
        <f>AI297*Valores!$C$84</f>
        <v>29614.092377036257</v>
      </c>
      <c r="BF297" s="125">
        <f>AI297*Valores!$C$83</f>
        <v>3290.4547085595846</v>
      </c>
      <c r="BG297" s="126"/>
      <c r="BH297" s="126">
        <f t="shared" si="55"/>
        <v>36</v>
      </c>
      <c r="BI297" s="123" t="s">
        <v>8</v>
      </c>
    </row>
    <row r="298" spans="1:61" s="110" customFormat="1" ht="11.25" customHeight="1">
      <c r="A298" s="123" t="s">
        <v>470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6"/>
        <v>2844</v>
      </c>
      <c r="F298" s="125">
        <f>ROUND(E298*Valores!$C$2,2)</f>
        <v>167569.33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56692.03</v>
      </c>
      <c r="N298" s="125">
        <f t="shared" si="47"/>
        <v>0</v>
      </c>
      <c r="O298" s="125">
        <f>Valores!$C$7*B298</f>
        <v>71929.08</v>
      </c>
      <c r="P298" s="125">
        <f>ROUND(IF(B298&lt;15,(Valores!$E$5*B298),Valores!$D$5),2)</f>
        <v>30120.06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36576.018816</v>
      </c>
      <c r="S298" s="125">
        <f>Valores!$C$18*B298</f>
        <v>22622.76</v>
      </c>
      <c r="T298" s="125">
        <f t="shared" si="52"/>
        <v>22622.76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IF(Valores!$C$98*B298&gt;Valores!$C$97,Valores!$C$97,Valores!$C$98*B298)</f>
        <v>69062.76000000001</v>
      </c>
      <c r="AA298" s="125">
        <f>IF((Valores!$C$28)*B298&gt;Valores!$F$28,Valores!$F$28,(Valores!$C$28)*B298)</f>
        <v>1777.32</v>
      </c>
      <c r="AB298" s="214">
        <v>0</v>
      </c>
      <c r="AC298" s="125">
        <f t="shared" si="48"/>
        <v>0</v>
      </c>
      <c r="AD298" s="125">
        <f>IF(Valores!$C$29*B298&gt;Valores!$F$29,Valores!$F$29,Valores!$C$29*B298)</f>
        <v>1231.85</v>
      </c>
      <c r="AE298" s="192">
        <v>94</v>
      </c>
      <c r="AF298" s="125">
        <f>ROUND(AE298*Valores!$C$2,2)</f>
        <v>5538.51</v>
      </c>
      <c r="AG298" s="125">
        <f>SUM(F298,H298,J298,L298,M298,N298,O298,P298,Q298,R298,T298,U298,V298,X298,Y298,Z298,AA298,AC298,AD298,AF298,AH298)*Valores!$C$69</f>
        <v>63375.91706726401</v>
      </c>
      <c r="AH298" s="125">
        <f>IF($F$4="NO",IF(Valores!$D$63*'Escala Docente'!B298&gt;Valores!$F$63,Valores!$F$63,Valores!$D$63*'Escala Docente'!B298),IF(Valores!$D$63*'Escala Docente'!B298&gt;Valores!$F$63,Valores!$F$63,Valores!$D$63*'Escala Docente'!B298)/2)</f>
        <v>28166.46</v>
      </c>
      <c r="AI298" s="125">
        <f t="shared" si="54"/>
        <v>554662.095883264</v>
      </c>
      <c r="AJ298" s="125">
        <f>IF(Valores!$C$32*B298&gt;Valores!$F$32,Valores!$F$32,Valores!$C$32*B298)</f>
        <v>0</v>
      </c>
      <c r="AK298" s="125">
        <f>IF(Valores!$C$91*B298&gt;Valores!$C$90,Valores!$C$90,Valores!$C$91*B298)</f>
        <v>0</v>
      </c>
      <c r="AL298" s="125">
        <f>IF(Valores!C$39*B298&gt;Valores!F$38,Valores!F$38,Valores!C$39*B298)</f>
        <v>0</v>
      </c>
      <c r="AM298" s="125">
        <f>IF($F$3="NO",0,IF(Valores!$C$62*B298&gt;Valores!$F$62,Valores!$F$62,Valores!$C$62*B298))</f>
        <v>0</v>
      </c>
      <c r="AN298" s="125">
        <f t="shared" si="49"/>
        <v>0</v>
      </c>
      <c r="AO298" s="125">
        <f>AI298*Valores!$C$71</f>
        <v>-61012.830547159036</v>
      </c>
      <c r="AP298" s="125">
        <f>AI298*Valores!$C$72</f>
        <v>-11093.24191766528</v>
      </c>
      <c r="AQ298" s="125">
        <f>AI298*-Valores!$C$73</f>
        <v>0</v>
      </c>
      <c r="AR298" s="125">
        <f>AI298*Valores!$C$74</f>
        <v>-30506.415273579518</v>
      </c>
      <c r="AS298" s="125">
        <f>Valores!$C$101</f>
        <v>-1270</v>
      </c>
      <c r="AT298" s="125">
        <f>IF($F$5=0,Valores!$C$102,(Valores!$C$102+$F$5*(Valores!$C$102)))</f>
        <v>-3700</v>
      </c>
      <c r="AU298" s="125">
        <f t="shared" si="51"/>
        <v>447079.60814486013</v>
      </c>
      <c r="AV298" s="125">
        <f t="shared" si="46"/>
        <v>-61012.830547159036</v>
      </c>
      <c r="AW298" s="125">
        <f t="shared" si="53"/>
        <v>-11093.24191766528</v>
      </c>
      <c r="AX298" s="125">
        <f>AI298*Valores!$C$75</f>
        <v>-14975.876588848127</v>
      </c>
      <c r="AY298" s="125">
        <f>AI298*Valores!$C$76</f>
        <v>-1663.9862876497918</v>
      </c>
      <c r="AZ298" s="125">
        <f t="shared" si="50"/>
        <v>465916.16054194176</v>
      </c>
      <c r="BA298" s="125">
        <f>AI298*Valores!$C$78</f>
        <v>88745.93534132224</v>
      </c>
      <c r="BB298" s="125">
        <f>AI298*Valores!$C$79</f>
        <v>38826.34671182848</v>
      </c>
      <c r="BC298" s="125">
        <f>AI298*Valores!$C$80</f>
        <v>5546.62095883264</v>
      </c>
      <c r="BD298" s="125">
        <f>AI298*Valores!$C$82</f>
        <v>19413.17335591424</v>
      </c>
      <c r="BE298" s="125">
        <f>AI298*Valores!$C$84</f>
        <v>29951.753177696253</v>
      </c>
      <c r="BF298" s="125">
        <f>AI298*Valores!$C$83</f>
        <v>3327.9725752995837</v>
      </c>
      <c r="BG298" s="126"/>
      <c r="BH298" s="126">
        <f t="shared" si="55"/>
        <v>36</v>
      </c>
      <c r="BI298" s="123" t="s">
        <v>8</v>
      </c>
    </row>
    <row r="299" spans="1:61" s="110" customFormat="1" ht="11.25" customHeight="1">
      <c r="A299" s="123" t="s">
        <v>471</v>
      </c>
      <c r="B299" s="123">
        <v>1</v>
      </c>
      <c r="C299" s="126">
        <v>292</v>
      </c>
      <c r="D299" s="124" t="s">
        <v>472</v>
      </c>
      <c r="E299" s="192">
        <v>79</v>
      </c>
      <c r="F299" s="125">
        <f>ROUND(E299*Valores!$C$2,2)</f>
        <v>4654.7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1583.89</v>
      </c>
      <c r="N299" s="125">
        <f t="shared" si="47"/>
        <v>0</v>
      </c>
      <c r="O299" s="125">
        <f>Valores!$C$7*B299</f>
        <v>1998.03</v>
      </c>
      <c r="P299" s="125">
        <f>ROUND(IF(B299&lt;15,(Valores!$E$5*B299),Valores!$D$5),2)</f>
        <v>2008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1052.45</v>
      </c>
      <c r="S299" s="125">
        <f>Valores!$C$18*B299</f>
        <v>628.41</v>
      </c>
      <c r="T299" s="125">
        <f t="shared" si="52"/>
        <v>628.41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IF(Valores!$C$98*B299&gt;Valores!$C$97,Valores!$C$97,Valores!$C$98*B299)</f>
        <v>1918.41</v>
      </c>
      <c r="AA299" s="125">
        <f>IF((Valores!$C$28)*B299&gt;Valores!$F$28,Valores!$F$28,(Valores!$C$28)*B299)</f>
        <v>49.37</v>
      </c>
      <c r="AB299" s="214">
        <v>0</v>
      </c>
      <c r="AC299" s="125">
        <f t="shared" si="48"/>
        <v>0</v>
      </c>
      <c r="AD299" s="125">
        <f>IF(Valores!$C$29*B299&gt;Valores!$F$29,Valores!$F$29,Valores!$C$29*B299)</f>
        <v>41.11</v>
      </c>
      <c r="AE299" s="192">
        <v>0</v>
      </c>
      <c r="AF299" s="125">
        <f>ROUND(AE299*Valores!$C$2,2)</f>
        <v>0</v>
      </c>
      <c r="AG299" s="125">
        <f>SUM(F299,H299,J299,L299,M299,N299,O299,P299,Q299,R299,T299,U299,V299,X299,Y299,Z299,AA299,AC299,AD299,AF299,AH299)*Valores!$C$69</f>
        <v>1918.6492500000004</v>
      </c>
      <c r="AH299" s="125">
        <f>IF($F$4="NO",IF(Valores!$D$63*'Escala Docente'!B299&gt;Valores!$F$63,Valores!$F$63,Valores!$D$63*'Escala Docente'!B299),IF(Valores!$D$63*'Escala Docente'!B299&gt;Valores!$F$63,Valores!$F$63,Valores!$D$63*'Escala Docente'!B299)/2)</f>
        <v>938.88</v>
      </c>
      <c r="AI299" s="125">
        <f t="shared" si="54"/>
        <v>16791.899250000002</v>
      </c>
      <c r="AJ299" s="125">
        <f>IF(Valores!$C$32*B299&gt;Valores!$F$32,Valores!$F$32,Valores!$C$32*B299)</f>
        <v>0</v>
      </c>
      <c r="AK299" s="125">
        <f>IF(Valores!$C$91*B299&gt;Valores!$C$90,Valores!$C$90,Valores!$C$91*B299)</f>
        <v>0</v>
      </c>
      <c r="AL299" s="125">
        <f>IF(Valores!C$39*B299&gt;Valores!F$38,Valores!F$38,Valores!C$39*B299)</f>
        <v>0</v>
      </c>
      <c r="AM299" s="125">
        <f>IF($F$3="NO",0,IF(Valores!$C$62*B299&gt;Valores!$F$62,Valores!$F$62,Valores!$C$62*B299))</f>
        <v>0</v>
      </c>
      <c r="AN299" s="125">
        <f t="shared" si="49"/>
        <v>0</v>
      </c>
      <c r="AO299" s="125">
        <f>AI299*Valores!$C$71</f>
        <v>-1847.1089175000002</v>
      </c>
      <c r="AP299" s="125">
        <f>AI299*Valores!$C$72</f>
        <v>-335.83798500000006</v>
      </c>
      <c r="AQ299" s="125">
        <f>AI299*-Valores!$C$73</f>
        <v>0</v>
      </c>
      <c r="AR299" s="125">
        <f>AI299*Valores!$C$74</f>
        <v>-923.5544587500001</v>
      </c>
      <c r="AS299" s="125">
        <f>Valores!$C$101</f>
        <v>-1270</v>
      </c>
      <c r="AT299" s="125">
        <f>IF($F$5=0,Valores!$C$102,(Valores!$C$102+$F$5*(Valores!$C$102)))</f>
        <v>-3700</v>
      </c>
      <c r="AU299" s="125">
        <f t="shared" si="51"/>
        <v>8715.397888750002</v>
      </c>
      <c r="AV299" s="125">
        <f t="shared" si="46"/>
        <v>-1847.1089175000002</v>
      </c>
      <c r="AW299" s="125">
        <f t="shared" si="53"/>
        <v>-335.83798500000006</v>
      </c>
      <c r="AX299" s="125">
        <f>AI299*Valores!$C$75</f>
        <v>-453.38127975000003</v>
      </c>
      <c r="AY299" s="125">
        <f>AI299*Valores!$C$76</f>
        <v>-50.37569775000001</v>
      </c>
      <c r="AZ299" s="125">
        <f t="shared" si="50"/>
        <v>14105.195370000001</v>
      </c>
      <c r="BA299" s="125">
        <f>AI299*Valores!$C$78</f>
        <v>2686.7038800000005</v>
      </c>
      <c r="BB299" s="125">
        <f>AI299*Valores!$C$79</f>
        <v>1175.4329475000002</v>
      </c>
      <c r="BC299" s="125">
        <f>AI299*Valores!$C$80</f>
        <v>167.91899250000003</v>
      </c>
      <c r="BD299" s="125">
        <f>AI299*Valores!$C$82</f>
        <v>587.7164737500001</v>
      </c>
      <c r="BE299" s="125">
        <f>AI299*Valores!$C$84</f>
        <v>906.7625595000001</v>
      </c>
      <c r="BF299" s="125">
        <f>AI299*Valores!$C$83</f>
        <v>100.75139550000002</v>
      </c>
      <c r="BG299" s="126"/>
      <c r="BH299" s="126">
        <f t="shared" si="55"/>
        <v>1</v>
      </c>
      <c r="BI299" s="123" t="s">
        <v>4</v>
      </c>
    </row>
    <row r="300" spans="1:61" s="110" customFormat="1" ht="11.25" customHeight="1">
      <c r="A300" s="123" t="s">
        <v>473</v>
      </c>
      <c r="B300" s="123">
        <v>2</v>
      </c>
      <c r="C300" s="126">
        <v>293</v>
      </c>
      <c r="D300" s="124" t="s">
        <v>474</v>
      </c>
      <c r="E300" s="194">
        <v>243</v>
      </c>
      <c r="F300" s="125">
        <f>ROUND(E300*Valores!$C$2,2)</f>
        <v>14317.63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7"/>
        <v>0</v>
      </c>
      <c r="O300" s="125">
        <v>0</v>
      </c>
      <c r="P300" s="125">
        <f>ROUND(IF(B300&lt;15,(Valores!$E$5*B300),Valores!$D$5),2)</f>
        <v>4016</v>
      </c>
      <c r="Q300" s="125">
        <v>0</v>
      </c>
      <c r="R300" s="125">
        <f>IF($F$4="NO",Valores!C50,Valores!C50/2)</f>
        <v>1564.76</v>
      </c>
      <c r="S300" s="125">
        <v>0</v>
      </c>
      <c r="T300" s="125">
        <f aca="true" t="shared" si="57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Valores!$C$99</f>
        <v>4124.3</v>
      </c>
      <c r="AA300" s="125">
        <v>0</v>
      </c>
      <c r="AB300" s="214">
        <v>0</v>
      </c>
      <c r="AC300" s="125">
        <f t="shared" si="48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SUM(F300,H300,J300,L300,M300,N300,O300,P300,Q300,R300,T300,U300,V300,X300,Y300,Z300,AA300,AC300,AD300,AF300,AH300)*Valores!$C$69</f>
        <v>3281.8464299999996</v>
      </c>
      <c r="AH300" s="125">
        <f>IF($F$4="NO",Valores!$C$64,Valores!$C$64/2)</f>
        <v>1417.98</v>
      </c>
      <c r="AI300" s="125">
        <f t="shared" si="54"/>
        <v>28722.516429999992</v>
      </c>
      <c r="AJ300" s="125">
        <f>Valores!$C$33</f>
        <v>0</v>
      </c>
      <c r="AK300" s="125">
        <f>Valores!$C$92</f>
        <v>0</v>
      </c>
      <c r="AL300" s="125">
        <f>AL299*2</f>
        <v>0</v>
      </c>
      <c r="AM300" s="125">
        <v>0</v>
      </c>
      <c r="AN300" s="125">
        <f t="shared" si="49"/>
        <v>0</v>
      </c>
      <c r="AO300" s="125">
        <f>AI300*Valores!$C$71</f>
        <v>-3159.476807299999</v>
      </c>
      <c r="AP300" s="125">
        <f>AI300*Valores!$C$72</f>
        <v>-574.4503285999998</v>
      </c>
      <c r="AQ300" s="125">
        <f>AI300*-Valores!$C$73</f>
        <v>0</v>
      </c>
      <c r="AR300" s="125">
        <f>AI300*Valores!$C$74</f>
        <v>-1579.7384036499996</v>
      </c>
      <c r="AS300" s="125">
        <f>Valores!$C$101</f>
        <v>-1270</v>
      </c>
      <c r="AT300" s="125">
        <f>IF($F$5=0,Valores!$C$102,(Valores!$C$102+$F$5*(Valores!$C$102)))</f>
        <v>-3700</v>
      </c>
      <c r="AU300" s="125">
        <f t="shared" si="51"/>
        <v>18438.850890449994</v>
      </c>
      <c r="AV300" s="125">
        <f t="shared" si="46"/>
        <v>-3159.476807299999</v>
      </c>
      <c r="AW300" s="125">
        <f t="shared" si="53"/>
        <v>-574.4503285999998</v>
      </c>
      <c r="AX300" s="125">
        <f>AI300*Valores!$C$75</f>
        <v>-775.5079436099998</v>
      </c>
      <c r="AY300" s="125">
        <f>AI300*Valores!$C$76</f>
        <v>-86.16754928999998</v>
      </c>
      <c r="AZ300" s="125">
        <f t="shared" si="50"/>
        <v>24126.913801199993</v>
      </c>
      <c r="BA300" s="125">
        <f>AI300*Valores!$C$78</f>
        <v>4595.6026287999985</v>
      </c>
      <c r="BB300" s="125">
        <f>AI300*Valores!$C$79</f>
        <v>2010.5761500999997</v>
      </c>
      <c r="BC300" s="125">
        <f>AI300*Valores!$C$80</f>
        <v>287.2251642999999</v>
      </c>
      <c r="BD300" s="125">
        <f>AI300*Valores!$C$82</f>
        <v>1005.2880750499999</v>
      </c>
      <c r="BE300" s="125">
        <f>AI300*Valores!$C$84</f>
        <v>1551.0158872199995</v>
      </c>
      <c r="BF300" s="125">
        <f>AI300*Valores!$C$83</f>
        <v>172.33509857999996</v>
      </c>
      <c r="BG300" s="126"/>
      <c r="BH300" s="126">
        <v>8</v>
      </c>
      <c r="BI300" s="123" t="s">
        <v>4</v>
      </c>
    </row>
    <row r="301" spans="1:61" s="110" customFormat="1" ht="11.25" customHeight="1">
      <c r="A301" s="123" t="s">
        <v>649</v>
      </c>
      <c r="B301" s="123">
        <v>1</v>
      </c>
      <c r="C301" s="126">
        <v>294</v>
      </c>
      <c r="D301" s="124" t="s">
        <v>650</v>
      </c>
      <c r="E301" s="194">
        <f>E300/2</f>
        <v>121.5</v>
      </c>
      <c r="F301" s="125">
        <f>ROUND(E301*Valores!$C$2,2)</f>
        <v>7158.82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7"/>
        <v>0</v>
      </c>
      <c r="O301" s="125">
        <v>0</v>
      </c>
      <c r="P301" s="125">
        <f>ROUND(IF(B301&lt;15,(Valores!$E$5*B301),Valores!$D$5),2)</f>
        <v>2008</v>
      </c>
      <c r="Q301" s="125">
        <v>0</v>
      </c>
      <c r="R301" s="125">
        <f>IF($F$4="NO",Valores!C51,Valores!C51/2)</f>
        <v>782.38</v>
      </c>
      <c r="S301" s="125">
        <v>0</v>
      </c>
      <c r="T301" s="125">
        <f t="shared" si="57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Valores!$C$100</f>
        <v>2062.15</v>
      </c>
      <c r="AA301" s="125">
        <v>0</v>
      </c>
      <c r="AB301" s="214">
        <v>0</v>
      </c>
      <c r="AC301" s="125">
        <f t="shared" si="48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SUM(F301,H301,J301,L301,M301,N301,O301,P301,Q301,R301,T301,U301,V301,X301,Y301,Z301,AA301,AC301,AD301,AF301,AH301)*Valores!$C$69</f>
        <v>1640.9238599999999</v>
      </c>
      <c r="AH301" s="125">
        <f>IF($F$4="NO",Valores!$C$65,Valores!$C$65/2)</f>
        <v>708.99</v>
      </c>
      <c r="AI301" s="125">
        <f t="shared" si="54"/>
        <v>14361.263859999997</v>
      </c>
      <c r="AJ301" s="125">
        <f>Valores!C34</f>
        <v>0</v>
      </c>
      <c r="AK301" s="125">
        <f>Valores!$C$93</f>
        <v>0</v>
      </c>
      <c r="AL301" s="125">
        <f>AL300/2</f>
        <v>0</v>
      </c>
      <c r="AM301" s="125">
        <v>0</v>
      </c>
      <c r="AN301" s="125">
        <f t="shared" si="49"/>
        <v>0</v>
      </c>
      <c r="AO301" s="125">
        <f>AI301*Valores!$C$71</f>
        <v>-1579.7390245999998</v>
      </c>
      <c r="AP301" s="125">
        <f>AI301*Valores!$C$72</f>
        <v>-287.22527719999994</v>
      </c>
      <c r="AQ301" s="125">
        <v>0</v>
      </c>
      <c r="AR301" s="125">
        <f>AI301*Valores!$C$74</f>
        <v>-789.8695122999999</v>
      </c>
      <c r="AS301" s="125">
        <f>Valores!$C$101</f>
        <v>-1270</v>
      </c>
      <c r="AT301" s="125">
        <f>IF($F$5=0,Valores!$C$102,(Valores!$C$102+$F$5*(Valores!$C$102)))</f>
        <v>-3700</v>
      </c>
      <c r="AU301" s="125">
        <f t="shared" si="51"/>
        <v>6734.430045899998</v>
      </c>
      <c r="AV301" s="125">
        <f>AO301</f>
        <v>-1579.7390245999998</v>
      </c>
      <c r="AW301" s="125">
        <f t="shared" si="53"/>
        <v>-287.22527719999994</v>
      </c>
      <c r="AX301" s="125">
        <f>AI301*Valores!$C$75</f>
        <v>-387.75412421999994</v>
      </c>
      <c r="AY301" s="125">
        <f>AI301*Valores!$C$76</f>
        <v>-43.083791579999996</v>
      </c>
      <c r="AZ301" s="125">
        <f t="shared" si="50"/>
        <v>12063.461642399998</v>
      </c>
      <c r="BA301" s="125">
        <f>AI301*Valores!$C$78</f>
        <v>2297.8022175999995</v>
      </c>
      <c r="BB301" s="125">
        <f>AI301*Valores!$C$79</f>
        <v>1005.2884701999999</v>
      </c>
      <c r="BC301" s="125">
        <f>AI301*Valores!$C$80</f>
        <v>143.61263859999997</v>
      </c>
      <c r="BD301" s="125">
        <f>AI301*Valores!$C$82</f>
        <v>502.64423509999995</v>
      </c>
      <c r="BE301" s="125">
        <f>AI301*Valores!$C$84</f>
        <v>775.5082484399999</v>
      </c>
      <c r="BF301" s="125">
        <f>AI301*Valores!$C$83</f>
        <v>86.16758315999999</v>
      </c>
      <c r="BG301" s="126"/>
      <c r="BH301" s="126">
        <v>4</v>
      </c>
      <c r="BI301" s="123" t="s">
        <v>4</v>
      </c>
    </row>
    <row r="302" spans="1:1029" s="142" customFormat="1" ht="11.25" customHeight="1">
      <c r="A302" s="140"/>
      <c r="B302" s="141">
        <v>1</v>
      </c>
      <c r="C302" s="126">
        <v>295</v>
      </c>
      <c r="D302" s="127" t="s">
        <v>475</v>
      </c>
      <c r="E302" s="194">
        <v>700</v>
      </c>
      <c r="F302" s="125">
        <f>ROUND(E302*Valores!$C$2,2)</f>
        <v>41244.21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14257.74</v>
      </c>
      <c r="N302" s="125">
        <f t="shared" si="47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15786.75</v>
      </c>
      <c r="S302" s="125">
        <v>0</v>
      </c>
      <c r="T302" s="125">
        <f t="shared" si="57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8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f>SUM(F302,H302,J302,L302,M302,N302,O302,P302,Q302,R302,T302,U302,V302,X302,Y302,Z302,AA302,AC302,AD302,AF302,AH302)*Valores!$C$69</f>
        <v>9196.2423</v>
      </c>
      <c r="AH302" s="125">
        <v>0</v>
      </c>
      <c r="AI302" s="125">
        <f t="shared" si="54"/>
        <v>80484.9423</v>
      </c>
      <c r="AJ302" s="125">
        <v>0</v>
      </c>
      <c r="AK302" s="125">
        <v>0</v>
      </c>
      <c r="AL302" s="125">
        <v>0</v>
      </c>
      <c r="AM302" s="125">
        <v>0</v>
      </c>
      <c r="AN302" s="125">
        <f t="shared" si="49"/>
        <v>0</v>
      </c>
      <c r="AO302" s="125">
        <f>AI302*Valores!$C$71</f>
        <v>-8853.343653</v>
      </c>
      <c r="AP302" s="125">
        <f>AI302*Valores!$C$72</f>
        <v>-1609.698846</v>
      </c>
      <c r="AQ302" s="125">
        <f>AI302*-Valores!$C$73</f>
        <v>0</v>
      </c>
      <c r="AR302" s="125">
        <f>AI302*Valores!$C$74</f>
        <v>-4426.6718265</v>
      </c>
      <c r="AS302" s="125">
        <v>0</v>
      </c>
      <c r="AT302" s="125">
        <v>0</v>
      </c>
      <c r="AU302" s="125">
        <f t="shared" si="51"/>
        <v>65595.2279745</v>
      </c>
      <c r="AV302" s="125">
        <f t="shared" si="46"/>
        <v>-8853.343653</v>
      </c>
      <c r="AW302" s="125">
        <f t="shared" si="53"/>
        <v>-1609.698846</v>
      </c>
      <c r="AX302" s="125">
        <f>AI302*Valores!$C$75</f>
        <v>-2173.0934420999997</v>
      </c>
      <c r="AY302" s="125">
        <f>AI302*Valores!$C$76</f>
        <v>-241.4548269</v>
      </c>
      <c r="AZ302" s="125">
        <f t="shared" si="50"/>
        <v>67607.351532</v>
      </c>
      <c r="BA302" s="125">
        <f>AI302*Valores!$C$78</f>
        <v>12877.590768</v>
      </c>
      <c r="BB302" s="125">
        <f>AI302*Valores!$C$79</f>
        <v>5633.945961</v>
      </c>
      <c r="BC302" s="125">
        <f>AI302*Valores!$C$80</f>
        <v>804.849423</v>
      </c>
      <c r="BD302" s="125">
        <f>AI302*Valores!$C$82</f>
        <v>2816.9729805</v>
      </c>
      <c r="BE302" s="125">
        <f>AI302*Valores!$C$84</f>
        <v>4346.186884199999</v>
      </c>
      <c r="BF302" s="125">
        <f>AI302*Valores!$C$83</f>
        <v>482.9096538</v>
      </c>
      <c r="BG302" s="126"/>
      <c r="BH302" s="126"/>
      <c r="BI302" s="123" t="s">
        <v>4</v>
      </c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  <c r="AMG302" s="110"/>
      <c r="AMH302" s="110"/>
      <c r="AMI302" s="110"/>
      <c r="AMJ302" s="110"/>
      <c r="AMK302" s="110"/>
      <c r="AML302" s="110"/>
      <c r="AMM302" s="110"/>
      <c r="AMN302" s="110"/>
      <c r="AMO302" s="110"/>
    </row>
    <row r="303" spans="1:1029" s="142" customFormat="1" ht="11.25" customHeight="1">
      <c r="A303" s="126"/>
      <c r="B303" s="141">
        <v>1</v>
      </c>
      <c r="C303" s="126">
        <v>296</v>
      </c>
      <c r="D303" s="127" t="s">
        <v>476</v>
      </c>
      <c r="E303" s="194">
        <v>500</v>
      </c>
      <c r="F303" s="125">
        <f>ROUND(E303*Valores!$C$2,2)</f>
        <v>29460.15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9996.16</v>
      </c>
      <c r="N303" s="125">
        <f t="shared" si="47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10524.5</v>
      </c>
      <c r="S303" s="125">
        <v>0</v>
      </c>
      <c r="T303" s="125">
        <f t="shared" si="57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8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f>SUM(F303,H303,J303,L303,M303,N303,O303,P303,Q303,R303,T303,U303,V303,X303,Y303,Z303,AA303,AC303,AD303,AF303,AH303)*Valores!$C$69</f>
        <v>6447.52449</v>
      </c>
      <c r="AH303" s="125">
        <v>0</v>
      </c>
      <c r="AI303" s="125">
        <f t="shared" si="54"/>
        <v>56428.334489999994</v>
      </c>
      <c r="AJ303" s="125">
        <v>0</v>
      </c>
      <c r="AK303" s="125">
        <v>0</v>
      </c>
      <c r="AL303" s="125">
        <v>0</v>
      </c>
      <c r="AM303" s="125">
        <v>0</v>
      </c>
      <c r="AN303" s="125">
        <f t="shared" si="49"/>
        <v>0</v>
      </c>
      <c r="AO303" s="125">
        <f>AI303*Valores!$C$71</f>
        <v>-6207.1167939</v>
      </c>
      <c r="AP303" s="125">
        <f>AI303*Valores!$C$72</f>
        <v>-1128.5666898</v>
      </c>
      <c r="AQ303" s="125">
        <f>AI303*-Valores!$C$73</f>
        <v>0</v>
      </c>
      <c r="AR303" s="125">
        <f>AI303*Valores!$C$74</f>
        <v>-3103.55839695</v>
      </c>
      <c r="AS303" s="125">
        <v>0</v>
      </c>
      <c r="AT303" s="125">
        <v>0</v>
      </c>
      <c r="AU303" s="125">
        <f t="shared" si="51"/>
        <v>45989.092609349995</v>
      </c>
      <c r="AV303" s="125">
        <f t="shared" si="46"/>
        <v>-6207.1167939</v>
      </c>
      <c r="AW303" s="125">
        <f t="shared" si="53"/>
        <v>-1128.5666898</v>
      </c>
      <c r="AX303" s="125">
        <f>AI303*Valores!$C$75</f>
        <v>-1523.5650312299997</v>
      </c>
      <c r="AY303" s="125">
        <f>AI303*Valores!$C$76</f>
        <v>-169.28500347</v>
      </c>
      <c r="AZ303" s="125">
        <f t="shared" si="50"/>
        <v>47399.800971599994</v>
      </c>
      <c r="BA303" s="125">
        <f>AI303*Valores!$C$78</f>
        <v>9028.5335184</v>
      </c>
      <c r="BB303" s="125">
        <f>AI303*Valores!$C$79</f>
        <v>3949.9834143</v>
      </c>
      <c r="BC303" s="125">
        <f>AI303*Valores!$C$80</f>
        <v>564.2833449</v>
      </c>
      <c r="BD303" s="125">
        <f>AI303*Valores!$C$82</f>
        <v>1974.99170715</v>
      </c>
      <c r="BE303" s="125">
        <f>AI303*Valores!$C$84</f>
        <v>3047.1300624599994</v>
      </c>
      <c r="BF303" s="125">
        <f>AI303*Valores!$C$83</f>
        <v>338.57000694</v>
      </c>
      <c r="BG303" s="126"/>
      <c r="BH303" s="126"/>
      <c r="BI303" s="123" t="s">
        <v>4</v>
      </c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  <c r="AMG303" s="110"/>
      <c r="AMH303" s="110"/>
      <c r="AMI303" s="110"/>
      <c r="AMJ303" s="110"/>
      <c r="AMK303" s="110"/>
      <c r="AML303" s="110"/>
      <c r="AMM303" s="110"/>
      <c r="AMN303" s="110"/>
      <c r="AMO303" s="110"/>
    </row>
    <row r="304" spans="1:1029" s="142" customFormat="1" ht="11.25" customHeight="1">
      <c r="A304" s="123"/>
      <c r="B304" s="141">
        <v>1</v>
      </c>
      <c r="C304" s="126">
        <v>297</v>
      </c>
      <c r="D304" s="127" t="s">
        <v>477</v>
      </c>
      <c r="E304" s="194">
        <v>300</v>
      </c>
      <c r="F304" s="125">
        <f>ROUND(E304*Valores!$C$2,2)</f>
        <v>17676.09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5734.59</v>
      </c>
      <c r="N304" s="125">
        <f t="shared" si="47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5262.25</v>
      </c>
      <c r="S304" s="125">
        <v>0</v>
      </c>
      <c r="T304" s="125">
        <f t="shared" si="57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8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f>SUM(F304,H304,J304,L304,M304,N304,O304,P304,Q304,R304,T304,U304,V304,X304,Y304,Z304,AA304,AC304,AD304,AF304,AH304)*Valores!$C$69</f>
        <v>3698.8079700000003</v>
      </c>
      <c r="AH304" s="125">
        <v>0</v>
      </c>
      <c r="AI304" s="125">
        <f t="shared" si="54"/>
        <v>32371.737970000002</v>
      </c>
      <c r="AJ304" s="125">
        <v>0</v>
      </c>
      <c r="AK304" s="125">
        <v>0</v>
      </c>
      <c r="AL304" s="125">
        <v>0</v>
      </c>
      <c r="AM304" s="125">
        <v>0</v>
      </c>
      <c r="AN304" s="125">
        <f t="shared" si="49"/>
        <v>0</v>
      </c>
      <c r="AO304" s="125">
        <f>AI304*Valores!$C$71</f>
        <v>-3560.8911767000004</v>
      </c>
      <c r="AP304" s="125">
        <f>AI304*Valores!$C$72</f>
        <v>-647.4347594000001</v>
      </c>
      <c r="AQ304" s="125">
        <f>AI304*-Valores!$C$73</f>
        <v>0</v>
      </c>
      <c r="AR304" s="125">
        <f>AI304*Valores!$C$74</f>
        <v>-1780.4455883500002</v>
      </c>
      <c r="AS304" s="125">
        <v>0</v>
      </c>
      <c r="AT304" s="125">
        <v>0</v>
      </c>
      <c r="AU304" s="125">
        <f t="shared" si="51"/>
        <v>26382.966445550002</v>
      </c>
      <c r="AV304" s="125">
        <f t="shared" si="46"/>
        <v>-3560.8911767000004</v>
      </c>
      <c r="AW304" s="125">
        <f t="shared" si="53"/>
        <v>-647.4347594000001</v>
      </c>
      <c r="AX304" s="125">
        <f>AI304*Valores!$C$75</f>
        <v>-874.03692519</v>
      </c>
      <c r="AY304" s="125">
        <f>AI304*Valores!$C$76</f>
        <v>-97.11521391000001</v>
      </c>
      <c r="AZ304" s="125">
        <f t="shared" si="50"/>
        <v>27192.2598948</v>
      </c>
      <c r="BA304" s="125">
        <f>AI304*Valores!$C$78</f>
        <v>5179.478075200001</v>
      </c>
      <c r="BB304" s="125">
        <f>AI304*Valores!$C$79</f>
        <v>2266.0216579000003</v>
      </c>
      <c r="BC304" s="125">
        <f>AI304*Valores!$C$80</f>
        <v>323.71737970000004</v>
      </c>
      <c r="BD304" s="125">
        <f>AI304*Valores!$C$82</f>
        <v>1133.0108289500001</v>
      </c>
      <c r="BE304" s="125">
        <f>AI304*Valores!$C$84</f>
        <v>1748.07385038</v>
      </c>
      <c r="BF304" s="125">
        <f>AI304*Valores!$C$83</f>
        <v>194.23042782000002</v>
      </c>
      <c r="BG304" s="126"/>
      <c r="BH304" s="126"/>
      <c r="BI304" s="123" t="s">
        <v>4</v>
      </c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  <c r="AMG304" s="110"/>
      <c r="AMH304" s="110"/>
      <c r="AMI304" s="110"/>
      <c r="AMJ304" s="110"/>
      <c r="AMK304" s="110"/>
      <c r="AML304" s="110"/>
      <c r="AMM304" s="110"/>
      <c r="AMN304" s="110"/>
      <c r="AMO304" s="110"/>
    </row>
    <row r="305" spans="1:1029" s="142" customFormat="1" ht="11.25" customHeight="1">
      <c r="A305" s="126"/>
      <c r="B305" s="141">
        <v>1</v>
      </c>
      <c r="C305" s="126">
        <v>298</v>
      </c>
      <c r="D305" s="127" t="s">
        <v>478</v>
      </c>
      <c r="E305" s="194">
        <v>155</v>
      </c>
      <c r="F305" s="125">
        <f>ROUND(E305*Valores!$C$2,2)</f>
        <v>9132.65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2546.28</v>
      </c>
      <c r="N305" s="125">
        <f t="shared" si="47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1052.45</v>
      </c>
      <c r="S305" s="125">
        <v>0</v>
      </c>
      <c r="T305" s="125">
        <f t="shared" si="57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8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f>SUM(F305,H305,J305,L305,M305,N305,O305,P305,Q305,R305,T305,U305,V305,X305,Y305,Z305,AA305,AC305,AD305,AF305,AH305)*Valores!$C$69</f>
        <v>1642.3480200000001</v>
      </c>
      <c r="AH305" s="125">
        <v>0</v>
      </c>
      <c r="AI305" s="125">
        <f t="shared" si="54"/>
        <v>14373.72802</v>
      </c>
      <c r="AJ305" s="125">
        <v>0</v>
      </c>
      <c r="AK305" s="125">
        <v>0</v>
      </c>
      <c r="AL305" s="125">
        <v>0</v>
      </c>
      <c r="AM305" s="125">
        <v>0</v>
      </c>
      <c r="AN305" s="125">
        <f t="shared" si="49"/>
        <v>0</v>
      </c>
      <c r="AO305" s="125">
        <f>AI305*Valores!$C$71</f>
        <v>-1581.1100822</v>
      </c>
      <c r="AP305" s="125">
        <f>AI305*Valores!$C$72</f>
        <v>-287.47456040000003</v>
      </c>
      <c r="AQ305" s="125">
        <f>AI305*-Valores!$C$73</f>
        <v>0</v>
      </c>
      <c r="AR305" s="125">
        <f>AI305*Valores!$C$74</f>
        <v>-790.5550411</v>
      </c>
      <c r="AS305" s="125">
        <v>0</v>
      </c>
      <c r="AT305" s="125">
        <v>0</v>
      </c>
      <c r="AU305" s="125">
        <f t="shared" si="51"/>
        <v>11714.5883363</v>
      </c>
      <c r="AV305" s="125">
        <f t="shared" si="46"/>
        <v>-1581.1100822</v>
      </c>
      <c r="AW305" s="125">
        <f t="shared" si="53"/>
        <v>-287.47456040000003</v>
      </c>
      <c r="AX305" s="125">
        <f>AI305*Valores!$C$75</f>
        <v>-388.09065654</v>
      </c>
      <c r="AY305" s="125">
        <f>AI305*Valores!$C$76</f>
        <v>-43.121184060000004</v>
      </c>
      <c r="AZ305" s="125">
        <f t="shared" si="50"/>
        <v>12073.9315368</v>
      </c>
      <c r="BA305" s="125">
        <f>AI305*Valores!$C$78</f>
        <v>2299.7964832000002</v>
      </c>
      <c r="BB305" s="125">
        <f>AI305*Valores!$C$79</f>
        <v>1006.1609614000001</v>
      </c>
      <c r="BC305" s="125">
        <f>AI305*Valores!$C$80</f>
        <v>143.73728020000001</v>
      </c>
      <c r="BD305" s="125">
        <f>AI305*Valores!$C$82</f>
        <v>503.08048070000007</v>
      </c>
      <c r="BE305" s="125">
        <f>AI305*Valores!$C$84</f>
        <v>776.18131308</v>
      </c>
      <c r="BF305" s="125">
        <f>AI305*Valores!$C$83</f>
        <v>86.24236812000001</v>
      </c>
      <c r="BG305" s="126"/>
      <c r="BH305" s="126"/>
      <c r="BI305" s="123" t="s">
        <v>4</v>
      </c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  <c r="AMG305" s="110"/>
      <c r="AMH305" s="110"/>
      <c r="AMI305" s="110"/>
      <c r="AMJ305" s="110"/>
      <c r="AMK305" s="110"/>
      <c r="AML305" s="110"/>
      <c r="AMM305" s="110"/>
      <c r="AMN305" s="110"/>
      <c r="AMO305" s="110"/>
    </row>
    <row r="306" spans="1:1029" s="142" customFormat="1" ht="11.25" customHeight="1">
      <c r="A306" s="123"/>
      <c r="B306" s="141">
        <v>2</v>
      </c>
      <c r="C306" s="126">
        <v>299</v>
      </c>
      <c r="D306" s="127" t="s">
        <v>479</v>
      </c>
      <c r="E306" s="194">
        <f aca="true" t="shared" si="58" ref="E306:E320">155+E305</f>
        <v>310</v>
      </c>
      <c r="F306" s="125">
        <f>ROUND(E306*Valores!$C$2,2)</f>
        <v>18265.29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5092.55</v>
      </c>
      <c r="N306" s="125">
        <f t="shared" si="47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2104.9</v>
      </c>
      <c r="S306" s="125">
        <v>0</v>
      </c>
      <c r="T306" s="125">
        <f t="shared" si="57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8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f>SUM(F306,H306,J306,L306,M306,N306,O306,P306,Q306,R306,T306,U306,V306,X306,Y306,Z306,AA306,AC306,AD306,AF306,AH306)*Valores!$C$69</f>
        <v>3284.6934600000004</v>
      </c>
      <c r="AH306" s="125">
        <v>0</v>
      </c>
      <c r="AI306" s="125">
        <f t="shared" si="54"/>
        <v>28747.43346</v>
      </c>
      <c r="AJ306" s="125">
        <v>0</v>
      </c>
      <c r="AK306" s="125">
        <v>0</v>
      </c>
      <c r="AL306" s="125">
        <v>0</v>
      </c>
      <c r="AM306" s="125">
        <v>0</v>
      </c>
      <c r="AN306" s="125">
        <f t="shared" si="49"/>
        <v>0</v>
      </c>
      <c r="AO306" s="125">
        <f>AI306*Valores!$C$71</f>
        <v>-3162.2176806</v>
      </c>
      <c r="AP306" s="125">
        <f>AI306*Valores!$C$72</f>
        <v>-574.9486692</v>
      </c>
      <c r="AQ306" s="125">
        <f>AI306*-Valores!$C$73</f>
        <v>0</v>
      </c>
      <c r="AR306" s="125">
        <f>AI306*Valores!$C$74</f>
        <v>-1581.1088403</v>
      </c>
      <c r="AS306" s="125">
        <v>0</v>
      </c>
      <c r="AT306" s="125">
        <v>0</v>
      </c>
      <c r="AU306" s="125">
        <f t="shared" si="51"/>
        <v>23429.1582699</v>
      </c>
      <c r="AV306" s="125">
        <f t="shared" si="46"/>
        <v>-3162.2176806</v>
      </c>
      <c r="AW306" s="125">
        <f t="shared" si="53"/>
        <v>-574.9486692</v>
      </c>
      <c r="AX306" s="125">
        <f>AI306*Valores!$C$75</f>
        <v>-776.18070342</v>
      </c>
      <c r="AY306" s="125">
        <f>AI306*Valores!$C$76</f>
        <v>-86.24230038</v>
      </c>
      <c r="AZ306" s="125">
        <f t="shared" si="50"/>
        <v>24147.8441064</v>
      </c>
      <c r="BA306" s="125">
        <f>AI306*Valores!$C$78</f>
        <v>4599.5893536</v>
      </c>
      <c r="BB306" s="125">
        <f>AI306*Valores!$C$79</f>
        <v>2012.3203422000001</v>
      </c>
      <c r="BC306" s="125">
        <f>AI306*Valores!$C$80</f>
        <v>287.4743346</v>
      </c>
      <c r="BD306" s="125">
        <f>AI306*Valores!$C$82</f>
        <v>1006.1601711000001</v>
      </c>
      <c r="BE306" s="125">
        <f>AI306*Valores!$C$84</f>
        <v>1552.36140684</v>
      </c>
      <c r="BF306" s="125">
        <f>AI306*Valores!$C$83</f>
        <v>172.48460076</v>
      </c>
      <c r="BG306" s="126"/>
      <c r="BH306" s="126"/>
      <c r="BI306" s="123" t="s">
        <v>4</v>
      </c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  <c r="AMG306" s="110"/>
      <c r="AMH306" s="110"/>
      <c r="AMI306" s="110"/>
      <c r="AMJ306" s="110"/>
      <c r="AMK306" s="110"/>
      <c r="AML306" s="110"/>
      <c r="AMM306" s="110"/>
      <c r="AMN306" s="110"/>
      <c r="AMO306" s="110"/>
    </row>
    <row r="307" spans="1:1029" s="142" customFormat="1" ht="11.25" customHeight="1">
      <c r="A307" s="123"/>
      <c r="B307" s="141">
        <v>3</v>
      </c>
      <c r="C307" s="126">
        <v>300</v>
      </c>
      <c r="D307" s="127" t="s">
        <v>480</v>
      </c>
      <c r="E307" s="194">
        <f t="shared" si="58"/>
        <v>465</v>
      </c>
      <c r="F307" s="125">
        <f>ROUND(E307*Valores!$C$2,2)</f>
        <v>27397.94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7638.82</v>
      </c>
      <c r="N307" s="125">
        <f t="shared" si="47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3157.3500000000004</v>
      </c>
      <c r="S307" s="125">
        <v>0</v>
      </c>
      <c r="T307" s="125">
        <f t="shared" si="57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8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f>SUM(F307,H307,J307,L307,M307,N307,O307,P307,Q307,R307,T307,U307,V307,X307,Y307,Z307,AA307,AC307,AD307,AF307,AH307)*Valores!$C$69</f>
        <v>4927.04019</v>
      </c>
      <c r="AH307" s="125">
        <v>0</v>
      </c>
      <c r="AI307" s="125">
        <f t="shared" si="54"/>
        <v>43121.15018999999</v>
      </c>
      <c r="AJ307" s="125">
        <v>0</v>
      </c>
      <c r="AK307" s="125">
        <v>0</v>
      </c>
      <c r="AL307" s="125">
        <v>0</v>
      </c>
      <c r="AM307" s="125">
        <v>0</v>
      </c>
      <c r="AN307" s="125">
        <f t="shared" si="49"/>
        <v>0</v>
      </c>
      <c r="AO307" s="125">
        <f>AI307*Valores!$C$71</f>
        <v>-4743.326520899999</v>
      </c>
      <c r="AP307" s="125">
        <f>AI307*Valores!$C$72</f>
        <v>-862.4230037999998</v>
      </c>
      <c r="AQ307" s="125">
        <f>AI307*-Valores!$C$73</f>
        <v>0</v>
      </c>
      <c r="AR307" s="125">
        <f>AI307*Valores!$C$74</f>
        <v>-2371.6632604499996</v>
      </c>
      <c r="AS307" s="125">
        <v>0</v>
      </c>
      <c r="AT307" s="125">
        <v>0</v>
      </c>
      <c r="AU307" s="125">
        <f t="shared" si="51"/>
        <v>35143.73740484999</v>
      </c>
      <c r="AV307" s="125">
        <f t="shared" si="46"/>
        <v>-4743.326520899999</v>
      </c>
      <c r="AW307" s="125">
        <f t="shared" si="53"/>
        <v>-862.4230037999998</v>
      </c>
      <c r="AX307" s="125">
        <f>AI307*Valores!$C$75</f>
        <v>-1164.2710551299997</v>
      </c>
      <c r="AY307" s="125">
        <f>AI307*Valores!$C$76</f>
        <v>-129.36345056999997</v>
      </c>
      <c r="AZ307" s="125">
        <f t="shared" si="50"/>
        <v>36221.766159599996</v>
      </c>
      <c r="BA307" s="125">
        <f>AI307*Valores!$C$78</f>
        <v>6899.384030399999</v>
      </c>
      <c r="BB307" s="125">
        <f>AI307*Valores!$C$79</f>
        <v>3018.4805133</v>
      </c>
      <c r="BC307" s="125">
        <f>AI307*Valores!$C$80</f>
        <v>431.2115018999999</v>
      </c>
      <c r="BD307" s="125">
        <f>AI307*Valores!$C$82</f>
        <v>1509.24025665</v>
      </c>
      <c r="BE307" s="125">
        <f>AI307*Valores!$C$84</f>
        <v>2328.5421102599994</v>
      </c>
      <c r="BF307" s="125">
        <f>AI307*Valores!$C$83</f>
        <v>258.72690113999994</v>
      </c>
      <c r="BG307" s="126"/>
      <c r="BH307" s="126"/>
      <c r="BI307" s="123" t="s">
        <v>4</v>
      </c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  <c r="AMG307" s="110"/>
      <c r="AMH307" s="110"/>
      <c r="AMI307" s="110"/>
      <c r="AMJ307" s="110"/>
      <c r="AMK307" s="110"/>
      <c r="AML307" s="110"/>
      <c r="AMM307" s="110"/>
      <c r="AMN307" s="110"/>
      <c r="AMO307" s="110"/>
    </row>
    <row r="308" spans="1:1029" s="142" customFormat="1" ht="11.25" customHeight="1">
      <c r="A308" s="123"/>
      <c r="B308" s="141">
        <v>4</v>
      </c>
      <c r="C308" s="126">
        <v>301</v>
      </c>
      <c r="D308" s="127" t="s">
        <v>481</v>
      </c>
      <c r="E308" s="194">
        <f t="shared" si="58"/>
        <v>620</v>
      </c>
      <c r="F308" s="125">
        <f>ROUND(E308*Valores!$C$2,2)</f>
        <v>36530.59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10185.1</v>
      </c>
      <c r="N308" s="125">
        <f t="shared" si="47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4209.8</v>
      </c>
      <c r="S308" s="125">
        <v>0</v>
      </c>
      <c r="T308" s="125">
        <f t="shared" si="57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8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f>SUM(F308,H308,J308,L308,M308,N308,O308,P308,Q308,R308,T308,U308,V308,X308,Y308,Z308,AA308,AC308,AD308,AF308,AH308)*Valores!$C$69</f>
        <v>6569.38821</v>
      </c>
      <c r="AH308" s="125">
        <v>0</v>
      </c>
      <c r="AI308" s="125">
        <f t="shared" si="54"/>
        <v>57494.878209999995</v>
      </c>
      <c r="AJ308" s="125">
        <v>0</v>
      </c>
      <c r="AK308" s="125">
        <v>0</v>
      </c>
      <c r="AL308" s="125">
        <v>0</v>
      </c>
      <c r="AM308" s="125">
        <v>0</v>
      </c>
      <c r="AN308" s="125">
        <f t="shared" si="49"/>
        <v>0</v>
      </c>
      <c r="AO308" s="125">
        <f>AI308*Valores!$C$71</f>
        <v>-6324.4366031</v>
      </c>
      <c r="AP308" s="125">
        <f>AI308*Valores!$C$72</f>
        <v>-1149.8975642</v>
      </c>
      <c r="AQ308" s="125">
        <f>AI308*-Valores!$C$73</f>
        <v>0</v>
      </c>
      <c r="AR308" s="125">
        <f>AI308*Valores!$C$74</f>
        <v>-3162.21830155</v>
      </c>
      <c r="AS308" s="125">
        <v>0</v>
      </c>
      <c r="AT308" s="125">
        <v>0</v>
      </c>
      <c r="AU308" s="125">
        <f t="shared" si="51"/>
        <v>46858.325741149994</v>
      </c>
      <c r="AV308" s="125">
        <f t="shared" si="46"/>
        <v>-6324.4366031</v>
      </c>
      <c r="AW308" s="125">
        <f t="shared" si="53"/>
        <v>-1149.8975642</v>
      </c>
      <c r="AX308" s="125">
        <f>AI308*Valores!$C$75</f>
        <v>-1552.3617116699997</v>
      </c>
      <c r="AY308" s="125">
        <f>AI308*Valores!$C$76</f>
        <v>-172.48463463</v>
      </c>
      <c r="AZ308" s="125">
        <f t="shared" si="50"/>
        <v>48295.69769639999</v>
      </c>
      <c r="BA308" s="125">
        <f>AI308*Valores!$C$78</f>
        <v>9199.1805136</v>
      </c>
      <c r="BB308" s="125">
        <f>AI308*Valores!$C$79</f>
        <v>4024.6414747</v>
      </c>
      <c r="BC308" s="125">
        <f>AI308*Valores!$C$80</f>
        <v>574.9487821</v>
      </c>
      <c r="BD308" s="125">
        <f>AI308*Valores!$C$82</f>
        <v>2012.32073735</v>
      </c>
      <c r="BE308" s="125">
        <f>AI308*Valores!$C$84</f>
        <v>3104.7234233399995</v>
      </c>
      <c r="BF308" s="125">
        <f>AI308*Valores!$C$83</f>
        <v>344.96926926</v>
      </c>
      <c r="BG308" s="126"/>
      <c r="BH308" s="126"/>
      <c r="BI308" s="123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  <c r="AMG308" s="110"/>
      <c r="AMH308" s="110"/>
      <c r="AMI308" s="110"/>
      <c r="AMJ308" s="110"/>
      <c r="AMK308" s="110"/>
      <c r="AML308" s="110"/>
      <c r="AMM308" s="110"/>
      <c r="AMN308" s="110"/>
      <c r="AMO308" s="110"/>
    </row>
    <row r="309" spans="1:1029" s="142" customFormat="1" ht="11.25" customHeight="1">
      <c r="A309" s="123"/>
      <c r="B309" s="141">
        <v>5</v>
      </c>
      <c r="C309" s="126">
        <v>302</v>
      </c>
      <c r="D309" s="127" t="s">
        <v>482</v>
      </c>
      <c r="E309" s="194">
        <f t="shared" si="58"/>
        <v>775</v>
      </c>
      <c r="F309" s="125">
        <f>ROUND(E309*Valores!$C$2,2)</f>
        <v>45663.23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12731.37</v>
      </c>
      <c r="N309" s="125">
        <f t="shared" si="47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5262.25</v>
      </c>
      <c r="S309" s="125">
        <v>0</v>
      </c>
      <c r="T309" s="125">
        <f t="shared" si="57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8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f>SUM(F309,H309,J309,L309,M309,N309,O309,P309,Q309,R309,T309,U309,V309,X309,Y309,Z309,AA309,AC309,AD309,AF309,AH309)*Valores!$C$69</f>
        <v>8211.73365</v>
      </c>
      <c r="AH309" s="125">
        <v>0</v>
      </c>
      <c r="AI309" s="125">
        <f t="shared" si="54"/>
        <v>71868.58365</v>
      </c>
      <c r="AJ309" s="125">
        <v>0</v>
      </c>
      <c r="AK309" s="125">
        <v>0</v>
      </c>
      <c r="AL309" s="125">
        <v>0</v>
      </c>
      <c r="AM309" s="125">
        <v>0</v>
      </c>
      <c r="AN309" s="125">
        <f t="shared" si="49"/>
        <v>0</v>
      </c>
      <c r="AO309" s="125">
        <f>AI309*Valores!$C$71</f>
        <v>-7905.5442015</v>
      </c>
      <c r="AP309" s="125">
        <f>AI309*Valores!$C$72</f>
        <v>-1437.371673</v>
      </c>
      <c r="AQ309" s="125">
        <f>AI309*-Valores!$C$73</f>
        <v>0</v>
      </c>
      <c r="AR309" s="125">
        <f>AI309*Valores!$C$74</f>
        <v>-3952.77210075</v>
      </c>
      <c r="AS309" s="125">
        <v>0</v>
      </c>
      <c r="AT309" s="125">
        <v>0</v>
      </c>
      <c r="AU309" s="125">
        <f t="shared" si="51"/>
        <v>58572.89567475</v>
      </c>
      <c r="AV309" s="125">
        <f t="shared" si="46"/>
        <v>-7905.5442015</v>
      </c>
      <c r="AW309" s="125">
        <f t="shared" si="53"/>
        <v>-1437.371673</v>
      </c>
      <c r="AX309" s="125">
        <f>AI309*Valores!$C$75</f>
        <v>-1940.45175855</v>
      </c>
      <c r="AY309" s="125">
        <f>AI309*Valores!$C$76</f>
        <v>-215.60575095000002</v>
      </c>
      <c r="AZ309" s="125">
        <f t="shared" si="50"/>
        <v>60369.610266</v>
      </c>
      <c r="BA309" s="125">
        <f>AI309*Valores!$C$78</f>
        <v>11498.973384</v>
      </c>
      <c r="BB309" s="125">
        <f>AI309*Valores!$C$79</f>
        <v>5030.800855500001</v>
      </c>
      <c r="BC309" s="125">
        <f>AI309*Valores!$C$80</f>
        <v>718.6858365</v>
      </c>
      <c r="BD309" s="125">
        <f>AI309*Valores!$C$82</f>
        <v>2515.4004277500003</v>
      </c>
      <c r="BE309" s="125">
        <f>AI309*Valores!$C$84</f>
        <v>3880.9035171</v>
      </c>
      <c r="BF309" s="125">
        <f>AI309*Valores!$C$83</f>
        <v>431.21150190000003</v>
      </c>
      <c r="BG309" s="126"/>
      <c r="BH309" s="126"/>
      <c r="BI309" s="123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  <c r="AMG309" s="110"/>
      <c r="AMH309" s="110"/>
      <c r="AMI309" s="110"/>
      <c r="AMJ309" s="110"/>
      <c r="AMK309" s="110"/>
      <c r="AML309" s="110"/>
      <c r="AMM309" s="110"/>
      <c r="AMN309" s="110"/>
      <c r="AMO309" s="110"/>
    </row>
    <row r="310" spans="1:1029" s="142" customFormat="1" ht="11.25" customHeight="1">
      <c r="A310" s="123"/>
      <c r="B310" s="141">
        <v>6</v>
      </c>
      <c r="C310" s="126">
        <v>303</v>
      </c>
      <c r="D310" s="127" t="s">
        <v>483</v>
      </c>
      <c r="E310" s="194">
        <f t="shared" si="58"/>
        <v>930</v>
      </c>
      <c r="F310" s="125">
        <f>ROUND(E310*Valores!$C$2,2)</f>
        <v>54795.88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15277.65</v>
      </c>
      <c r="N310" s="125">
        <f t="shared" si="47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6314.700000000001</v>
      </c>
      <c r="S310" s="125">
        <v>0</v>
      </c>
      <c r="T310" s="125">
        <f t="shared" si="57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8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f>SUM(F310,H310,J310,L310,M310,N310,O310,P310,Q310,R310,T310,U310,V310,X310,Y310,Z310,AA310,AC310,AD310,AF310,AH310)*Valores!$C$69</f>
        <v>9854.08167</v>
      </c>
      <c r="AH310" s="125">
        <v>0</v>
      </c>
      <c r="AI310" s="125">
        <f t="shared" si="54"/>
        <v>86242.31167</v>
      </c>
      <c r="AJ310" s="125">
        <v>0</v>
      </c>
      <c r="AK310" s="125">
        <v>0</v>
      </c>
      <c r="AL310" s="125">
        <v>0</v>
      </c>
      <c r="AM310" s="125">
        <v>0</v>
      </c>
      <c r="AN310" s="125">
        <f t="shared" si="49"/>
        <v>0</v>
      </c>
      <c r="AO310" s="125">
        <f>AI310*Valores!$C$71</f>
        <v>-9486.6542837</v>
      </c>
      <c r="AP310" s="125">
        <f>AI310*Valores!$C$72</f>
        <v>-1724.8462333999998</v>
      </c>
      <c r="AQ310" s="125">
        <f>AI310*-Valores!$C$73</f>
        <v>0</v>
      </c>
      <c r="AR310" s="125">
        <f>AI310*Valores!$C$74</f>
        <v>-4743.32714185</v>
      </c>
      <c r="AS310" s="125">
        <v>0</v>
      </c>
      <c r="AT310" s="125">
        <v>0</v>
      </c>
      <c r="AU310" s="125">
        <f t="shared" si="51"/>
        <v>70287.48401105</v>
      </c>
      <c r="AV310" s="125">
        <f t="shared" si="46"/>
        <v>-9486.6542837</v>
      </c>
      <c r="AW310" s="125">
        <f t="shared" si="53"/>
        <v>-1724.8462333999998</v>
      </c>
      <c r="AX310" s="125">
        <f>AI310*Valores!$C$75</f>
        <v>-2328.54241509</v>
      </c>
      <c r="AY310" s="125">
        <f>AI310*Valores!$C$76</f>
        <v>-258.72693501</v>
      </c>
      <c r="AZ310" s="125">
        <f t="shared" si="50"/>
        <v>72443.5418028</v>
      </c>
      <c r="BA310" s="125">
        <f>AI310*Valores!$C$78</f>
        <v>13798.769867199999</v>
      </c>
      <c r="BB310" s="125">
        <f>AI310*Valores!$C$79</f>
        <v>6036.9618169000005</v>
      </c>
      <c r="BC310" s="125">
        <f>AI310*Valores!$C$80</f>
        <v>862.4231166999999</v>
      </c>
      <c r="BD310" s="125">
        <f>AI310*Valores!$C$82</f>
        <v>3018.4809084500002</v>
      </c>
      <c r="BE310" s="125">
        <f>AI310*Valores!$C$84</f>
        <v>4657.08483018</v>
      </c>
      <c r="BF310" s="125">
        <f>AI310*Valores!$C$83</f>
        <v>517.45387002</v>
      </c>
      <c r="BG310" s="126"/>
      <c r="BH310" s="126"/>
      <c r="BI310" s="123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  <c r="AMG310" s="110"/>
      <c r="AMH310" s="110"/>
      <c r="AMI310" s="110"/>
      <c r="AMJ310" s="110"/>
      <c r="AMK310" s="110"/>
      <c r="AML310" s="110"/>
      <c r="AMM310" s="110"/>
      <c r="AMN310" s="110"/>
      <c r="AMO310" s="110"/>
    </row>
    <row r="311" spans="1:1029" s="142" customFormat="1" ht="11.25" customHeight="1">
      <c r="A311" s="123"/>
      <c r="B311" s="141">
        <v>7</v>
      </c>
      <c r="C311" s="126">
        <v>304</v>
      </c>
      <c r="D311" s="127" t="s">
        <v>484</v>
      </c>
      <c r="E311" s="194">
        <f t="shared" si="58"/>
        <v>1085</v>
      </c>
      <c r="F311" s="125">
        <f>ROUND(E311*Valores!$C$2,2)</f>
        <v>63928.53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17823.92</v>
      </c>
      <c r="N311" s="125">
        <f t="shared" si="47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7367.150000000001</v>
      </c>
      <c r="S311" s="125">
        <v>0</v>
      </c>
      <c r="T311" s="125">
        <f t="shared" si="57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8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f>SUM(F311,H311,J311,L311,M311,N311,O311,P311,Q311,R311,T311,U311,V311,X311,Y311,Z311,AA311,AC311,AD311,AF311,AH311)*Valores!$C$69</f>
        <v>11496.428399999999</v>
      </c>
      <c r="AH311" s="125">
        <v>0</v>
      </c>
      <c r="AI311" s="125">
        <f t="shared" si="54"/>
        <v>100616.0284</v>
      </c>
      <c r="AJ311" s="125">
        <v>0</v>
      </c>
      <c r="AK311" s="125">
        <v>0</v>
      </c>
      <c r="AL311" s="125">
        <v>0</v>
      </c>
      <c r="AM311" s="125">
        <v>0</v>
      </c>
      <c r="AN311" s="125">
        <f t="shared" si="49"/>
        <v>0</v>
      </c>
      <c r="AO311" s="125">
        <f>AI311*Valores!$C$71</f>
        <v>-11067.763124</v>
      </c>
      <c r="AP311" s="125">
        <f>AI311*Valores!$C$72</f>
        <v>-2012.3205679999999</v>
      </c>
      <c r="AQ311" s="125">
        <f>AI311*-Valores!$C$73</f>
        <v>0</v>
      </c>
      <c r="AR311" s="125">
        <f>AI311*Valores!$C$74</f>
        <v>-5533.881562</v>
      </c>
      <c r="AS311" s="125">
        <v>0</v>
      </c>
      <c r="AT311" s="125">
        <v>0</v>
      </c>
      <c r="AU311" s="125">
        <f t="shared" si="51"/>
        <v>82002.063146</v>
      </c>
      <c r="AV311" s="125">
        <f t="shared" si="46"/>
        <v>-11067.763124</v>
      </c>
      <c r="AW311" s="125">
        <f t="shared" si="53"/>
        <v>-2012.3205679999999</v>
      </c>
      <c r="AX311" s="125">
        <f>AI311*Valores!$C$75</f>
        <v>-2716.6327668</v>
      </c>
      <c r="AY311" s="125">
        <f>AI311*Valores!$C$76</f>
        <v>-301.8480852</v>
      </c>
      <c r="AZ311" s="125">
        <f t="shared" si="50"/>
        <v>84517.463856</v>
      </c>
      <c r="BA311" s="125">
        <f>AI311*Valores!$C$78</f>
        <v>16098.564543999999</v>
      </c>
      <c r="BB311" s="125">
        <f>AI311*Valores!$C$79</f>
        <v>7043.121988000001</v>
      </c>
      <c r="BC311" s="125">
        <f>AI311*Valores!$C$80</f>
        <v>1006.1602839999999</v>
      </c>
      <c r="BD311" s="125">
        <f>AI311*Valores!$C$82</f>
        <v>3521.5609940000004</v>
      </c>
      <c r="BE311" s="125">
        <f>AI311*Valores!$C$84</f>
        <v>5433.2655336</v>
      </c>
      <c r="BF311" s="125">
        <f>AI311*Valores!$C$83</f>
        <v>603.6961704</v>
      </c>
      <c r="BG311" s="126"/>
      <c r="BH311" s="126"/>
      <c r="BI311" s="123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  <c r="AMG311" s="110"/>
      <c r="AMH311" s="110"/>
      <c r="AMI311" s="110"/>
      <c r="AMJ311" s="110"/>
      <c r="AMK311" s="110"/>
      <c r="AML311" s="110"/>
      <c r="AMM311" s="110"/>
      <c r="AMN311" s="110"/>
      <c r="AMO311" s="110"/>
    </row>
    <row r="312" spans="1:1029" s="142" customFormat="1" ht="11.25" customHeight="1">
      <c r="A312" s="123"/>
      <c r="B312" s="141">
        <v>8</v>
      </c>
      <c r="C312" s="126">
        <v>305</v>
      </c>
      <c r="D312" s="127" t="s">
        <v>485</v>
      </c>
      <c r="E312" s="194">
        <f t="shared" si="58"/>
        <v>1240</v>
      </c>
      <c r="F312" s="125">
        <f>ROUND(E312*Valores!$C$2,2)</f>
        <v>73061.17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20370.19</v>
      </c>
      <c r="N312" s="125">
        <f t="shared" si="47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8419.6</v>
      </c>
      <c r="S312" s="125">
        <v>0</v>
      </c>
      <c r="T312" s="125">
        <f t="shared" si="57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8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f>SUM(F312,H312,J312,L312,M312,N312,O312,P312,Q312,R312,T312,U312,V312,X312,Y312,Z312,AA312,AC312,AD312,AF312,AH312)*Valores!$C$69</f>
        <v>13138.773840000002</v>
      </c>
      <c r="AH312" s="125">
        <v>0</v>
      </c>
      <c r="AI312" s="125">
        <f t="shared" si="54"/>
        <v>114989.73384</v>
      </c>
      <c r="AJ312" s="125">
        <v>0</v>
      </c>
      <c r="AK312" s="125">
        <v>0</v>
      </c>
      <c r="AL312" s="125">
        <v>0</v>
      </c>
      <c r="AM312" s="125">
        <v>0</v>
      </c>
      <c r="AN312" s="125">
        <f t="shared" si="49"/>
        <v>0</v>
      </c>
      <c r="AO312" s="125">
        <f>AI312*Valores!$C$71</f>
        <v>-12648.8707224</v>
      </c>
      <c r="AP312" s="125">
        <f>AI312*Valores!$C$72</f>
        <v>-2299.7946768</v>
      </c>
      <c r="AQ312" s="125">
        <f>AI312*-Valores!$C$73</f>
        <v>0</v>
      </c>
      <c r="AR312" s="125">
        <f>AI312*Valores!$C$74</f>
        <v>-6324.4353612</v>
      </c>
      <c r="AS312" s="125">
        <v>0</v>
      </c>
      <c r="AT312" s="125">
        <v>0</v>
      </c>
      <c r="AU312" s="125">
        <f t="shared" si="51"/>
        <v>93716.6330796</v>
      </c>
      <c r="AV312" s="125">
        <f t="shared" si="46"/>
        <v>-12648.8707224</v>
      </c>
      <c r="AW312" s="125">
        <f t="shared" si="53"/>
        <v>-2299.7946768</v>
      </c>
      <c r="AX312" s="125">
        <f>AI312*Valores!$C$75</f>
        <v>-3104.72281368</v>
      </c>
      <c r="AY312" s="125">
        <f>AI312*Valores!$C$76</f>
        <v>-344.96920152</v>
      </c>
      <c r="AZ312" s="125">
        <f t="shared" si="50"/>
        <v>96591.3764256</v>
      </c>
      <c r="BA312" s="125">
        <f>AI312*Valores!$C$78</f>
        <v>18398.3574144</v>
      </c>
      <c r="BB312" s="125">
        <f>AI312*Valores!$C$79</f>
        <v>8049.281368800001</v>
      </c>
      <c r="BC312" s="125">
        <f>AI312*Valores!$C$80</f>
        <v>1149.8973384</v>
      </c>
      <c r="BD312" s="125">
        <f>AI312*Valores!$C$82</f>
        <v>4024.6406844000003</v>
      </c>
      <c r="BE312" s="125">
        <f>AI312*Valores!$C$84</f>
        <v>6209.44562736</v>
      </c>
      <c r="BF312" s="125">
        <f>AI312*Valores!$C$83</f>
        <v>689.93840304</v>
      </c>
      <c r="BG312" s="126"/>
      <c r="BH312" s="126"/>
      <c r="BI312" s="123" t="s">
        <v>4</v>
      </c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  <c r="AMG312" s="110"/>
      <c r="AMH312" s="110"/>
      <c r="AMI312" s="110"/>
      <c r="AMJ312" s="110"/>
      <c r="AMK312" s="110"/>
      <c r="AML312" s="110"/>
      <c r="AMM312" s="110"/>
      <c r="AMN312" s="110"/>
      <c r="AMO312" s="110"/>
    </row>
    <row r="313" spans="1:1029" s="142" customFormat="1" ht="11.25" customHeight="1">
      <c r="A313" s="123"/>
      <c r="B313" s="141">
        <v>9</v>
      </c>
      <c r="C313" s="126">
        <v>306</v>
      </c>
      <c r="D313" s="127" t="s">
        <v>486</v>
      </c>
      <c r="E313" s="194">
        <f t="shared" si="58"/>
        <v>1395</v>
      </c>
      <c r="F313" s="125">
        <f>ROUND(E313*Valores!$C$2,2)</f>
        <v>82193.82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22916.47</v>
      </c>
      <c r="N313" s="125">
        <f t="shared" si="47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9472.050000000001</v>
      </c>
      <c r="S313" s="125">
        <v>0</v>
      </c>
      <c r="T313" s="125">
        <f t="shared" si="57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8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f>SUM(F313,H313,J313,L313,M313,N313,O313,P313,Q313,R313,T313,U313,V313,X313,Y313,Z313,AA313,AC313,AD313,AF313,AH313)*Valores!$C$69</f>
        <v>14781.121860000001</v>
      </c>
      <c r="AH313" s="125">
        <v>0</v>
      </c>
      <c r="AI313" s="125">
        <f t="shared" si="54"/>
        <v>129363.46186000001</v>
      </c>
      <c r="AJ313" s="125">
        <v>0</v>
      </c>
      <c r="AK313" s="125">
        <v>0</v>
      </c>
      <c r="AL313" s="125">
        <v>0</v>
      </c>
      <c r="AM313" s="125">
        <v>0</v>
      </c>
      <c r="AN313" s="125">
        <f t="shared" si="49"/>
        <v>0</v>
      </c>
      <c r="AO313" s="125">
        <f>AI313*Valores!$C$71</f>
        <v>-14229.980804600002</v>
      </c>
      <c r="AP313" s="125">
        <f>AI313*Valores!$C$72</f>
        <v>-2587.2692372</v>
      </c>
      <c r="AQ313" s="125">
        <f>AI313*-Valores!$C$73</f>
        <v>0</v>
      </c>
      <c r="AR313" s="125">
        <f>AI313*Valores!$C$74</f>
        <v>-7114.990402300001</v>
      </c>
      <c r="AS313" s="125">
        <v>0</v>
      </c>
      <c r="AT313" s="125">
        <v>0</v>
      </c>
      <c r="AU313" s="125">
        <f t="shared" si="51"/>
        <v>105431.22141590001</v>
      </c>
      <c r="AV313" s="125">
        <f t="shared" si="46"/>
        <v>-14229.980804600002</v>
      </c>
      <c r="AW313" s="125">
        <f t="shared" si="53"/>
        <v>-2587.2692372</v>
      </c>
      <c r="AX313" s="125">
        <f>AI313*Valores!$C$75</f>
        <v>-3492.8134702200005</v>
      </c>
      <c r="AY313" s="125">
        <f>AI313*Valores!$C$76</f>
        <v>-388.09038558000003</v>
      </c>
      <c r="AZ313" s="125">
        <f t="shared" si="50"/>
        <v>108665.30796240001</v>
      </c>
      <c r="BA313" s="125">
        <f>AI313*Valores!$C$78</f>
        <v>20698.1538976</v>
      </c>
      <c r="BB313" s="125">
        <f>AI313*Valores!$C$79</f>
        <v>9055.442330200001</v>
      </c>
      <c r="BC313" s="125">
        <f>AI313*Valores!$C$80</f>
        <v>1293.6346186</v>
      </c>
      <c r="BD313" s="125">
        <f>AI313*Valores!$C$82</f>
        <v>4527.721165100001</v>
      </c>
      <c r="BE313" s="125">
        <f>AI313*Valores!$C$84</f>
        <v>6985.626940440001</v>
      </c>
      <c r="BF313" s="125">
        <f>AI313*Valores!$C$83</f>
        <v>776.1807711600001</v>
      </c>
      <c r="BG313" s="126"/>
      <c r="BH313" s="126"/>
      <c r="BI313" s="123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  <c r="AMG313" s="110"/>
      <c r="AMH313" s="110"/>
      <c r="AMI313" s="110"/>
      <c r="AMJ313" s="110"/>
      <c r="AMK313" s="110"/>
      <c r="AML313" s="110"/>
      <c r="AMM313" s="110"/>
      <c r="AMN313" s="110"/>
      <c r="AMO313" s="110"/>
    </row>
    <row r="314" spans="1:1029" s="142" customFormat="1" ht="11.25" customHeight="1">
      <c r="A314" s="123"/>
      <c r="B314" s="141">
        <v>10</v>
      </c>
      <c r="C314" s="126">
        <v>307</v>
      </c>
      <c r="D314" s="127" t="s">
        <v>487</v>
      </c>
      <c r="E314" s="194">
        <f t="shared" si="58"/>
        <v>1550</v>
      </c>
      <c r="F314" s="125">
        <f>ROUND(E314*Valores!$C$2,2)</f>
        <v>91326.47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25462.74</v>
      </c>
      <c r="N314" s="125">
        <f t="shared" si="47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10524.5</v>
      </c>
      <c r="S314" s="125">
        <v>0</v>
      </c>
      <c r="T314" s="125">
        <f t="shared" si="57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8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f>SUM(F314,H314,J314,L314,M314,N314,O314,P314,Q314,R314,T314,U314,V314,X314,Y314,Z314,AA314,AC314,AD314,AF314,AH314)*Valores!$C$69</f>
        <v>16423.46859</v>
      </c>
      <c r="AH314" s="125">
        <v>0</v>
      </c>
      <c r="AI314" s="125">
        <f t="shared" si="54"/>
        <v>143737.17859</v>
      </c>
      <c r="AJ314" s="125">
        <v>0</v>
      </c>
      <c r="AK314" s="125">
        <v>0</v>
      </c>
      <c r="AL314" s="125">
        <v>0</v>
      </c>
      <c r="AM314" s="125">
        <v>0</v>
      </c>
      <c r="AN314" s="125">
        <f t="shared" si="49"/>
        <v>0</v>
      </c>
      <c r="AO314" s="125">
        <f>AI314*Valores!$C$71</f>
        <v>-15811.0896449</v>
      </c>
      <c r="AP314" s="125">
        <f>AI314*Valores!$C$72</f>
        <v>-2874.7435718</v>
      </c>
      <c r="AQ314" s="125">
        <f>AI314*-Valores!$C$73</f>
        <v>0</v>
      </c>
      <c r="AR314" s="125">
        <f>AI314*Valores!$C$74</f>
        <v>-7905.54482245</v>
      </c>
      <c r="AS314" s="125">
        <v>0</v>
      </c>
      <c r="AT314" s="125">
        <v>0</v>
      </c>
      <c r="AU314" s="125">
        <f t="shared" si="51"/>
        <v>117145.80055084999</v>
      </c>
      <c r="AV314" s="125">
        <f t="shared" si="46"/>
        <v>-15811.0896449</v>
      </c>
      <c r="AW314" s="125">
        <f t="shared" si="53"/>
        <v>-2874.7435718</v>
      </c>
      <c r="AX314" s="125">
        <f>AI314*Valores!$C$75</f>
        <v>-3880.90382193</v>
      </c>
      <c r="AY314" s="125">
        <f>AI314*Valores!$C$76</f>
        <v>-431.21153577</v>
      </c>
      <c r="AZ314" s="125">
        <f t="shared" si="50"/>
        <v>120739.2300156</v>
      </c>
      <c r="BA314" s="125">
        <f>AI314*Valores!$C$78</f>
        <v>22997.9485744</v>
      </c>
      <c r="BB314" s="125">
        <f>AI314*Valores!$C$79</f>
        <v>10061.6025013</v>
      </c>
      <c r="BC314" s="125">
        <f>AI314*Valores!$C$80</f>
        <v>1437.3717859</v>
      </c>
      <c r="BD314" s="125">
        <f>AI314*Valores!$C$82</f>
        <v>5030.80125065</v>
      </c>
      <c r="BE314" s="125">
        <f>AI314*Valores!$C$84</f>
        <v>7761.80764386</v>
      </c>
      <c r="BF314" s="125">
        <f>AI314*Valores!$C$83</f>
        <v>862.42307154</v>
      </c>
      <c r="BG314" s="126"/>
      <c r="BH314" s="126"/>
      <c r="BI314" s="123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  <c r="AMG314" s="110"/>
      <c r="AMH314" s="110"/>
      <c r="AMI314" s="110"/>
      <c r="AMJ314" s="110"/>
      <c r="AMK314" s="110"/>
      <c r="AML314" s="110"/>
      <c r="AMM314" s="110"/>
      <c r="AMN314" s="110"/>
      <c r="AMO314" s="110"/>
    </row>
    <row r="315" spans="1:1029" s="142" customFormat="1" ht="11.25" customHeight="1">
      <c r="A315" s="123"/>
      <c r="B315" s="141">
        <v>11</v>
      </c>
      <c r="C315" s="126">
        <v>308</v>
      </c>
      <c r="D315" s="127" t="s">
        <v>488</v>
      </c>
      <c r="E315" s="194">
        <f t="shared" si="58"/>
        <v>1705</v>
      </c>
      <c r="F315" s="125">
        <f>ROUND(E315*Valores!$C$2,2)</f>
        <v>100459.11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28009.02</v>
      </c>
      <c r="N315" s="125">
        <f t="shared" si="47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11576.95</v>
      </c>
      <c r="S315" s="125">
        <v>0</v>
      </c>
      <c r="T315" s="125">
        <f t="shared" si="57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8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f>SUM(F315,H315,J315,L315,M315,N315,O315,P315,Q315,R315,T315,U315,V315,X315,Y315,Z315,AA315,AC315,AD315,AF315,AH315)*Valores!$C$69</f>
        <v>18065.81532</v>
      </c>
      <c r="AH315" s="125">
        <v>0</v>
      </c>
      <c r="AI315" s="125">
        <f t="shared" si="54"/>
        <v>158110.89532</v>
      </c>
      <c r="AJ315" s="125">
        <v>0</v>
      </c>
      <c r="AK315" s="125">
        <v>0</v>
      </c>
      <c r="AL315" s="125">
        <v>0</v>
      </c>
      <c r="AM315" s="125">
        <v>0</v>
      </c>
      <c r="AN315" s="125">
        <f t="shared" si="49"/>
        <v>0</v>
      </c>
      <c r="AO315" s="125">
        <f>AI315*Valores!$C$71</f>
        <v>-17392.198485200002</v>
      </c>
      <c r="AP315" s="125">
        <f>AI315*Valores!$C$72</f>
        <v>-3162.2179064</v>
      </c>
      <c r="AQ315" s="125">
        <f>AI315*-Valores!$C$73</f>
        <v>0</v>
      </c>
      <c r="AR315" s="125">
        <f>AI315*Valores!$C$74</f>
        <v>-8696.099242600001</v>
      </c>
      <c r="AS315" s="125">
        <v>0</v>
      </c>
      <c r="AT315" s="125">
        <v>0</v>
      </c>
      <c r="AU315" s="125">
        <f t="shared" si="51"/>
        <v>128860.3796858</v>
      </c>
      <c r="AV315" s="125">
        <f t="shared" si="46"/>
        <v>-17392.198485200002</v>
      </c>
      <c r="AW315" s="125">
        <f t="shared" si="53"/>
        <v>-3162.2179064</v>
      </c>
      <c r="AX315" s="125">
        <f>AI315*Valores!$C$75</f>
        <v>-4268.994173640001</v>
      </c>
      <c r="AY315" s="125">
        <f>AI315*Valores!$C$76</f>
        <v>-474.33268596000005</v>
      </c>
      <c r="AZ315" s="125">
        <f t="shared" si="50"/>
        <v>132813.1520688</v>
      </c>
      <c r="BA315" s="125">
        <f>AI315*Valores!$C$78</f>
        <v>25297.7432512</v>
      </c>
      <c r="BB315" s="125">
        <f>AI315*Valores!$C$79</f>
        <v>11067.762672400002</v>
      </c>
      <c r="BC315" s="125">
        <f>AI315*Valores!$C$80</f>
        <v>1581.1089532</v>
      </c>
      <c r="BD315" s="125">
        <f>AI315*Valores!$C$82</f>
        <v>5533.881336200001</v>
      </c>
      <c r="BE315" s="125">
        <f>AI315*Valores!$C$84</f>
        <v>8537.988347280001</v>
      </c>
      <c r="BF315" s="125">
        <f>AI315*Valores!$C$83</f>
        <v>948.6653719200001</v>
      </c>
      <c r="BG315" s="126"/>
      <c r="BH315" s="126"/>
      <c r="BI315" s="123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  <c r="AMG315" s="110"/>
      <c r="AMH315" s="110"/>
      <c r="AMI315" s="110"/>
      <c r="AMJ315" s="110"/>
      <c r="AMK315" s="110"/>
      <c r="AML315" s="110"/>
      <c r="AMM315" s="110"/>
      <c r="AMN315" s="110"/>
      <c r="AMO315" s="110"/>
    </row>
    <row r="316" spans="1:1029" s="142" customFormat="1" ht="11.25" customHeight="1">
      <c r="A316" s="123"/>
      <c r="B316" s="141">
        <v>12</v>
      </c>
      <c r="C316" s="126">
        <v>309</v>
      </c>
      <c r="D316" s="127" t="s">
        <v>489</v>
      </c>
      <c r="E316" s="194">
        <f t="shared" si="58"/>
        <v>1860</v>
      </c>
      <c r="F316" s="125">
        <f>ROUND(E316*Valores!$C$2,2)</f>
        <v>109591.76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30555.29</v>
      </c>
      <c r="N316" s="125">
        <f t="shared" si="47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12629.400000000001</v>
      </c>
      <c r="S316" s="125">
        <v>0</v>
      </c>
      <c r="T316" s="125">
        <f t="shared" si="57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8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f>SUM(F316,H316,J316,L316,M316,N316,O316,P316,Q316,R316,T316,U316,V316,X316,Y316,Z316,AA316,AC316,AD316,AF316,AH316)*Valores!$C$69</f>
        <v>19708.16205</v>
      </c>
      <c r="AH316" s="125">
        <v>0</v>
      </c>
      <c r="AI316" s="125">
        <f t="shared" si="54"/>
        <v>172484.61205</v>
      </c>
      <c r="AJ316" s="125">
        <v>0</v>
      </c>
      <c r="AK316" s="125">
        <v>0</v>
      </c>
      <c r="AL316" s="125">
        <v>0</v>
      </c>
      <c r="AM316" s="125">
        <v>0</v>
      </c>
      <c r="AN316" s="125">
        <f t="shared" si="49"/>
        <v>0</v>
      </c>
      <c r="AO316" s="125">
        <f>AI316*Valores!$C$71</f>
        <v>-18973.307325499998</v>
      </c>
      <c r="AP316" s="125">
        <f>AI316*Valores!$C$72</f>
        <v>-3449.692241</v>
      </c>
      <c r="AQ316" s="125">
        <f>AI316*-Valores!$C$73</f>
        <v>0</v>
      </c>
      <c r="AR316" s="125">
        <f>AI316*Valores!$C$74</f>
        <v>-9486.653662749999</v>
      </c>
      <c r="AS316" s="125">
        <v>0</v>
      </c>
      <c r="AT316" s="125">
        <v>0</v>
      </c>
      <c r="AU316" s="125">
        <f t="shared" si="51"/>
        <v>140574.95882075</v>
      </c>
      <c r="AV316" s="125">
        <f t="shared" si="46"/>
        <v>-18973.307325499998</v>
      </c>
      <c r="AW316" s="125">
        <f t="shared" si="53"/>
        <v>-3449.692241</v>
      </c>
      <c r="AX316" s="125">
        <f>AI316*Valores!$C$75</f>
        <v>-4657.08452535</v>
      </c>
      <c r="AY316" s="125">
        <f>AI316*Valores!$C$76</f>
        <v>-517.45383615</v>
      </c>
      <c r="AZ316" s="125">
        <f t="shared" si="50"/>
        <v>144887.074122</v>
      </c>
      <c r="BA316" s="125">
        <f>AI316*Valores!$C$78</f>
        <v>27597.537928</v>
      </c>
      <c r="BB316" s="125">
        <f>AI316*Valores!$C$79</f>
        <v>12073.9228435</v>
      </c>
      <c r="BC316" s="125">
        <f>AI316*Valores!$C$80</f>
        <v>1724.8461205</v>
      </c>
      <c r="BD316" s="125">
        <f>AI316*Valores!$C$82</f>
        <v>6036.96142175</v>
      </c>
      <c r="BE316" s="125">
        <f>AI316*Valores!$C$84</f>
        <v>9314.1690507</v>
      </c>
      <c r="BF316" s="125">
        <f>AI316*Valores!$C$83</f>
        <v>1034.9076723</v>
      </c>
      <c r="BG316" s="126"/>
      <c r="BH316" s="126"/>
      <c r="BI316" s="123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  <c r="AMG316" s="110"/>
      <c r="AMH316" s="110"/>
      <c r="AMI316" s="110"/>
      <c r="AMJ316" s="110"/>
      <c r="AMK316" s="110"/>
      <c r="AML316" s="110"/>
      <c r="AMM316" s="110"/>
      <c r="AMN316" s="110"/>
      <c r="AMO316" s="110"/>
    </row>
    <row r="317" spans="1:1029" s="142" customFormat="1" ht="11.25" customHeight="1">
      <c r="A317" s="123"/>
      <c r="B317" s="141">
        <v>13</v>
      </c>
      <c r="C317" s="126">
        <v>310</v>
      </c>
      <c r="D317" s="127" t="s">
        <v>490</v>
      </c>
      <c r="E317" s="194">
        <f t="shared" si="58"/>
        <v>2015</v>
      </c>
      <c r="F317" s="125">
        <f>ROUND(E317*Valores!$C$2,2)</f>
        <v>118724.4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33101.56</v>
      </c>
      <c r="N317" s="125">
        <f t="shared" si="47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13681.85</v>
      </c>
      <c r="S317" s="125">
        <v>0</v>
      </c>
      <c r="T317" s="125">
        <f t="shared" si="57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8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f>SUM(F317,H317,J317,L317,M317,N317,O317,P317,Q317,R317,T317,U317,V317,X317,Y317,Z317,AA317,AC317,AD317,AF317,AH317)*Valores!$C$69</f>
        <v>21350.50749</v>
      </c>
      <c r="AH317" s="125">
        <v>0</v>
      </c>
      <c r="AI317" s="125">
        <f t="shared" si="54"/>
        <v>186858.31749</v>
      </c>
      <c r="AJ317" s="125">
        <v>0</v>
      </c>
      <c r="AK317" s="125">
        <v>0</v>
      </c>
      <c r="AL317" s="125">
        <v>0</v>
      </c>
      <c r="AM317" s="125">
        <v>0</v>
      </c>
      <c r="AN317" s="125">
        <f t="shared" si="49"/>
        <v>0</v>
      </c>
      <c r="AO317" s="125">
        <f>AI317*Valores!$C$71</f>
        <v>-20554.4149239</v>
      </c>
      <c r="AP317" s="125">
        <f>AI317*Valores!$C$72</f>
        <v>-3737.1663498</v>
      </c>
      <c r="AQ317" s="125">
        <f>AI317*-Valores!$C$73</f>
        <v>0</v>
      </c>
      <c r="AR317" s="125">
        <f>AI317*Valores!$C$74</f>
        <v>-10277.20746195</v>
      </c>
      <c r="AS317" s="125">
        <v>0</v>
      </c>
      <c r="AT317" s="125">
        <v>0</v>
      </c>
      <c r="AU317" s="125">
        <f t="shared" si="51"/>
        <v>152289.52875434997</v>
      </c>
      <c r="AV317" s="125">
        <f t="shared" si="46"/>
        <v>-20554.4149239</v>
      </c>
      <c r="AW317" s="125">
        <f t="shared" si="53"/>
        <v>-3737.1663498</v>
      </c>
      <c r="AX317" s="125">
        <f>AI317*Valores!$C$75</f>
        <v>-5045.174572229999</v>
      </c>
      <c r="AY317" s="125">
        <f>AI317*Valores!$C$76</f>
        <v>-560.57495247</v>
      </c>
      <c r="AZ317" s="125">
        <f t="shared" si="50"/>
        <v>156960.98669159997</v>
      </c>
      <c r="BA317" s="125">
        <f>AI317*Valores!$C$78</f>
        <v>29897.3307984</v>
      </c>
      <c r="BB317" s="125">
        <f>AI317*Valores!$C$79</f>
        <v>13080.0822243</v>
      </c>
      <c r="BC317" s="125">
        <f>AI317*Valores!$C$80</f>
        <v>1868.5831749</v>
      </c>
      <c r="BD317" s="125">
        <f>AI317*Valores!$C$82</f>
        <v>6540.04111215</v>
      </c>
      <c r="BE317" s="125">
        <f>AI317*Valores!$C$84</f>
        <v>10090.349144459999</v>
      </c>
      <c r="BF317" s="125">
        <f>AI317*Valores!$C$83</f>
        <v>1121.14990494</v>
      </c>
      <c r="BG317" s="126"/>
      <c r="BH317" s="126"/>
      <c r="BI317" s="123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  <c r="AMG317" s="110"/>
      <c r="AMH317" s="110"/>
      <c r="AMI317" s="110"/>
      <c r="AMJ317" s="110"/>
      <c r="AMK317" s="110"/>
      <c r="AML317" s="110"/>
      <c r="AMM317" s="110"/>
      <c r="AMN317" s="110"/>
      <c r="AMO317" s="110"/>
    </row>
    <row r="318" spans="1:1029" s="142" customFormat="1" ht="11.25" customHeight="1">
      <c r="A318" s="123"/>
      <c r="B318" s="141">
        <v>14</v>
      </c>
      <c r="C318" s="126">
        <v>311</v>
      </c>
      <c r="D318" s="127" t="s">
        <v>491</v>
      </c>
      <c r="E318" s="194">
        <f t="shared" si="58"/>
        <v>2170</v>
      </c>
      <c r="F318" s="125">
        <f>ROUND(E318*Valores!$C$2,2)</f>
        <v>127857.05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35647.84</v>
      </c>
      <c r="N318" s="125">
        <f t="shared" si="47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14734.300000000001</v>
      </c>
      <c r="S318" s="125">
        <v>0</v>
      </c>
      <c r="T318" s="125">
        <f t="shared" si="57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8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f>SUM(F318,H318,J318,L318,M318,N318,O318,P318,Q318,R318,T318,U318,V318,X318,Y318,Z318,AA318,AC318,AD318,AF318,AH318)*Valores!$C$69</f>
        <v>22992.85551</v>
      </c>
      <c r="AH318" s="125">
        <v>0</v>
      </c>
      <c r="AI318" s="125">
        <f t="shared" si="54"/>
        <v>201232.04551</v>
      </c>
      <c r="AJ318" s="125">
        <v>0</v>
      </c>
      <c r="AK318" s="125">
        <v>0</v>
      </c>
      <c r="AL318" s="125">
        <v>0</v>
      </c>
      <c r="AM318" s="125">
        <v>0</v>
      </c>
      <c r="AN318" s="125">
        <f t="shared" si="49"/>
        <v>0</v>
      </c>
      <c r="AO318" s="125">
        <f>AI318*Valores!$C$71</f>
        <v>-22135.5250061</v>
      </c>
      <c r="AP318" s="125">
        <f>AI318*Valores!$C$72</f>
        <v>-4024.6409102000002</v>
      </c>
      <c r="AQ318" s="125">
        <f>AI318*-Valores!$C$73</f>
        <v>0</v>
      </c>
      <c r="AR318" s="125">
        <f>AI318*Valores!$C$74</f>
        <v>-11067.76250305</v>
      </c>
      <c r="AS318" s="125">
        <v>0</v>
      </c>
      <c r="AT318" s="125">
        <v>0</v>
      </c>
      <c r="AU318" s="125">
        <f t="shared" si="51"/>
        <v>164004.11709065</v>
      </c>
      <c r="AV318" s="125">
        <f t="shared" si="46"/>
        <v>-22135.5250061</v>
      </c>
      <c r="AW318" s="125">
        <f t="shared" si="53"/>
        <v>-4024.6409102000002</v>
      </c>
      <c r="AX318" s="125">
        <f>AI318*Valores!$C$75</f>
        <v>-5433.26522877</v>
      </c>
      <c r="AY318" s="125">
        <f>AI318*Valores!$C$76</f>
        <v>-603.69613653</v>
      </c>
      <c r="AZ318" s="125">
        <f t="shared" si="50"/>
        <v>169034.9182284</v>
      </c>
      <c r="BA318" s="125">
        <f>AI318*Valores!$C$78</f>
        <v>32197.127281600002</v>
      </c>
      <c r="BB318" s="125">
        <f>AI318*Valores!$C$79</f>
        <v>14086.243185700001</v>
      </c>
      <c r="BC318" s="125">
        <f>AI318*Valores!$C$80</f>
        <v>2012.3204551000001</v>
      </c>
      <c r="BD318" s="125">
        <f>AI318*Valores!$C$82</f>
        <v>7043.1215928500005</v>
      </c>
      <c r="BE318" s="125">
        <f>AI318*Valores!$C$84</f>
        <v>10866.53045754</v>
      </c>
      <c r="BF318" s="125">
        <f>AI318*Valores!$C$83</f>
        <v>1207.39227306</v>
      </c>
      <c r="BG318" s="126"/>
      <c r="BH318" s="126"/>
      <c r="BI318" s="123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  <c r="AMG318" s="110"/>
      <c r="AMH318" s="110"/>
      <c r="AMI318" s="110"/>
      <c r="AMJ318" s="110"/>
      <c r="AMK318" s="110"/>
      <c r="AML318" s="110"/>
      <c r="AMM318" s="110"/>
      <c r="AMN318" s="110"/>
      <c r="AMO318" s="110"/>
    </row>
    <row r="319" spans="1:1029" s="142" customFormat="1" ht="11.25" customHeight="1">
      <c r="A319" s="123"/>
      <c r="B319" s="141">
        <v>15</v>
      </c>
      <c r="C319" s="126">
        <v>312</v>
      </c>
      <c r="D319" s="127" t="s">
        <v>492</v>
      </c>
      <c r="E319" s="194">
        <f t="shared" si="58"/>
        <v>2325</v>
      </c>
      <c r="F319" s="125">
        <f>ROUND(E319*Valores!$C$2,2)</f>
        <v>136989.7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38194.11</v>
      </c>
      <c r="N319" s="125">
        <f t="shared" si="47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15786.75</v>
      </c>
      <c r="S319" s="125">
        <v>0</v>
      </c>
      <c r="T319" s="125">
        <f t="shared" si="57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8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f>SUM(F319,H319,J319,L319,M319,N319,O319,P319,Q319,R319,T319,U319,V319,X319,Y319,Z319,AA319,AC319,AD319,AF319,AH319)*Valores!$C$69</f>
        <v>24635.20224</v>
      </c>
      <c r="AH319" s="125">
        <v>0</v>
      </c>
      <c r="AI319" s="125">
        <f t="shared" si="54"/>
        <v>215605.76224</v>
      </c>
      <c r="AJ319" s="125">
        <v>0</v>
      </c>
      <c r="AK319" s="125">
        <v>0</v>
      </c>
      <c r="AL319" s="125">
        <v>0</v>
      </c>
      <c r="AM319" s="125">
        <v>0</v>
      </c>
      <c r="AN319" s="125">
        <f t="shared" si="49"/>
        <v>0</v>
      </c>
      <c r="AO319" s="125">
        <f>AI319*Valores!$C$71</f>
        <v>-23716.6338464</v>
      </c>
      <c r="AP319" s="125">
        <f>AI319*Valores!$C$72</f>
        <v>-4312.1152448</v>
      </c>
      <c r="AQ319" s="125">
        <f>AI319*-Valores!$C$73</f>
        <v>0</v>
      </c>
      <c r="AR319" s="125">
        <f>AI319*Valores!$C$74</f>
        <v>-11858.3169232</v>
      </c>
      <c r="AS319" s="125">
        <v>0</v>
      </c>
      <c r="AT319" s="125">
        <v>0</v>
      </c>
      <c r="AU319" s="125">
        <f t="shared" si="51"/>
        <v>175718.69622560003</v>
      </c>
      <c r="AV319" s="125">
        <f t="shared" si="46"/>
        <v>-23716.6338464</v>
      </c>
      <c r="AW319" s="125">
        <f t="shared" si="53"/>
        <v>-4312.1152448</v>
      </c>
      <c r="AX319" s="125">
        <f>AI319*Valores!$C$75</f>
        <v>-5821.35558048</v>
      </c>
      <c r="AY319" s="125">
        <f>AI319*Valores!$C$76</f>
        <v>-646.8172867200001</v>
      </c>
      <c r="AZ319" s="125">
        <f t="shared" si="50"/>
        <v>181108.84028160002</v>
      </c>
      <c r="BA319" s="125">
        <f>AI319*Valores!$C$78</f>
        <v>34496.9219584</v>
      </c>
      <c r="BB319" s="125">
        <f>AI319*Valores!$C$79</f>
        <v>15092.403356800001</v>
      </c>
      <c r="BC319" s="125">
        <f>AI319*Valores!$C$80</f>
        <v>2156.0576224</v>
      </c>
      <c r="BD319" s="125">
        <f>AI319*Valores!$C$82</f>
        <v>7546.201678400001</v>
      </c>
      <c r="BE319" s="125">
        <f>AI319*Valores!$C$84</f>
        <v>11642.71116096</v>
      </c>
      <c r="BF319" s="125">
        <f>AI319*Valores!$C$83</f>
        <v>1293.6345734400002</v>
      </c>
      <c r="BG319" s="126"/>
      <c r="BH319" s="126"/>
      <c r="BI319" s="123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  <c r="AMG319" s="110"/>
      <c r="AMH319" s="110"/>
      <c r="AMI319" s="110"/>
      <c r="AMJ319" s="110"/>
      <c r="AMK319" s="110"/>
      <c r="AML319" s="110"/>
      <c r="AMM319" s="110"/>
      <c r="AMN319" s="110"/>
      <c r="AMO319" s="110"/>
    </row>
    <row r="320" spans="1:1029" s="142" customFormat="1" ht="11.25" customHeight="1">
      <c r="A320" s="123"/>
      <c r="B320" s="141">
        <v>16</v>
      </c>
      <c r="C320" s="126">
        <v>313</v>
      </c>
      <c r="D320" s="127" t="s">
        <v>493</v>
      </c>
      <c r="E320" s="194">
        <f t="shared" si="58"/>
        <v>2480</v>
      </c>
      <c r="F320" s="125">
        <f>ROUND(E320*Valores!$C$2,2)</f>
        <v>146122.34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40740.39</v>
      </c>
      <c r="N320" s="125">
        <f t="shared" si="47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16839.2</v>
      </c>
      <c r="S320" s="125">
        <v>0</v>
      </c>
      <c r="T320" s="125">
        <f t="shared" si="57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8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f>SUM(F320,H320,J320,L320,M320,N320,O320,P320,Q320,R320,T320,U320,V320,X320,Y320,Z320,AA320,AC320,AD320,AF320,AH320)*Valores!$C$69</f>
        <v>26277.54897</v>
      </c>
      <c r="AH320" s="125">
        <v>0</v>
      </c>
      <c r="AI320" s="125">
        <f t="shared" si="54"/>
        <v>229979.47897</v>
      </c>
      <c r="AJ320" s="125">
        <v>0</v>
      </c>
      <c r="AK320" s="125">
        <v>0</v>
      </c>
      <c r="AL320" s="125">
        <v>0</v>
      </c>
      <c r="AM320" s="125">
        <v>0</v>
      </c>
      <c r="AN320" s="125">
        <f t="shared" si="49"/>
        <v>0</v>
      </c>
      <c r="AO320" s="125">
        <f>AI320*Valores!$C$71</f>
        <v>-25297.7426867</v>
      </c>
      <c r="AP320" s="125">
        <f>AI320*Valores!$C$72</f>
        <v>-4599.5895794</v>
      </c>
      <c r="AQ320" s="125">
        <f>AI320*-Valores!$C$73</f>
        <v>0</v>
      </c>
      <c r="AR320" s="125">
        <f>AI320*Valores!$C$74</f>
        <v>-12648.87134335</v>
      </c>
      <c r="AS320" s="125">
        <v>0</v>
      </c>
      <c r="AT320" s="125">
        <v>0</v>
      </c>
      <c r="AU320" s="125">
        <f t="shared" si="51"/>
        <v>187433.27536055</v>
      </c>
      <c r="AV320" s="125">
        <f t="shared" si="46"/>
        <v>-25297.7426867</v>
      </c>
      <c r="AW320" s="125">
        <f t="shared" si="53"/>
        <v>-4599.5895794</v>
      </c>
      <c r="AX320" s="125">
        <f>AI320*Valores!$C$75</f>
        <v>-6209.445932189999</v>
      </c>
      <c r="AY320" s="125">
        <f>AI320*Valores!$C$76</f>
        <v>-689.93843691</v>
      </c>
      <c r="AZ320" s="125">
        <f t="shared" si="50"/>
        <v>193182.7623348</v>
      </c>
      <c r="BA320" s="125">
        <f>AI320*Valores!$C$78</f>
        <v>36796.7166352</v>
      </c>
      <c r="BB320" s="125">
        <f>AI320*Valores!$C$79</f>
        <v>16098.563527900002</v>
      </c>
      <c r="BC320" s="125">
        <f>AI320*Valores!$C$80</f>
        <v>2299.7947897</v>
      </c>
      <c r="BD320" s="125">
        <f>AI320*Valores!$C$82</f>
        <v>8049.281763950001</v>
      </c>
      <c r="BE320" s="125">
        <f>AI320*Valores!$C$84</f>
        <v>12418.891864379999</v>
      </c>
      <c r="BF320" s="125">
        <f>AI320*Valores!$C$83</f>
        <v>1379.87687382</v>
      </c>
      <c r="BG320" s="126"/>
      <c r="BH320" s="126"/>
      <c r="BI320" s="123" t="s">
        <v>4</v>
      </c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  <c r="AMG320" s="110"/>
      <c r="AMH320" s="110"/>
      <c r="AMI320" s="110"/>
      <c r="AMJ320" s="110"/>
      <c r="AMK320" s="110"/>
      <c r="AML320" s="110"/>
      <c r="AMM320" s="110"/>
      <c r="AMN320" s="110"/>
      <c r="AMO320" s="110"/>
    </row>
    <row r="321" spans="1:1029" s="142" customFormat="1" ht="11.25" customHeight="1">
      <c r="A321" s="143" t="s">
        <v>473</v>
      </c>
      <c r="B321" s="141">
        <v>1</v>
      </c>
      <c r="C321" s="126">
        <v>314</v>
      </c>
      <c r="D321" s="127" t="s">
        <v>494</v>
      </c>
      <c r="E321" s="194">
        <v>275</v>
      </c>
      <c r="F321" s="125">
        <f>ROUND(E321*Valores!$C$2,2)</f>
        <v>16203.08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7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1564.76</v>
      </c>
      <c r="S321" s="125">
        <v>0</v>
      </c>
      <c r="T321" s="125">
        <f t="shared" si="57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Valores!$C$99</f>
        <v>4124.3</v>
      </c>
      <c r="AA321" s="125">
        <v>0</v>
      </c>
      <c r="AB321" s="214">
        <v>0</v>
      </c>
      <c r="AC321" s="125">
        <f t="shared" si="48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SUM(F321,H321,J321,L321,M321,N321,O321,P321,Q321,R321,T321,U321,V321,X321,Y321,Z321,AA321,AC321,AD321,AF321,AH321)*Valores!$C$69</f>
        <v>3007.00548</v>
      </c>
      <c r="AH321" s="125">
        <f>Valores!$C$64</f>
        <v>1417.98</v>
      </c>
      <c r="AI321" s="125">
        <f t="shared" si="54"/>
        <v>26317.12548</v>
      </c>
      <c r="AJ321" s="125">
        <f>Valores!$C$33</f>
        <v>0</v>
      </c>
      <c r="AK321" s="125">
        <f>Valores!$C$92</f>
        <v>0</v>
      </c>
      <c r="AL321" s="125">
        <v>0</v>
      </c>
      <c r="AM321" s="125">
        <v>0</v>
      </c>
      <c r="AN321" s="125">
        <f t="shared" si="49"/>
        <v>0</v>
      </c>
      <c r="AO321" s="125">
        <f>AI321*Valores!$C$71</f>
        <v>-2894.8838028</v>
      </c>
      <c r="AP321" s="125">
        <f>AI321*Valores!$C$72</f>
        <v>-526.3425096</v>
      </c>
      <c r="AQ321" s="125">
        <f>AI321*-Valores!$C$73</f>
        <v>0</v>
      </c>
      <c r="AR321" s="125">
        <f>AI321*Valores!$C$74</f>
        <v>-1447.4419014</v>
      </c>
      <c r="AS321" s="125">
        <v>0</v>
      </c>
      <c r="AT321" s="125">
        <v>0</v>
      </c>
      <c r="AU321" s="125">
        <f t="shared" si="51"/>
        <v>21448.4572662</v>
      </c>
      <c r="AV321" s="125">
        <f t="shared" si="46"/>
        <v>-2894.8838028</v>
      </c>
      <c r="AW321" s="125">
        <f t="shared" si="53"/>
        <v>-526.3425096</v>
      </c>
      <c r="AX321" s="125">
        <f>AI321*Valores!$C$75</f>
        <v>-710.5623879599999</v>
      </c>
      <c r="AY321" s="125">
        <f>AI321*Valores!$C$76</f>
        <v>-78.95137644</v>
      </c>
      <c r="AZ321" s="125">
        <f t="shared" si="50"/>
        <v>22106.385403199998</v>
      </c>
      <c r="BA321" s="125">
        <f>AI321*Valores!$C$78</f>
        <v>4210.7400768</v>
      </c>
      <c r="BB321" s="125">
        <f>AI321*Valores!$C$79</f>
        <v>1842.1987836</v>
      </c>
      <c r="BC321" s="125">
        <f>AI321*Valores!$C$80</f>
        <v>263.1712548</v>
      </c>
      <c r="BD321" s="125">
        <f>AI321*Valores!$C$82</f>
        <v>921.0993918</v>
      </c>
      <c r="BE321" s="125">
        <f>AI321*Valores!$C$84</f>
        <v>1421.1247759199998</v>
      </c>
      <c r="BF321" s="125">
        <f>AI321*Valores!$C$83</f>
        <v>157.90275288</v>
      </c>
      <c r="BG321" s="126"/>
      <c r="BH321" s="126"/>
      <c r="BI321" s="123" t="s">
        <v>4</v>
      </c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  <c r="AMG321" s="110"/>
      <c r="AMH321" s="110"/>
      <c r="AMI321" s="110"/>
      <c r="AMJ321" s="110"/>
      <c r="AMK321" s="110"/>
      <c r="AML321" s="110"/>
      <c r="AMM321" s="110"/>
      <c r="AMN321" s="110"/>
      <c r="AMO321" s="110"/>
    </row>
    <row r="322" spans="1:1029" s="142" customFormat="1" ht="11.25" customHeight="1">
      <c r="A322" s="144" t="s">
        <v>473</v>
      </c>
      <c r="B322" s="141">
        <v>1</v>
      </c>
      <c r="C322" s="126">
        <v>315</v>
      </c>
      <c r="D322" s="127" t="s">
        <v>495</v>
      </c>
      <c r="E322" s="194">
        <v>245</v>
      </c>
      <c r="F322" s="125">
        <f>ROUND(E322*Valores!$C$2,2)</f>
        <v>14435.47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7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1564.76</v>
      </c>
      <c r="S322" s="125">
        <v>0</v>
      </c>
      <c r="T322" s="125">
        <f t="shared" si="57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Valores!$C$99</f>
        <v>4124.3</v>
      </c>
      <c r="AA322" s="125">
        <v>0</v>
      </c>
      <c r="AB322" s="214">
        <v>0</v>
      </c>
      <c r="AC322" s="125">
        <f t="shared" si="48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SUM(F322,H322,J322,L322,M322,N322,O322,P322,Q322,R322,T322,U322,V322,X322,Y322,Z322,AA322,AC322,AD322,AF322,AH322)*Valores!$C$69</f>
        <v>2778.9837899999998</v>
      </c>
      <c r="AH322" s="125">
        <f>Valores!$C$64</f>
        <v>1417.98</v>
      </c>
      <c r="AI322" s="125">
        <f t="shared" si="54"/>
        <v>24321.493789999997</v>
      </c>
      <c r="AJ322" s="125">
        <f>Valores!$C$33</f>
        <v>0</v>
      </c>
      <c r="AK322" s="125">
        <f>Valores!$C$92</f>
        <v>0</v>
      </c>
      <c r="AL322" s="125">
        <v>0</v>
      </c>
      <c r="AM322" s="125">
        <v>0</v>
      </c>
      <c r="AN322" s="125">
        <f t="shared" si="49"/>
        <v>0</v>
      </c>
      <c r="AO322" s="125">
        <f>AI322*Valores!$C$71</f>
        <v>-2675.3643168999997</v>
      </c>
      <c r="AP322" s="125">
        <f>AI322*Valores!$C$72</f>
        <v>-486.42987579999993</v>
      </c>
      <c r="AQ322" s="125">
        <f>AI322*-Valores!$C$73</f>
        <v>0</v>
      </c>
      <c r="AR322" s="125">
        <f>AI322*Valores!$C$74</f>
        <v>-1337.6821584499999</v>
      </c>
      <c r="AS322" s="125">
        <v>0</v>
      </c>
      <c r="AT322" s="125">
        <v>0</v>
      </c>
      <c r="AU322" s="125">
        <f t="shared" si="51"/>
        <v>19822.017438849998</v>
      </c>
      <c r="AV322" s="125">
        <f t="shared" si="46"/>
        <v>-2675.3643168999997</v>
      </c>
      <c r="AW322" s="125">
        <f t="shared" si="53"/>
        <v>-486.42987579999993</v>
      </c>
      <c r="AX322" s="125">
        <f>AI322*Valores!$C$75</f>
        <v>-656.6803323299999</v>
      </c>
      <c r="AY322" s="125">
        <f>AI322*Valores!$C$76</f>
        <v>-72.96448136999999</v>
      </c>
      <c r="AZ322" s="125">
        <f t="shared" si="50"/>
        <v>20430.054783599997</v>
      </c>
      <c r="BA322" s="125">
        <f>AI322*Valores!$C$78</f>
        <v>3891.4390063999995</v>
      </c>
      <c r="BB322" s="125">
        <f>AI322*Valores!$C$79</f>
        <v>1702.5045653</v>
      </c>
      <c r="BC322" s="125">
        <f>AI322*Valores!$C$80</f>
        <v>243.21493789999997</v>
      </c>
      <c r="BD322" s="125">
        <f>AI322*Valores!$C$82</f>
        <v>851.25228265</v>
      </c>
      <c r="BE322" s="125">
        <f>AI322*Valores!$C$84</f>
        <v>1313.3606646599999</v>
      </c>
      <c r="BF322" s="125">
        <f>AI322*Valores!$C$83</f>
        <v>145.92896273999997</v>
      </c>
      <c r="BG322" s="126"/>
      <c r="BH322" s="126"/>
      <c r="BI322" s="123" t="s">
        <v>4</v>
      </c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  <c r="AMG322" s="110"/>
      <c r="AMH322" s="110"/>
      <c r="AMI322" s="110"/>
      <c r="AMJ322" s="110"/>
      <c r="AMK322" s="110"/>
      <c r="AML322" s="110"/>
      <c r="AMM322" s="110"/>
      <c r="AMN322" s="110"/>
      <c r="AMO322" s="110"/>
    </row>
    <row r="323" spans="1:1029" s="142" customFormat="1" ht="11.25" customHeight="1">
      <c r="A323" s="144" t="s">
        <v>473</v>
      </c>
      <c r="B323" s="141">
        <v>1</v>
      </c>
      <c r="C323" s="126">
        <v>316</v>
      </c>
      <c r="D323" s="127" t="s">
        <v>496</v>
      </c>
      <c r="E323" s="194">
        <v>238</v>
      </c>
      <c r="F323" s="125">
        <f>ROUND(E323*Valores!$C$2,2)</f>
        <v>14023.03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7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1564.76</v>
      </c>
      <c r="S323" s="125">
        <v>0</v>
      </c>
      <c r="T323" s="125">
        <f t="shared" si="57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Valores!$C$99</f>
        <v>4124.3</v>
      </c>
      <c r="AA323" s="125">
        <v>0</v>
      </c>
      <c r="AB323" s="214">
        <v>0</v>
      </c>
      <c r="AC323" s="125">
        <f t="shared" si="48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SUM(F323,H323,J323,L323,M323,N323,O323,P323,Q323,R323,T323,U323,V323,X323,Y323,Z323,AA323,AC323,AD323,AF323,AH323)*Valores!$C$69</f>
        <v>2725.77903</v>
      </c>
      <c r="AH323" s="125">
        <f>Valores!$C$64</f>
        <v>1417.98</v>
      </c>
      <c r="AI323" s="125">
        <f t="shared" si="54"/>
        <v>23855.84903</v>
      </c>
      <c r="AJ323" s="125">
        <f>Valores!$C$33</f>
        <v>0</v>
      </c>
      <c r="AK323" s="125">
        <f>Valores!$C$92</f>
        <v>0</v>
      </c>
      <c r="AL323" s="125">
        <v>0</v>
      </c>
      <c r="AM323" s="125">
        <v>0</v>
      </c>
      <c r="AN323" s="125">
        <f t="shared" si="49"/>
        <v>0</v>
      </c>
      <c r="AO323" s="125">
        <f>AI323*Valores!$C$71</f>
        <v>-2624.1433933000003</v>
      </c>
      <c r="AP323" s="125">
        <f>AI323*Valores!$C$72</f>
        <v>-477.11698060000003</v>
      </c>
      <c r="AQ323" s="125">
        <f>AI323*-Valores!$C$73</f>
        <v>0</v>
      </c>
      <c r="AR323" s="125">
        <f>AI323*Valores!$C$74</f>
        <v>-1312.0716966500001</v>
      </c>
      <c r="AS323" s="125">
        <v>0</v>
      </c>
      <c r="AT323" s="125">
        <v>0</v>
      </c>
      <c r="AU323" s="125">
        <f t="shared" si="51"/>
        <v>19442.51695945</v>
      </c>
      <c r="AV323" s="125">
        <f t="shared" si="46"/>
        <v>-2624.1433933000003</v>
      </c>
      <c r="AW323" s="125">
        <f t="shared" si="53"/>
        <v>-477.11698060000003</v>
      </c>
      <c r="AX323" s="125">
        <f>AI323*Valores!$C$75</f>
        <v>-644.10792381</v>
      </c>
      <c r="AY323" s="125">
        <f>AI323*Valores!$C$76</f>
        <v>-71.56754709</v>
      </c>
      <c r="AZ323" s="125">
        <f t="shared" si="50"/>
        <v>20038.9131852</v>
      </c>
      <c r="BA323" s="125">
        <f>AI323*Valores!$C$78</f>
        <v>3816.9358448000003</v>
      </c>
      <c r="BB323" s="125">
        <f>AI323*Valores!$C$79</f>
        <v>1669.9094321000002</v>
      </c>
      <c r="BC323" s="125">
        <f>AI323*Valores!$C$80</f>
        <v>238.55849030000002</v>
      </c>
      <c r="BD323" s="125">
        <f>AI323*Valores!$C$82</f>
        <v>834.9547160500001</v>
      </c>
      <c r="BE323" s="125">
        <f>AI323*Valores!$C$84</f>
        <v>1288.21584762</v>
      </c>
      <c r="BF323" s="125">
        <f>AI323*Valores!$C$83</f>
        <v>143.13509418</v>
      </c>
      <c r="BG323" s="126"/>
      <c r="BH323" s="126"/>
      <c r="BI323" s="123" t="s">
        <v>4</v>
      </c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  <c r="AMG323" s="110"/>
      <c r="AMH323" s="110"/>
      <c r="AMI323" s="110"/>
      <c r="AMJ323" s="110"/>
      <c r="AMK323" s="110"/>
      <c r="AML323" s="110"/>
      <c r="AMM323" s="110"/>
      <c r="AMN323" s="110"/>
      <c r="AMO323" s="110"/>
    </row>
    <row r="324" spans="1:1029" s="142" customFormat="1" ht="11.25" customHeight="1">
      <c r="A324" s="144" t="s">
        <v>473</v>
      </c>
      <c r="B324" s="141">
        <v>1</v>
      </c>
      <c r="C324" s="126">
        <v>317</v>
      </c>
      <c r="D324" s="127" t="s">
        <v>497</v>
      </c>
      <c r="E324" s="194">
        <v>245</v>
      </c>
      <c r="F324" s="125">
        <f>ROUND(E324*Valores!$C$2,2)</f>
        <v>14435.47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7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1564.76</v>
      </c>
      <c r="S324" s="125">
        <v>0</v>
      </c>
      <c r="T324" s="125">
        <f t="shared" si="57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Valores!$C$99</f>
        <v>4124.3</v>
      </c>
      <c r="AA324" s="125">
        <v>0</v>
      </c>
      <c r="AB324" s="214">
        <v>0</v>
      </c>
      <c r="AC324" s="125">
        <f t="shared" si="48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SUM(F324,H324,J324,L324,M324,N324,O324,P324,Q324,R324,T324,U324,V324,X324,Y324,Z324,AA324,AC324,AD324,AF324,AH324)*Valores!$C$69</f>
        <v>2778.9837899999998</v>
      </c>
      <c r="AH324" s="125">
        <f>Valores!$C$64</f>
        <v>1417.98</v>
      </c>
      <c r="AI324" s="125">
        <f t="shared" si="54"/>
        <v>24321.493789999997</v>
      </c>
      <c r="AJ324" s="125">
        <v>0</v>
      </c>
      <c r="AK324" s="125">
        <f>Valores!$C$92</f>
        <v>0</v>
      </c>
      <c r="AL324" s="125">
        <v>0</v>
      </c>
      <c r="AM324" s="125">
        <v>0</v>
      </c>
      <c r="AN324" s="125">
        <f t="shared" si="49"/>
        <v>0</v>
      </c>
      <c r="AO324" s="125">
        <f>AI324*Valores!$C$71</f>
        <v>-2675.3643168999997</v>
      </c>
      <c r="AP324" s="125">
        <f>AI324*Valores!$C$72</f>
        <v>-486.42987579999993</v>
      </c>
      <c r="AQ324" s="125">
        <f>AI324*-Valores!$C$73</f>
        <v>0</v>
      </c>
      <c r="AR324" s="125">
        <f>AI324*Valores!$C$74</f>
        <v>-1337.6821584499999</v>
      </c>
      <c r="AS324" s="125">
        <v>0</v>
      </c>
      <c r="AT324" s="125">
        <v>0</v>
      </c>
      <c r="AU324" s="125">
        <f t="shared" si="51"/>
        <v>19822.017438849998</v>
      </c>
      <c r="AV324" s="125">
        <f t="shared" si="46"/>
        <v>-2675.3643168999997</v>
      </c>
      <c r="AW324" s="125">
        <f t="shared" si="53"/>
        <v>-486.42987579999993</v>
      </c>
      <c r="AX324" s="125">
        <f>AI324*Valores!$C$75</f>
        <v>-656.6803323299999</v>
      </c>
      <c r="AY324" s="125">
        <f>AI324*Valores!$C$76</f>
        <v>-72.96448136999999</v>
      </c>
      <c r="AZ324" s="125">
        <f t="shared" si="50"/>
        <v>20430.054783599997</v>
      </c>
      <c r="BA324" s="125">
        <f>AI324*Valores!$C$78</f>
        <v>3891.4390063999995</v>
      </c>
      <c r="BB324" s="125">
        <f>AI324*Valores!$C$79</f>
        <v>1702.5045653</v>
      </c>
      <c r="BC324" s="125">
        <f>AI324*Valores!$C$80</f>
        <v>243.21493789999997</v>
      </c>
      <c r="BD324" s="125">
        <f>AI324*Valores!$C$82</f>
        <v>851.25228265</v>
      </c>
      <c r="BE324" s="125">
        <f>AI324*Valores!$C$84</f>
        <v>1313.3606646599999</v>
      </c>
      <c r="BF324" s="125">
        <f>AI324*Valores!$C$83</f>
        <v>145.92896273999997</v>
      </c>
      <c r="BG324" s="126"/>
      <c r="BH324" s="126"/>
      <c r="BI324" s="123" t="s">
        <v>4</v>
      </c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  <c r="AMG324" s="110"/>
      <c r="AMH324" s="110"/>
      <c r="AMI324" s="110"/>
      <c r="AMJ324" s="110"/>
      <c r="AMK324" s="110"/>
      <c r="AML324" s="110"/>
      <c r="AMM324" s="110"/>
      <c r="AMN324" s="110"/>
      <c r="AMO324" s="110"/>
    </row>
    <row r="325" spans="1:1029" s="142" customFormat="1" ht="11.25" customHeight="1">
      <c r="A325" s="143" t="s">
        <v>473</v>
      </c>
      <c r="B325" s="141">
        <v>1</v>
      </c>
      <c r="C325" s="126">
        <v>318</v>
      </c>
      <c r="D325" s="127" t="s">
        <v>498</v>
      </c>
      <c r="E325" s="194">
        <v>243</v>
      </c>
      <c r="F325" s="125">
        <f>ROUND(E325*Valores!$C$2,2)</f>
        <v>14317.63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7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1564.76</v>
      </c>
      <c r="S325" s="125">
        <v>0</v>
      </c>
      <c r="T325" s="125">
        <f t="shared" si="57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Valores!$C$99</f>
        <v>4124.3</v>
      </c>
      <c r="AA325" s="125">
        <v>0</v>
      </c>
      <c r="AB325" s="214">
        <v>0</v>
      </c>
      <c r="AC325" s="125">
        <f t="shared" si="48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SUM(F325,H325,J325,L325,M325,N325,O325,P325,Q325,R325,T325,U325,V325,X325,Y325,Z325,AA325,AC325,AD325,AF325,AH325)*Valores!$C$69</f>
        <v>2763.7824299999997</v>
      </c>
      <c r="AH325" s="125">
        <f>Valores!$C$64</f>
        <v>1417.98</v>
      </c>
      <c r="AI325" s="125">
        <f t="shared" si="54"/>
        <v>24188.452429999998</v>
      </c>
      <c r="AJ325" s="125">
        <v>0</v>
      </c>
      <c r="AK325" s="125">
        <f>Valores!$C$92</f>
        <v>0</v>
      </c>
      <c r="AL325" s="125">
        <v>0</v>
      </c>
      <c r="AM325" s="125">
        <v>0</v>
      </c>
      <c r="AN325" s="125">
        <f t="shared" si="49"/>
        <v>0</v>
      </c>
      <c r="AO325" s="125">
        <f>AI325*Valores!$C$71</f>
        <v>-2660.7297673</v>
      </c>
      <c r="AP325" s="125">
        <f>AI325*Valores!$C$72</f>
        <v>-483.76904859999996</v>
      </c>
      <c r="AQ325" s="125">
        <f>AI325*-Valores!$C$73</f>
        <v>0</v>
      </c>
      <c r="AR325" s="125">
        <f>AI325*Valores!$C$74</f>
        <v>-1330.36488365</v>
      </c>
      <c r="AS325" s="125">
        <v>0</v>
      </c>
      <c r="AT325" s="125">
        <v>0</v>
      </c>
      <c r="AU325" s="125">
        <f t="shared" si="51"/>
        <v>19713.58873045</v>
      </c>
      <c r="AV325" s="125">
        <f t="shared" si="46"/>
        <v>-2660.7297673</v>
      </c>
      <c r="AW325" s="125">
        <f t="shared" si="53"/>
        <v>-483.76904859999996</v>
      </c>
      <c r="AX325" s="125">
        <f>AI325*Valores!$C$75</f>
        <v>-653.0882156099999</v>
      </c>
      <c r="AY325" s="125">
        <f>AI325*Valores!$C$76</f>
        <v>-72.56535729</v>
      </c>
      <c r="AZ325" s="125">
        <f t="shared" si="50"/>
        <v>20318.300041199996</v>
      </c>
      <c r="BA325" s="125">
        <f>AI325*Valores!$C$78</f>
        <v>3870.1523887999997</v>
      </c>
      <c r="BB325" s="125">
        <f>AI325*Valores!$C$79</f>
        <v>1693.1916701</v>
      </c>
      <c r="BC325" s="125">
        <f>AI325*Valores!$C$80</f>
        <v>241.88452429999998</v>
      </c>
      <c r="BD325" s="125">
        <f>AI325*Valores!$C$82</f>
        <v>846.59583505</v>
      </c>
      <c r="BE325" s="125">
        <f>AI325*Valores!$C$84</f>
        <v>1306.1764312199998</v>
      </c>
      <c r="BF325" s="125">
        <f>AI325*Valores!$C$83</f>
        <v>145.13071458</v>
      </c>
      <c r="BG325" s="126"/>
      <c r="BH325" s="126"/>
      <c r="BI325" s="123" t="s">
        <v>4</v>
      </c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  <c r="AMG325" s="110"/>
      <c r="AMH325" s="110"/>
      <c r="AMI325" s="110"/>
      <c r="AMJ325" s="110"/>
      <c r="AMK325" s="110"/>
      <c r="AML325" s="110"/>
      <c r="AMM325" s="110"/>
      <c r="AMN325" s="110"/>
      <c r="AMO325" s="110"/>
    </row>
    <row r="326" spans="1:1029" s="142" customFormat="1" ht="11.25" customHeight="1">
      <c r="A326" s="143" t="s">
        <v>473</v>
      </c>
      <c r="B326" s="123">
        <v>1</v>
      </c>
      <c r="C326" s="126">
        <v>319</v>
      </c>
      <c r="D326" s="127" t="s">
        <v>499</v>
      </c>
      <c r="E326" s="194">
        <v>235</v>
      </c>
      <c r="F326" s="125">
        <f>ROUND(E326*Valores!$C$2,2)</f>
        <v>13846.27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7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1564.76</v>
      </c>
      <c r="S326" s="125">
        <v>0</v>
      </c>
      <c r="T326" s="125">
        <f t="shared" si="57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Valores!$C$99</f>
        <v>4124.3</v>
      </c>
      <c r="AA326" s="125">
        <v>0</v>
      </c>
      <c r="AB326" s="214">
        <v>0</v>
      </c>
      <c r="AC326" s="125">
        <f t="shared" si="48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SUM(F326,H326,J326,L326,M326,N326,O326,P326,Q326,R326,T326,U326,V326,X326,Y326,Z326,AA326,AC326,AD326,AF326,AH326)*Valores!$C$69</f>
        <v>2702.97699</v>
      </c>
      <c r="AH326" s="125">
        <f>Valores!$C$64</f>
        <v>1417.98</v>
      </c>
      <c r="AI326" s="125">
        <f t="shared" si="54"/>
        <v>23656.28699</v>
      </c>
      <c r="AJ326" s="125">
        <v>0</v>
      </c>
      <c r="AK326" s="125">
        <f>Valores!$C$92</f>
        <v>0</v>
      </c>
      <c r="AL326" s="125">
        <v>0</v>
      </c>
      <c r="AM326" s="125">
        <v>0</v>
      </c>
      <c r="AN326" s="125">
        <f t="shared" si="49"/>
        <v>0</v>
      </c>
      <c r="AO326" s="125">
        <f>AI326*Valores!$C$71</f>
        <v>-2602.1915689</v>
      </c>
      <c r="AP326" s="125">
        <f>AI326*Valores!$C$72</f>
        <v>-473.1257398</v>
      </c>
      <c r="AQ326" s="125">
        <f>AI326*-Valores!$C$73</f>
        <v>0</v>
      </c>
      <c r="AR326" s="125">
        <f>AI326*Valores!$C$74</f>
        <v>-1301.09578445</v>
      </c>
      <c r="AS326" s="125">
        <v>0</v>
      </c>
      <c r="AT326" s="125">
        <v>0</v>
      </c>
      <c r="AU326" s="125">
        <f t="shared" si="51"/>
        <v>19279.87389685</v>
      </c>
      <c r="AV326" s="125">
        <f>AO326</f>
        <v>-2602.1915689</v>
      </c>
      <c r="AW326" s="125">
        <f t="shared" si="53"/>
        <v>-473.1257398</v>
      </c>
      <c r="AX326" s="125">
        <f>AI326*Valores!$C$75</f>
        <v>-638.71974873</v>
      </c>
      <c r="AY326" s="125">
        <f>AI326*Valores!$C$76</f>
        <v>-70.96886097000001</v>
      </c>
      <c r="AZ326" s="125">
        <f t="shared" si="50"/>
        <v>19871.2810716</v>
      </c>
      <c r="BA326" s="125">
        <f>AI326*Valores!$C$78</f>
        <v>3785.0059184</v>
      </c>
      <c r="BB326" s="125">
        <f>AI326*Valores!$C$79</f>
        <v>1655.9400893000002</v>
      </c>
      <c r="BC326" s="125">
        <f>AI326*Valores!$C$80</f>
        <v>236.5628699</v>
      </c>
      <c r="BD326" s="125">
        <f>AI326*Valores!$C$82</f>
        <v>827.9700446500001</v>
      </c>
      <c r="BE326" s="125">
        <f>AI326*Valores!$C$84</f>
        <v>1277.43949746</v>
      </c>
      <c r="BF326" s="125">
        <f>AI326*Valores!$C$83</f>
        <v>141.93772194000002</v>
      </c>
      <c r="BG326" s="126"/>
      <c r="BH326" s="126"/>
      <c r="BI326" s="123" t="s">
        <v>4</v>
      </c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  <c r="AMG326" s="110"/>
      <c r="AMH326" s="110"/>
      <c r="AMI326" s="110"/>
      <c r="AMJ326" s="110"/>
      <c r="AMK326" s="110"/>
      <c r="AML326" s="110"/>
      <c r="AMM326" s="110"/>
      <c r="AMN326" s="110"/>
      <c r="AMO326" s="110"/>
    </row>
    <row r="328" spans="6:36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H328" s="128"/>
      <c r="AI328" s="130"/>
      <c r="AJ328" s="131"/>
    </row>
    <row r="332" ht="12.75">
      <c r="R332" s="168"/>
    </row>
  </sheetData>
  <autoFilter ref="A7:BI326"/>
  <mergeCells count="14">
    <mergeCell ref="A1:AM1"/>
    <mergeCell ref="AM2:AM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H4"/>
  </mergeCells>
  <dataValidations count="3">
    <dataValidation type="list" allowBlank="1" showInputMessage="1" showErrorMessage="1" error="VALOR INCORRECTO" sqref="F3:F4 AM4:AM5">
      <formula1>$AN$3:$AN$4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658</v>
      </c>
      <c r="B1" t="s">
        <v>659</v>
      </c>
      <c r="C1" t="s">
        <v>75</v>
      </c>
      <c r="D1" t="s">
        <v>689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691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110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112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114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116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118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120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122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124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126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128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130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132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134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136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138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140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142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144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146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148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150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152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154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156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158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160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162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164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166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168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170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172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174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176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176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179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181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183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185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187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189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191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193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195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197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199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201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203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205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207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209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211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213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215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217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219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221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223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225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227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229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231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233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235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237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239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241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243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245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247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249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251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253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255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257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259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261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263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265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267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269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270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272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273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275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276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278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280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282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284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286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288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290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292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294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296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298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300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302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304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306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308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310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312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314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316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318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320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322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324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326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328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330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332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334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336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338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340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342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344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346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348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350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352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354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356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358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360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362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364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366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368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370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372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374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376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378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380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382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384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386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388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390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392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394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396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398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400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402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404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406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407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409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411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412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414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416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418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420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422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424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426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428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430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432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434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436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438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440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442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444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446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448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450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452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454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456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458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460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462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464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466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468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699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695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696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697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698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700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701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702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703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704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705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707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706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708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709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710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711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712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713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714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715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716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717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718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719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720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721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722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723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724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725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726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727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728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729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730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731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732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733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734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735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736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737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738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739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740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741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742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743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744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745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746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747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748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749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750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751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752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753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754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755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756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757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758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759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760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761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762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763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764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765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766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767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768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769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770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771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772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773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774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775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776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777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778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779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780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781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785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783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782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786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784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787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788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789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790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791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792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793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794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795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796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797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798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799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800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801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802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472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474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650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475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476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477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478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479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480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481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482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483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484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485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486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487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488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489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490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491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492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493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494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495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496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497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498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499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661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690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685</v>
      </c>
      <c r="B3" s="204" t="s">
        <v>688</v>
      </c>
      <c r="E3" s="206" t="s">
        <v>803</v>
      </c>
      <c r="F3" s="207"/>
      <c r="G3" s="206" t="s">
        <v>804</v>
      </c>
      <c r="H3" s="207"/>
      <c r="I3" s="206" t="s">
        <v>805</v>
      </c>
      <c r="J3" s="207"/>
      <c r="K3" s="206" t="s">
        <v>692</v>
      </c>
    </row>
    <row r="4" spans="2:11" ht="12.75" hidden="1">
      <c r="B4" t="s">
        <v>687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685</v>
      </c>
      <c r="B5" s="74"/>
      <c r="D5" s="202" t="str">
        <f>_xlfn.IFNA(VLOOKUP(E$4,'Escala Docente'!$C$8:$AZ$326,2,FALSE),"SIN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Docente'!$C$8:$AZ$326,2,FALSE),"SIN ESPEC")</f>
        <v>Maestro Materia Especial</v>
      </c>
      <c r="G5" s="202" t="str">
        <f>F5</f>
        <v>Maestro Materia Especial</v>
      </c>
      <c r="H5" s="202" t="str">
        <f>_xlfn.IFNA(VLOOKUP(I$4,'Escala Docente'!$C$8:$AZ$326,2,FALSE),"SIN ESPEC")</f>
        <v>Prol Jor (13-515) 16 horas</v>
      </c>
      <c r="I5" s="202" t="str">
        <f>H5</f>
        <v>Prol Jor (13-515) 16 horas</v>
      </c>
      <c r="J5" s="202" t="str">
        <f>_xlfn.IFNA(VLOOKUP(K$4,'Escala Docente'!$C$8:$AZ$326,2,FALSE),"SIN ESPEC")</f>
        <v>SIN ESPEC</v>
      </c>
      <c r="K5" s="202" t="str">
        <f>J5</f>
        <v>SIN ESPEC</v>
      </c>
    </row>
    <row r="6" spans="1:11" ht="12.75" customHeight="1">
      <c r="A6" t="s">
        <v>662</v>
      </c>
      <c r="C6" s="8">
        <v>0</v>
      </c>
      <c r="D6" s="209">
        <f>_xlfn.IFNA(VLOOKUP(E$4,'Escala Docente'!$C$8:$AZ$326,4,FALSE),0)</f>
        <v>13964.11</v>
      </c>
      <c r="E6" s="203">
        <f>ROUND(D6*E$1/30,2)</f>
        <v>13964.11</v>
      </c>
      <c r="F6" s="209">
        <f>_xlfn.IFNA(VLOOKUP(G$4,'Escala Docente'!$C$8:$AZ$326,4,FALSE),0)</f>
        <v>57211.61</v>
      </c>
      <c r="G6" s="203">
        <f>ROUND(F6*G$1/30,2)</f>
        <v>57211.61</v>
      </c>
      <c r="H6" s="209">
        <f>_xlfn.IFNA(VLOOKUP(I$4,'Escala Docente'!$C$8:$AZ$326,4,FALSE),0)</f>
        <v>146122.34</v>
      </c>
      <c r="I6" s="203">
        <f>ROUND(H6*I$1/30,2)</f>
        <v>146122.34</v>
      </c>
      <c r="J6" s="209">
        <f>_xlfn.IFNA(VLOOKUP(K$4,'Escala Docente'!$C$8:$AZ$326,4,FALSE),0)</f>
        <v>0</v>
      </c>
      <c r="K6" s="203">
        <f>ROUND(J6*K$1/30,2)</f>
        <v>0</v>
      </c>
    </row>
    <row r="7" spans="1:11" ht="12.75" customHeight="1">
      <c r="A7" t="s">
        <v>663</v>
      </c>
      <c r="C7" s="8">
        <f>Valores!F90</f>
        <v>0</v>
      </c>
      <c r="D7" s="209">
        <f>_xlfn.IFNA(VLOOKUP(E$4,'Escala Docente'!$C$8:$AZ$326,34,FALSE),0)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Docente'!$C$8:$AZ$326,34,FALSE),0)</f>
        <v>0</v>
      </c>
      <c r="G7" s="203">
        <f>IF($E7&gt;0,0,ROUND($F7*G$1/30,2))</f>
        <v>0</v>
      </c>
      <c r="H7" s="209">
        <f>_xlfn.IFNA(VLOOKUP(I$4,'Escala Docente'!$C$8:$AZ$326,34,FALSE),0)</f>
        <v>0</v>
      </c>
      <c r="I7" s="203">
        <f>IF($E7&gt;0,0,ROUND($H7*I$1/30,2))</f>
        <v>0</v>
      </c>
      <c r="J7" s="209">
        <f>_xlfn.IFNA(VLOOKUP(K$4,'Escala Docente'!$C$8:$AZ$326,34,FALSE),0)</f>
        <v>0</v>
      </c>
      <c r="K7" s="203">
        <f>IF($E7&gt;0,0,ROUND($J7*K$1/30,2))</f>
        <v>0</v>
      </c>
    </row>
    <row r="8" spans="1:11" ht="12.75" customHeight="1">
      <c r="A8" t="s">
        <v>664</v>
      </c>
      <c r="C8" s="8">
        <f>Valores!F97</f>
        <v>82485.58</v>
      </c>
      <c r="D8" s="209">
        <f>_xlfn.IFNA(VLOOKUP(E$4,'Escala Docente'!$C$8:$AZ$326,24,FALSE),0)</f>
        <v>5755.2300000000005</v>
      </c>
      <c r="E8" s="203">
        <f>IF((ROUND(D8*E$1/30,2)+(ROUND(F8*$G$1/30,2))+ROUND(H8*$I$1/30,2)+ROUND(J8*$K$1/30,2))&gt;C8,C8,(ROUND(D8*E$1/30,2)+ROUND(F8*$G$1/30,2)+ROUND(H8*$I$1/30,2)+ROUND(J8*$K$1/30,2)))</f>
        <v>46998.03</v>
      </c>
      <c r="F8" s="209">
        <f>_xlfn.IFNA(VLOOKUP(G$4,'Escala Docente'!$C$8:$AZ$326,24,FALSE),0)</f>
        <v>41242.8</v>
      </c>
      <c r="G8" s="203">
        <f>IF($E8&gt;0,0,ROUND($F8*G$1/30,2))</f>
        <v>0</v>
      </c>
      <c r="H8" s="209">
        <f>_xlfn.IFNA(VLOOKUP(I$4,'Escala Docente'!$C$8:$AZ$326,24,FALSE),0)</f>
        <v>0</v>
      </c>
      <c r="I8" s="203">
        <f>IF($E8&gt;0,0,ROUND($H8*I$1/30,2))</f>
        <v>0</v>
      </c>
      <c r="J8" s="209">
        <f>_xlfn.IFNA(VLOOKUP(K$4,'Escala Docente'!$C$8:$AZ$326,24,FALSE),0)</f>
        <v>0</v>
      </c>
      <c r="K8" s="203">
        <f>IF($E8&gt;0,0,ROUND($J8*K$1/30,2))</f>
        <v>0</v>
      </c>
    </row>
    <row r="9" spans="1:11" ht="12.75" customHeight="1">
      <c r="A9" t="s">
        <v>665</v>
      </c>
      <c r="C9" s="8">
        <v>0</v>
      </c>
      <c r="D9" s="209">
        <f>_xlfn.IFNA(VLOOKUP(E$4,'Escala Docente'!$C$8:$AZ$326,13,FALSE),0)</f>
        <v>5994.09</v>
      </c>
      <c r="E9" s="203">
        <f>ROUND(D9*E$1/30,2)</f>
        <v>5994.09</v>
      </c>
      <c r="F9" s="209">
        <f>_xlfn.IFNA(VLOOKUP(G$4,'Escala Docente'!$C$8:$AZ$326,13,FALSE),0)</f>
        <v>50911.51</v>
      </c>
      <c r="G9" s="203">
        <f>ROUND(F9*G$1/30,2)</f>
        <v>50911.51</v>
      </c>
      <c r="H9" s="209">
        <f>_xlfn.IFNA(VLOOKUP(I$4,'Escala Docente'!$C$8:$AZ$326,13,FALSE),0)</f>
        <v>0</v>
      </c>
      <c r="I9" s="203">
        <f>ROUND(H9*I$1/30,2)</f>
        <v>0</v>
      </c>
      <c r="J9" s="209">
        <f>_xlfn.IFNA(VLOOKUP(K$4,'Escala Docente'!$C$8:$AZ$326,13,FALSE),0)</f>
        <v>0</v>
      </c>
      <c r="K9" s="203">
        <f>ROUND(J9*K$1/30,2)</f>
        <v>0</v>
      </c>
    </row>
    <row r="10" spans="1:11" ht="12.75" customHeight="1">
      <c r="A10" t="s">
        <v>666</v>
      </c>
      <c r="C10" s="8">
        <f>IF('Escala Docente'!$F$4="NO",Valores!F46,Valores!F46/2)</f>
        <v>36576.018816</v>
      </c>
      <c r="D10" s="209">
        <f>_xlfn.IFNA(VLOOKUP(E$4,'Escala Docente'!$C$8:$AZ$326,16,FALSE),0)</f>
        <v>3157.3500000000004</v>
      </c>
      <c r="E10" s="203">
        <f>IF((ROUND(D10*E$1/30,2)+(ROUND(F10*$G$1/30,2))+ROUND(H10*$I$1/30,2)+ROUND(J10*$K$1/30,2))&gt;C10,C10,(ROUND(D10*E$1/30,2)+ROUND(F10*$G$1/30,2)+ROUND(H10*$I$1/30,2)+ROUND(J10*$K$1/30,2)))</f>
        <v>36576.018816</v>
      </c>
      <c r="F10" s="209">
        <f>_xlfn.IFNA(VLOOKUP(G$4,'Escala Docente'!$C$8:$AZ$326,16,FALSE),0)</f>
        <v>19743.9</v>
      </c>
      <c r="G10" s="203">
        <f>IF($E10&gt;0,0,ROUND($F10*G$1/30,2))</f>
        <v>0</v>
      </c>
      <c r="H10" s="209">
        <f>_xlfn.IFNA(VLOOKUP(I$4,'Escala Docente'!$C$8:$AZ$326,16,FALSE),0)</f>
        <v>16839.2</v>
      </c>
      <c r="I10" s="203">
        <f>IF($E10&gt;0,0,ROUND($H10*I$1/30,2))</f>
        <v>0</v>
      </c>
      <c r="J10" s="209">
        <f>_xlfn.IFNA(VLOOKUP(K$4,'Escala Docente'!$C$8:$AZ$326,16,FALSE),0)</f>
        <v>0</v>
      </c>
      <c r="K10" s="203">
        <f>IF($E10&gt;0,0,ROUND($J10*K$1/30,2))</f>
        <v>0</v>
      </c>
    </row>
    <row r="11" spans="1:11" ht="12.75">
      <c r="A11" t="s">
        <v>667</v>
      </c>
      <c r="C11" s="8">
        <f>Valores!F26</f>
        <v>1231.85</v>
      </c>
      <c r="D11" s="209">
        <f>_xlfn.IFNA(VLOOKUP(E$4,'Escala Docente'!$C$8:$AZ$326,27,FALSE),0)</f>
        <v>0</v>
      </c>
      <c r="E11" s="203">
        <f>ROUND(D11*E$1/30,2)</f>
        <v>0</v>
      </c>
      <c r="F11" s="209">
        <f>_xlfn.IFNA(VLOOKUP(G$4,'Escala Docente'!$C$8:$AZ$326,27,FALSE),0)</f>
        <v>0</v>
      </c>
      <c r="G11" s="203">
        <f>IF(E11&gt;=C11,0,IF((F11*G$1/30)&gt;(E11-C11),F11*G$1/30,E11-C11))</f>
        <v>0</v>
      </c>
      <c r="H11" s="209">
        <f>_xlfn.IFNA(VLOOKUP(I$4,'Escala Docente'!$C$8:$AZ$326,27,FALSE),0)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Docente'!$C$8:$AZ$326,27,FALSE),0)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668</v>
      </c>
      <c r="C12" s="8">
        <v>0</v>
      </c>
      <c r="D12" s="209">
        <f>_xlfn.IFNA(VLOOKUP(E$4,'Escala Docente'!$C$8:$AZ$326,6,FALSE),0)</f>
        <v>0</v>
      </c>
      <c r="E12" s="203">
        <f>ROUND(D12*E$1/30,2)</f>
        <v>0</v>
      </c>
      <c r="F12" s="209">
        <f>_xlfn.IFNA(VLOOKUP(G$4,'Escala Docente'!$C$8:$AZ$326,6,FALSE),0)</f>
        <v>0</v>
      </c>
      <c r="G12" s="203">
        <f>ROUND(F12*G$1/30,2)</f>
        <v>0</v>
      </c>
      <c r="H12" s="209">
        <f>_xlfn.IFNA(VLOOKUP(I$4,'Escala Docente'!$C$8:$AZ$326,6,FALSE),0)</f>
        <v>0</v>
      </c>
      <c r="I12" s="203">
        <f>ROUND(H12*I$1/30,2)</f>
        <v>0</v>
      </c>
      <c r="J12" s="209">
        <f>_xlfn.IFNA(VLOOKUP(K$4,'Escala Docente'!$C$8:$AZ$326,6,FALSE),0)</f>
        <v>0</v>
      </c>
      <c r="K12" s="203">
        <f>ROUND(J12*K$1/30,2)</f>
        <v>0</v>
      </c>
    </row>
    <row r="13" spans="1:11" ht="12.75" customHeight="1">
      <c r="A13" t="s">
        <v>680</v>
      </c>
      <c r="C13" s="8">
        <v>0</v>
      </c>
      <c r="D13" s="209">
        <f>_xlfn.IFNA(VLOOKUP(E$4,'Escala Docente'!$C$8:$AZ$326,15,FALSE),0)</f>
        <v>0</v>
      </c>
      <c r="E13" s="203">
        <f>ROUND(D13*E$1/30,2)</f>
        <v>0</v>
      </c>
      <c r="F13" s="209">
        <f>_xlfn.IFNA(VLOOKUP(G$4,'Escala Docente'!$C$8:$AZ$326,15,FALSE),0)</f>
        <v>25008.96</v>
      </c>
      <c r="G13" s="203">
        <f>ROUND(F13*G$1/30,2)</f>
        <v>25008.96</v>
      </c>
      <c r="H13" s="209">
        <f>_xlfn.IFNA(VLOOKUP(I$4,'Escala Docente'!$C$8:$AZ$326,15,FALSE),0)</f>
        <v>0</v>
      </c>
      <c r="I13" s="203">
        <f>ROUND(H13*I$1/30,2)</f>
        <v>0</v>
      </c>
      <c r="J13" s="209">
        <f>_xlfn.IFNA(VLOOKUP(K$4,'Escala Docente'!$C$8:$AZ$326,15,FALSE),0)</f>
        <v>0</v>
      </c>
      <c r="K13" s="203">
        <f>ROUND(J13*K$1/30,2)</f>
        <v>0</v>
      </c>
    </row>
    <row r="14" spans="1:11" ht="12.75" customHeight="1">
      <c r="A14" t="s">
        <v>669</v>
      </c>
      <c r="C14" s="8">
        <v>0</v>
      </c>
      <c r="D14" s="209">
        <f>_xlfn.IFNA(VLOOKUP(E$4,'Escala Docente'!$C$8:$AZ$326,8,FALSE),0)</f>
        <v>0</v>
      </c>
      <c r="E14" s="203">
        <f>ROUND(D14*E$1/30,2)</f>
        <v>0</v>
      </c>
      <c r="F14" s="209">
        <f>_xlfn.IFNA(VLOOKUP(G$4,'Escala Docente'!$C$8:$AZ$326,8,FALSE),0)</f>
        <v>0</v>
      </c>
      <c r="G14" s="203">
        <f>ROUND(F14*G$1/30,2)</f>
        <v>0</v>
      </c>
      <c r="H14" s="209">
        <f>_xlfn.IFNA(VLOOKUP(I$4,'Escala Docente'!$C$8:$AZ$326,8,FALSE),0)</f>
        <v>0</v>
      </c>
      <c r="I14" s="203">
        <f>ROUND(H14*I$1/30,2)</f>
        <v>0</v>
      </c>
      <c r="J14" s="209">
        <f>_xlfn.IFNA(VLOOKUP(K$4,'Escala Docente'!$C$8:$AZ$326,8,FALSE),0)</f>
        <v>0</v>
      </c>
      <c r="K14" s="203">
        <f>ROUND(J14*K$1/30,2)</f>
        <v>0</v>
      </c>
    </row>
    <row r="15" spans="1:11" ht="12.75" customHeight="1">
      <c r="A15" t="s">
        <v>670</v>
      </c>
      <c r="C15" s="8">
        <f>Valores!D5</f>
        <v>30120.06</v>
      </c>
      <c r="D15" s="209">
        <f>_xlfn.IFNA(VLOOKUP(E$4,'Escala Docente'!$C$8:$AZ$326,14,FALSE),0)</f>
        <v>6024</v>
      </c>
      <c r="E15" s="203">
        <f>IF((ROUND(D15*E$1/30,2)+(ROUND(F15*$G$1/30,2))+ROUND(H15*$I$1/30,2)+ROUND(J15*$K$1/30,2))&gt;C15,C15,(ROUND(D15*E$1/30,2)+ROUND(F15*$G$1/30,2)+ROUND(H15*$I$1/30,2)+ROUND(J15*$K$1/30,2)))</f>
        <v>30120.06</v>
      </c>
      <c r="F15" s="209">
        <f>_xlfn.IFNA(VLOOKUP(G$4,'Escala Docente'!$C$8:$AZ$326,14,FALSE),0)</f>
        <v>30120.06</v>
      </c>
      <c r="G15" s="203">
        <f>IF($E15&gt;0,0,ROUND($F15*G$1/30,2))</f>
        <v>0</v>
      </c>
      <c r="H15" s="209">
        <f>_xlfn.IFNA(VLOOKUP(I$4,'Escala Docente'!$C$8:$AZ$326,14,FALSE),0)</f>
        <v>0</v>
      </c>
      <c r="I15" s="203">
        <f>IF($E15&gt;0,0,ROUND($H15*I$1/30,2))</f>
        <v>0</v>
      </c>
      <c r="J15" s="209">
        <f>_xlfn.IFNA(VLOOKUP(K$4,'Escala Docente'!$C$8:$AZ$326,14,FALSE),0)</f>
        <v>0</v>
      </c>
      <c r="K15" s="203">
        <f>IF($E15&gt;0,0,ROUND($J15*K$1/30,2))</f>
        <v>0</v>
      </c>
    </row>
    <row r="16" spans="1:11" ht="12.75">
      <c r="A16" t="s">
        <v>671</v>
      </c>
      <c r="C16" s="8">
        <f>Valores!F25</f>
        <v>1848.975</v>
      </c>
      <c r="D16" s="209">
        <f>_xlfn.IFNA(VLOOKUP(E$4,'Escala Docente'!$C$8:$AZ$326,25,FALSE),0)</f>
        <v>148.10999999999999</v>
      </c>
      <c r="E16" s="203">
        <f>ROUND(D16*E$1/30,2)</f>
        <v>148.11</v>
      </c>
      <c r="F16" s="209">
        <f>_xlfn.IFNA(VLOOKUP(G$4,'Escala Docente'!$C$8:$AZ$326,25,FALSE),0)</f>
        <v>1231.85</v>
      </c>
      <c r="G16" s="203">
        <f>IF(E16&gt;=C16,0,IF((F16*G$1/30)&gt;(E16-C16),F16*G$1/30,E16-C16))</f>
        <v>1231.85</v>
      </c>
      <c r="H16" s="209">
        <f>_xlfn.IFNA(VLOOKUP(I$4,'Escala Docente'!$C$8:$AZ$326,25,FALSE),0)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Docente'!$C$8:$AZ$326,25,FALSE),0)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684</v>
      </c>
      <c r="C17" s="8">
        <v>0</v>
      </c>
      <c r="D17" s="209">
        <f>_xlfn.IFNA(VLOOKUP(E$4,'Escala Docente'!$C$8:$AZ$326,22,FALSE),0)</f>
        <v>0</v>
      </c>
      <c r="E17" s="203">
        <f>ROUND(D17*E$1/30,2)</f>
        <v>0</v>
      </c>
      <c r="F17" s="209">
        <f>_xlfn.IFNA(VLOOKUP(G$4,'Escala Docente'!$C$8:$AZ$326,22,FALSE),0)</f>
        <v>0</v>
      </c>
      <c r="G17" s="203">
        <f>ROUND(F17*G$1/30,2)</f>
        <v>0</v>
      </c>
      <c r="H17" s="209">
        <f>_xlfn.IFNA(VLOOKUP(I$4,'Escala Docente'!$C$8:$AZ$326,22,FALSE),0)</f>
        <v>0</v>
      </c>
      <c r="I17" s="203">
        <f>ROUND(H17*I$1/30,2)</f>
        <v>0</v>
      </c>
      <c r="J17" s="209">
        <f>_xlfn.IFNA(VLOOKUP(K$4,'Escala Docente'!$C$8:$AZ$326,22,FALSE),0)</f>
        <v>0</v>
      </c>
      <c r="K17" s="203">
        <f>ROUND(J17*K$1/30,2)</f>
        <v>0</v>
      </c>
    </row>
    <row r="18" spans="1:11" ht="12.75" customHeight="1">
      <c r="A18" t="s">
        <v>683</v>
      </c>
      <c r="C18" s="8">
        <v>0</v>
      </c>
      <c r="D18" s="209">
        <f>_xlfn.IFNA(VLOOKUP(E$4,'Escala Docente'!$C$8:$AZ$326,10,FALSE),0)</f>
        <v>0</v>
      </c>
      <c r="E18" s="203">
        <f>ROUND(D18*E$1/30,2)</f>
        <v>0</v>
      </c>
      <c r="F18" s="209">
        <f>_xlfn.IFNA(VLOOKUP(G$4,'Escala Docente'!$C$8:$AZ$326,10,FALSE),0)</f>
        <v>0</v>
      </c>
      <c r="G18" s="203">
        <f>ROUND(F18*G$1/30,2)</f>
        <v>0</v>
      </c>
      <c r="H18" s="209">
        <f>_xlfn.IFNA(VLOOKUP(I$4,'Escala Docente'!$C$8:$AZ$326,10,FALSE),0)</f>
        <v>0</v>
      </c>
      <c r="I18" s="203">
        <f>ROUND(H18*I$1/30,2)</f>
        <v>0</v>
      </c>
      <c r="J18" s="209">
        <f>_xlfn.IFNA(VLOOKUP(K$4,'Escala Docente'!$C$8:$AZ$326,10,FALSE),0)</f>
        <v>0</v>
      </c>
      <c r="K18" s="203">
        <f>ROUND(J18*K$1/30,2)</f>
        <v>0</v>
      </c>
    </row>
    <row r="19" spans="1:11" ht="12.75" customHeight="1">
      <c r="A19" s="102" t="s">
        <v>672</v>
      </c>
      <c r="B19" s="102"/>
      <c r="C19" s="8">
        <v>0</v>
      </c>
      <c r="D19" s="209">
        <f>_xlfn.IFNA(VLOOKUP(E$4,'Escala Docente'!$C$8:$AZ$326,12,FALSE),0)</f>
        <v>0</v>
      </c>
      <c r="E19" s="203">
        <f>ROUND(E6+E12+E18+E10+E17,2)*'Escala Docente'!$H$2</f>
        <v>0</v>
      </c>
      <c r="F19" s="209">
        <f>_xlfn.IFNA(VLOOKUP(G$4,'Escala Docente'!$C$8:$AZ$326,12,FALSE),0)</f>
        <v>0</v>
      </c>
      <c r="G19" s="203">
        <f>ROUND(G6+G12+G18+G10+G17,2)*'Escala Docente'!$H$2</f>
        <v>0</v>
      </c>
      <c r="H19" s="209">
        <f>_xlfn.IFNA(VLOOKUP(I$4,'Escala Docente'!$C$8:$AZ$326,12,FALSE),0)</f>
        <v>0</v>
      </c>
      <c r="I19" s="203">
        <f>ROUND(I6+I12+I18+I10+I17,2)*'Escala Docente'!$H$2</f>
        <v>0</v>
      </c>
      <c r="J19" s="209">
        <f>_xlfn.IFNA(VLOOKUP(K$4,'Escala Docente'!$C$8:$AZ$326,12,FALSE),0)</f>
        <v>0</v>
      </c>
      <c r="K19" s="203">
        <f>ROUND(K6+K12+K18+K10+K17,2)*'Escala Docente'!$H$2</f>
        <v>0</v>
      </c>
    </row>
    <row r="20" spans="1:11" ht="12.75" customHeight="1">
      <c r="A20" t="s">
        <v>679</v>
      </c>
      <c r="C20" s="8">
        <v>0</v>
      </c>
      <c r="D20" s="209">
        <f>_xlfn.IFNA(VLOOKUP(E$4,'Escala Docente'!$C$8:$AZ$326,29,FALSE),0)</f>
        <v>0</v>
      </c>
      <c r="E20" s="203">
        <f>ROUND(D20*E$1/30,2)</f>
        <v>0</v>
      </c>
      <c r="F20" s="209">
        <f>_xlfn.IFNA(VLOOKUP(G$4,'Escala Docente'!$C$8:$AZ$326,29,FALSE),0)</f>
        <v>0</v>
      </c>
      <c r="G20" s="203">
        <f>ROUND(F20*G$1/30,2)</f>
        <v>0</v>
      </c>
      <c r="H20" s="209">
        <f>_xlfn.IFNA(VLOOKUP(I$4,'Escala Docente'!$C$8:$AZ$326,29,FALSE),0)</f>
        <v>0</v>
      </c>
      <c r="I20" s="203">
        <f>ROUND(H20*I$1/30,2)</f>
        <v>0</v>
      </c>
      <c r="J20" s="209">
        <f>_xlfn.IFNA(VLOOKUP(K$4,'Escala Docente'!$C$8:$AZ$326,29,FALSE),0)</f>
        <v>0</v>
      </c>
      <c r="K20" s="203">
        <f>ROUND(J20*K$1/30,2)</f>
        <v>0</v>
      </c>
    </row>
    <row r="21" spans="1:11" ht="12.75" customHeight="1">
      <c r="A21" t="s">
        <v>673</v>
      </c>
      <c r="C21" s="8">
        <v>0</v>
      </c>
      <c r="D21" s="209">
        <f>_xlfn.IFNA(VLOOKUP(E$4,'Escala Docente'!$C$8:$AZ$326,18,FALSE),0)</f>
        <v>1885.23</v>
      </c>
      <c r="E21" s="203">
        <f>ROUND(D21*E$1/30,2)</f>
        <v>1885.23</v>
      </c>
      <c r="F21" s="209">
        <f>_xlfn.IFNA(VLOOKUP(G$4,'Escala Docente'!$C$8:$AZ$326,18,FALSE),0)</f>
        <v>28025.37</v>
      </c>
      <c r="G21" s="203">
        <f>ROUND(F21*G$1/30,2)</f>
        <v>28025.37</v>
      </c>
      <c r="H21" s="209">
        <f>_xlfn.IFNA(VLOOKUP(I$4,'Escala Docente'!$C$8:$AZ$326,18,FALSE),0)</f>
        <v>0</v>
      </c>
      <c r="I21" s="203">
        <f>ROUND(H21*I$1/30,2)</f>
        <v>0</v>
      </c>
      <c r="J21" s="209">
        <f>_xlfn.IFNA(VLOOKUP(K$4,'Escala Docente'!$C$8:$AZ$326,18,FALSE),0)</f>
        <v>0</v>
      </c>
      <c r="K21" s="203">
        <f>ROUND(J21*K$1/30,2)</f>
        <v>0</v>
      </c>
    </row>
    <row r="22" spans="1:11" ht="12.75" customHeight="1">
      <c r="A22" s="102" t="s">
        <v>677</v>
      </c>
      <c r="B22" s="102"/>
      <c r="C22" s="8">
        <v>0</v>
      </c>
      <c r="D22" s="209">
        <f>_xlfn.IFNA(VLOOKUP(E$4,'Escala Docente'!$C$8:$AZ$326,26,FALSE),0)</f>
        <v>0</v>
      </c>
      <c r="E22" s="203">
        <f>ROUND(D22*E$1/30,2)</f>
        <v>0</v>
      </c>
      <c r="F22" s="209">
        <f>_xlfn.IFNA(VLOOKUP(G$4,'Escala Docente'!$C$8:$AZ$326,26,FALSE),0)</f>
        <v>0</v>
      </c>
      <c r="G22" s="203">
        <f>ROUND(F22*G$1/30,2)</f>
        <v>0</v>
      </c>
      <c r="H22" s="209">
        <f>_xlfn.IFNA(VLOOKUP(I$4,'Escala Docente'!$C$8:$AZ$326,26,FALSE),0)</f>
        <v>0</v>
      </c>
      <c r="I22" s="203">
        <f>ROUND(H22*I$1/30,2)</f>
        <v>0</v>
      </c>
      <c r="J22" s="209">
        <f>_xlfn.IFNA(VLOOKUP(K$4,'Escala Docente'!$C$8:$AZ$326,26,FALSE),0)</f>
        <v>0</v>
      </c>
      <c r="K22" s="203">
        <f>ROUND(J22*K$1/30,2)</f>
        <v>0</v>
      </c>
    </row>
    <row r="23" spans="1:11" ht="12.75" customHeight="1">
      <c r="A23" t="s">
        <v>682</v>
      </c>
      <c r="C23" s="8">
        <v>0</v>
      </c>
      <c r="D23" s="209">
        <f>_xlfn.IFNA(VLOOKUP(E$4,'Escala Docente'!$C$8:$AZ$326,23,FALSE),0)</f>
        <v>0</v>
      </c>
      <c r="E23" s="203">
        <f>ROUND(D23*E$1/30,2)</f>
        <v>0</v>
      </c>
      <c r="F23" s="209">
        <f>_xlfn.IFNA(VLOOKUP(G$4,'Escala Docente'!$C$8:$AZ$326,23,FALSE),0)</f>
        <v>0</v>
      </c>
      <c r="G23" s="203">
        <f>ROUND(F23*G$1/30,2)</f>
        <v>0</v>
      </c>
      <c r="H23" s="209">
        <f>_xlfn.IFNA(VLOOKUP(I$4,'Escala Docente'!$C$8:$AZ$326,23,FALSE),0)</f>
        <v>0</v>
      </c>
      <c r="I23" s="203">
        <f>ROUND(H23*I$1/30,2)</f>
        <v>0</v>
      </c>
      <c r="J23" s="209">
        <f>_xlfn.IFNA(VLOOKUP(K$4,'Escala Docente'!$C$8:$AZ$326,23,FALSE),0)</f>
        <v>0</v>
      </c>
      <c r="K23" s="203">
        <f>ROUND(J23*K$1/30,2)</f>
        <v>0</v>
      </c>
    </row>
    <row r="24" spans="1:11" ht="12.75" customHeight="1">
      <c r="A24" s="74" t="s">
        <v>693</v>
      </c>
      <c r="C24" s="8">
        <f>Valores!F38</f>
        <v>0</v>
      </c>
      <c r="D24" s="209">
        <f>_xlfn.IFNA(VLOOKUP(E$4,'Escala Docente'!$C$8:$AZ$326,35,FALSE),0)</f>
        <v>0</v>
      </c>
      <c r="E24" s="203">
        <f>ROUND(D24*E$1/30,2)</f>
        <v>0</v>
      </c>
      <c r="F24" s="209">
        <f>_xlfn.IFNA(VLOOKUP(G$4,'Escala Docente'!$C$8:$AZ$326,35,FALSE),0)</f>
        <v>0</v>
      </c>
      <c r="G24" s="203">
        <f>ROUND(F24*G$1/30,2)</f>
        <v>0</v>
      </c>
      <c r="H24" s="209">
        <f>_xlfn.IFNA(VLOOKUP(I$4,'Escala Docente'!$C$8:$AZ$326,35,FALSE),0)</f>
        <v>0</v>
      </c>
      <c r="I24" s="203">
        <f>ROUND(H24*I$1/30,2)</f>
        <v>0</v>
      </c>
      <c r="J24" s="209">
        <f>_xlfn.IFNA(VLOOKUP(K$4,'Escala Docente'!$C$8:$AZ$326,35,FALSE),0)</f>
        <v>0</v>
      </c>
      <c r="K24" s="203">
        <f>ROUND(J24*K$1/30,2)</f>
        <v>0</v>
      </c>
    </row>
    <row r="25" spans="1:11" ht="12.75" customHeight="1">
      <c r="A25" t="s">
        <v>674</v>
      </c>
      <c r="C25" s="8">
        <f>IF('Escala Docente'!$F$4="NO",Valores!F63,Valores!F63/2)</f>
        <v>28166.46</v>
      </c>
      <c r="D25" s="209">
        <f>_xlfn.IFNA(VLOOKUP(E$4,'Escala Docente'!$C$8:$AZ$326,30,FALSE),0)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Docente'!$C$8:$AZ$326,30,FALSE),0)</f>
        <v>0</v>
      </c>
      <c r="G25" s="203">
        <f>IF($E25&gt;0,0,ROUND($F25*G$1/30,2))</f>
        <v>0</v>
      </c>
      <c r="H25" s="209">
        <f>_xlfn.IFNA(VLOOKUP(I$4,'Escala Docente'!$C$8:$AZ$326,30,FALSE),0)</f>
        <v>0</v>
      </c>
      <c r="I25" s="203">
        <f>IF($E25&gt;0,0,ROUND($H25*I$1/30,2))</f>
        <v>0</v>
      </c>
      <c r="J25" s="209">
        <f>_xlfn.IFNA(VLOOKUP(K$4,'Escala Docente'!$C$8:$AZ$326,30,FALSE),0)</f>
        <v>0</v>
      </c>
      <c r="K25" s="203">
        <f>IF($E25&gt;0,0,ROUND($J25*K$1/30,2))</f>
        <v>0</v>
      </c>
    </row>
    <row r="26" spans="1:11" ht="12.75" customHeight="1">
      <c r="A26" t="s">
        <v>675</v>
      </c>
      <c r="C26" s="8">
        <f>Valores!F32</f>
        <v>0</v>
      </c>
      <c r="D26" s="209">
        <f>_xlfn.IFNA(VLOOKUP(E$4,'Escala Docente'!$C$8:$AZ$326,33,FALSE),0)</f>
        <v>50375.72033000001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Docente'!$C$8:$AZ$326,33,FALSE),0)</f>
        <v>333118.6304399999</v>
      </c>
      <c r="G26" s="203">
        <f>IF($E26&gt;0,0,ROUND($F26*G$1/30,2))</f>
        <v>333118.63</v>
      </c>
      <c r="H26" s="209">
        <f>_xlfn.IFNA(VLOOKUP(I$4,'Escala Docente'!$C$8:$AZ$326,33,FALSE),0)</f>
        <v>229979.47897</v>
      </c>
      <c r="I26" s="203">
        <f>IF($E26&gt;0,0,ROUND($H26*I$1/30,2))</f>
        <v>229979.48</v>
      </c>
      <c r="J26" s="209">
        <f>_xlfn.IFNA(VLOOKUP(K$4,'Escala Docente'!$C$8:$AZ$326,33,FALSE),0)</f>
        <v>0</v>
      </c>
      <c r="K26" s="203">
        <f>IF($E26&gt;0,0,ROUND($J26*K$1/30,2))</f>
        <v>0</v>
      </c>
    </row>
    <row r="27" spans="1:11" ht="12.75" customHeight="1">
      <c r="A27" t="s">
        <v>676</v>
      </c>
      <c r="C27" s="8" t="e">
        <f>IF('Escala Docente'!$F$4="NO",Valores!#REF!,Valores!#REF!/2)</f>
        <v>#REF!</v>
      </c>
      <c r="D27" s="209">
        <f>_xlfn.IFNA(VLOOKUP(E$4,'Escala Docente'!$C$8:$AZ$326,31,FALSE),0)</f>
        <v>5755.9503300000015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Docente'!$C$8:$AZ$326,31,FALSE),0)</f>
        <v>38062.27043999999</v>
      </c>
      <c r="G27" s="203" t="e">
        <f>IF($E27&gt;0,0,ROUND($F27*G$1/30,2))</f>
        <v>#REF!</v>
      </c>
      <c r="H27" s="209">
        <f>_xlfn.IFNA(VLOOKUP(I$4,'Escala Docente'!$C$8:$AZ$326,31,FALSE),0)</f>
        <v>26277.54897</v>
      </c>
      <c r="I27" s="203" t="e">
        <f>IF($E27&gt;0,0,ROUND($H27*I$1/30,2))</f>
        <v>#REF!</v>
      </c>
      <c r="J27" s="209">
        <f>_xlfn.IFNA(VLOOKUP(K$4,'Escala Docente'!$C$8:$AZ$326,31,FALSE),0)</f>
        <v>0</v>
      </c>
      <c r="K27" s="203" t="e">
        <f>IF($E27&gt;0,0,ROUND($J27*K$1/30,2))</f>
        <v>#REF!</v>
      </c>
    </row>
    <row r="28" spans="1:11" ht="12.75">
      <c r="A28" t="s">
        <v>678</v>
      </c>
      <c r="C28" s="8">
        <f>Valores!F62</f>
        <v>327.6</v>
      </c>
      <c r="D28" s="209">
        <f>_xlfn.IFNA(VLOOKUP(E$4,'Escala Docente'!$C$8:$AZ$326,36,FALSE),0)</f>
        <v>0</v>
      </c>
      <c r="E28" s="203">
        <f>ROUND(D28*E$1/30,2)</f>
        <v>0</v>
      </c>
      <c r="F28" s="209">
        <f>_xlfn.IFNA(VLOOKUP(G$4,'Escala Docente'!$C$8:$AZ$326,36,FALSE),0)</f>
        <v>0</v>
      </c>
      <c r="G28" s="203">
        <f>IF(E28&gt;=C28,0,IF((F28*G$1/30)&gt;(E28-C28),F28*G$1/30,E28-C28))</f>
        <v>0</v>
      </c>
      <c r="H28" s="209">
        <f>_xlfn.IFNA(VLOOKUP(I$4,'Escala Docente'!$C$8:$AZ$326,36,FALSE),0)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Docente'!$C$8:$AZ$326,36,FALSE),0)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681</v>
      </c>
      <c r="C29" s="8">
        <v>0</v>
      </c>
      <c r="D29" s="209">
        <f>_xlfn.IFNA(VLOOKUP(E$4,'Escala Docente'!$C$8:$AZ$326,11,FALSE),0)</f>
        <v>4751.67</v>
      </c>
      <c r="E29" s="210">
        <f>ROUND(IF('Escala Docente'!$H$2=0,IF(AND(MID(E$3,1,5)&lt;&gt;"13930",MID(E$3,1,5)&lt;&gt;"13940"),(SUM(E6+E12+E14+E18+E10+E17+E21)*Valores!$C$4),0),0),2)</f>
        <v>13106.34</v>
      </c>
      <c r="F29" s="209">
        <f>_xlfn.IFNA(VLOOKUP(G$4,'Escala Docente'!$C$8:$AZ$326,11,FALSE),0)</f>
        <v>26245.22</v>
      </c>
      <c r="G29" s="210">
        <f>ROUND(IF('Escala Docente'!$H$2=0,IF(AND(MID(G$3,1,5)&lt;&gt;"13930",MID(G$3,1,5)&lt;&gt;"13940"),(SUM(G6+G12+G14+G18+G10+G17+G21)*Valores!$C$4),0),0),2)</f>
        <v>21309.25</v>
      </c>
      <c r="H29" s="209">
        <f>_xlfn.IFNA(VLOOKUP(I$4,'Escala Docente'!$C$8:$AZ$326,11,FALSE),0)</f>
        <v>40740.39</v>
      </c>
      <c r="I29" s="210">
        <f>ROUND(IF('Escala Docente'!$H$2=0,IF(AND(MID(I$3,1,5)&lt;&gt;"13930",MID(I$3,1,5)&lt;&gt;"13940"),(SUM(I6+I12+I14+I18+I10+I17+I21)*Valores!$C$4),0),0),2)</f>
        <v>36530.59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40" t="str">
        <f ca="1">MID(CELL("FILENAME",L41),FIND("[",CELL("FILENAME",L41))+1,FIND("]",CELL("FILENAME",L41))-FIND("[",CELL("FILENAME",L41))-1)</f>
        <v>Esc Doc 2023 12 Cba V 1 3.xlsx</v>
      </c>
      <c r="B1" s="240"/>
      <c r="C1" s="240"/>
      <c r="D1" s="240"/>
      <c r="E1" s="240"/>
      <c r="F1" s="240"/>
      <c r="G1" s="240"/>
      <c r="H1" s="240"/>
      <c r="I1" s="240"/>
      <c r="J1" s="24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1" t="s">
        <v>48</v>
      </c>
      <c r="B2" s="241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2" t="s">
        <v>500</v>
      </c>
      <c r="R3" s="242"/>
      <c r="S3" s="242"/>
      <c r="T3" s="243" t="s">
        <v>501</v>
      </c>
      <c r="U3" s="243"/>
      <c r="V3" s="243"/>
      <c r="W3" s="243"/>
      <c r="Y3" s="17"/>
    </row>
    <row r="4" spans="1:25" ht="19.5">
      <c r="A4" s="13"/>
      <c r="B4" s="13"/>
      <c r="C4" s="29" t="s">
        <v>502</v>
      </c>
      <c r="D4" s="30" t="s">
        <v>55</v>
      </c>
      <c r="E4" s="30" t="s">
        <v>503</v>
      </c>
      <c r="F4" s="30" t="s">
        <v>504</v>
      </c>
      <c r="G4" s="31" t="s">
        <v>56</v>
      </c>
      <c r="H4" s="32" t="s">
        <v>57</v>
      </c>
      <c r="I4" s="33" t="s">
        <v>505</v>
      </c>
      <c r="J4" s="34" t="s">
        <v>506</v>
      </c>
      <c r="K4" s="35" t="s">
        <v>505</v>
      </c>
      <c r="Q4" s="36" t="s">
        <v>507</v>
      </c>
      <c r="R4" s="37" t="s">
        <v>508</v>
      </c>
      <c r="S4" s="37" t="s">
        <v>509</v>
      </c>
      <c r="T4" s="38" t="s">
        <v>510</v>
      </c>
      <c r="U4" s="39" t="s">
        <v>511</v>
      </c>
      <c r="V4" s="39" t="s">
        <v>512</v>
      </c>
      <c r="W4" s="39" t="s">
        <v>509</v>
      </c>
      <c r="X4" s="40" t="s">
        <v>513</v>
      </c>
      <c r="Y4" s="40" t="s">
        <v>514</v>
      </c>
    </row>
    <row r="5" spans="1:25" ht="12.75">
      <c r="A5" s="14" t="s">
        <v>75</v>
      </c>
      <c r="B5" s="15" t="s">
        <v>76</v>
      </c>
      <c r="C5" s="41" t="s">
        <v>78</v>
      </c>
      <c r="D5" s="42" t="s">
        <v>85</v>
      </c>
      <c r="E5" s="42" t="s">
        <v>515</v>
      </c>
      <c r="F5" s="43"/>
      <c r="G5" s="43" t="s">
        <v>86</v>
      </c>
      <c r="H5" s="43" t="s">
        <v>87</v>
      </c>
      <c r="I5" s="44" t="s">
        <v>516</v>
      </c>
      <c r="J5" s="45" t="s">
        <v>517</v>
      </c>
      <c r="K5" s="44" t="s">
        <v>518</v>
      </c>
      <c r="L5" s="46" t="s">
        <v>519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520</v>
      </c>
      <c r="B6" s="16" t="s">
        <v>521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522</v>
      </c>
      <c r="B7" s="16" t="s">
        <v>523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502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524</v>
      </c>
      <c r="B8" s="16" t="s">
        <v>525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526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527</v>
      </c>
      <c r="B9" s="56" t="s">
        <v>528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529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530</v>
      </c>
      <c r="B10" s="56" t="s">
        <v>531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532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533</v>
      </c>
      <c r="B11" s="16" t="s">
        <v>534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535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536</v>
      </c>
      <c r="B12" s="16" t="s">
        <v>537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538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539</v>
      </c>
      <c r="B13" s="16" t="s">
        <v>540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541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542</v>
      </c>
      <c r="B14" s="16" t="s">
        <v>543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544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545</v>
      </c>
      <c r="B15" s="16" t="s">
        <v>546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547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548</v>
      </c>
      <c r="B16" s="16" t="s">
        <v>549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66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550</v>
      </c>
      <c r="B17" s="16" t="s">
        <v>551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552</v>
      </c>
      <c r="B18" s="16" t="s">
        <v>553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554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555</v>
      </c>
      <c r="B19" s="16" t="s">
        <v>556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557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558</v>
      </c>
      <c r="B20" s="16" t="s">
        <v>559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67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560</v>
      </c>
      <c r="B21" s="16" t="s">
        <v>561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560</v>
      </c>
      <c r="B22" s="16" t="s">
        <v>562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560</v>
      </c>
      <c r="B23" s="16" t="s">
        <v>563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560</v>
      </c>
      <c r="B24" s="16" t="s">
        <v>564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560</v>
      </c>
      <c r="B25" s="16" t="s">
        <v>565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560</v>
      </c>
      <c r="B26" s="16" t="s">
        <v>566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560</v>
      </c>
      <c r="B27" s="16" t="s">
        <v>567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560</v>
      </c>
      <c r="B28" s="16" t="s">
        <v>568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560</v>
      </c>
      <c r="B29" s="16" t="s">
        <v>569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560</v>
      </c>
      <c r="B30" s="16" t="s">
        <v>570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560</v>
      </c>
      <c r="B31" s="16" t="s">
        <v>571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560</v>
      </c>
      <c r="B32" s="16" t="s">
        <v>572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573</v>
      </c>
      <c r="Y34" s="17"/>
    </row>
    <row r="35" spans="1:25" ht="12.75" customHeight="1">
      <c r="A35" s="53" t="s">
        <v>574</v>
      </c>
      <c r="B35" s="16" t="s">
        <v>575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576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577</v>
      </c>
      <c r="B36" s="16" t="s">
        <v>578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579</v>
      </c>
      <c r="M36" s="16" t="s">
        <v>580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581</v>
      </c>
      <c r="B37" s="16" t="s">
        <v>582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583</v>
      </c>
      <c r="M37" s="16" t="s">
        <v>584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585</v>
      </c>
      <c r="B38" s="16" t="s">
        <v>586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587</v>
      </c>
      <c r="B39" s="16" t="s">
        <v>588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576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589</v>
      </c>
      <c r="B40" s="16" t="s">
        <v>590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576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591</v>
      </c>
      <c r="B41" s="16" t="s">
        <v>592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576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593</v>
      </c>
      <c r="B42" s="16" t="s">
        <v>594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576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595</v>
      </c>
      <c r="B43" s="16" t="s">
        <v>596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597</v>
      </c>
      <c r="B44" s="16" t="s">
        <v>598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579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599</v>
      </c>
      <c r="B45" s="16" t="s">
        <v>600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579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601</v>
      </c>
      <c r="B46" s="16" t="s">
        <v>602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579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603</v>
      </c>
      <c r="B47" s="16" t="s">
        <v>604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579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2023-10-29T22:53:58Z</cp:lastPrinted>
  <dcterms:created xsi:type="dcterms:W3CDTF">2005-08-10T23:49:01Z</dcterms:created>
  <dcterms:modified xsi:type="dcterms:W3CDTF">2023-12-29T18:02:29Z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